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4sQ4svu0keJ+PJYP64Q6jwikhzQ=="/>
    </ext>
  </extLst>
</workbook>
</file>

<file path=xl/sharedStrings.xml><?xml version="1.0" encoding="utf-8"?>
<sst xmlns="http://schemas.openxmlformats.org/spreadsheetml/2006/main" count="7011" uniqueCount="2737">
  <si>
    <t>note</t>
  </si>
  <si>
    <t>auteur</t>
  </si>
  <si>
    <t>avis</t>
  </si>
  <si>
    <t>assureur</t>
  </si>
  <si>
    <t>produit</t>
  </si>
  <si>
    <t>type</t>
  </si>
  <si>
    <t>date_publication</t>
  </si>
  <si>
    <t>date_exp</t>
  </si>
  <si>
    <t>avis_en</t>
  </si>
  <si>
    <t>avis_cor</t>
  </si>
  <si>
    <t>avis_cor_en</t>
  </si>
  <si>
    <t>actarus555-63703</t>
  </si>
  <si>
    <t>Un service client aux abonnés absent dès qu'un remboursement prend du temps , des prix exorbitants et une qualité de remboursement médiocre! Si vous voulez une mutuelle qui rembourse bien et qui soit au prix du marché , passez votre chemin...</t>
  </si>
  <si>
    <t>Mgen</t>
  </si>
  <si>
    <t>sante</t>
  </si>
  <si>
    <t>train</t>
  </si>
  <si>
    <t>02/05/2018</t>
  </si>
  <si>
    <t>01/05/2018</t>
  </si>
  <si>
    <t>inesnah-81752</t>
  </si>
  <si>
    <t>Une horreur !! Nous vivons un enfer depuis qu'on nous a volé notre voiture en septembre 2019 d' Nous sommes mi décembre et toujours aucune proposition d'indémnisation! Nous nous sommes déplacé en agence à plusieurs reprises ces derniers ne peuvent « rien faire » et appelons le service sinistre quasiment tous les jours, où tout le monde se renvoi la balle!! Nous n'avons plus de vehicule depuis car notre dossier est « en attente » avec un bebe de 7 mois! 
On explique notre situation mais personne ne peut rien faire!
Quelle honte !!!! Assurance à fuir!!!</t>
  </si>
  <si>
    <t>GMF</t>
  </si>
  <si>
    <t>auto</t>
  </si>
  <si>
    <t>10/12/2019</t>
  </si>
  <si>
    <t>01/12/2019</t>
  </si>
  <si>
    <t>lilie-80043</t>
  </si>
  <si>
    <t>Perso super contente de mon agence. Après ça reste une assurance avec ses + et ses - que chacun remarquera en fonction de ses besoins</t>
  </si>
  <si>
    <t>Matmut</t>
  </si>
  <si>
    <t>15/10/2019</t>
  </si>
  <si>
    <t>01/10/2019</t>
  </si>
  <si>
    <t>olivier-i-114782</t>
  </si>
  <si>
    <t xml:space="preserve">Suite à l'achat de ma nouvelle moto, je trouve le  rapport qualité prix est très intéressant, les garanties proposées correspondent à mes attentes, le service client s'est montré à l'écoute. </t>
  </si>
  <si>
    <t>APRIL Moto</t>
  </si>
  <si>
    <t>moto</t>
  </si>
  <si>
    <t>25/05/2021</t>
  </si>
  <si>
    <t>01/05/2021</t>
  </si>
  <si>
    <t>mehdi-f-136074</t>
  </si>
  <si>
    <t>C'est rapide et efficace les pix me conviennent mais je n'ai pas de carte mutuelle ni d'identifiant de connexion à la fin de l'adhésion j'espère recevoir tout ça rapidement.</t>
  </si>
  <si>
    <t>APRIL</t>
  </si>
  <si>
    <t>05/10/2021</t>
  </si>
  <si>
    <t>01/10/2021</t>
  </si>
  <si>
    <t>boutet-m-134259</t>
  </si>
  <si>
    <t xml:space="preserve">Rapide, efficace et surtout très bon rapport qualité prix.
Des conseillers très disponible pour aider à faire le devis
mais 15€ de frais pour un avenant c'est abusé...
</t>
  </si>
  <si>
    <t>L'olivier Assurance</t>
  </si>
  <si>
    <t>24/09/2021</t>
  </si>
  <si>
    <t>01/09/2021</t>
  </si>
  <si>
    <t>alreg--137158</t>
  </si>
  <si>
    <t xml:space="preserve">Ma femme exerçait en tant que Sophrologue et avait assuré le cabinet qu’elle louait au sein d’un espace santé auprès d’AXA. 
Février 2020 suite à une forte baisse d’activité (début Covid) elle arrête le contrat de location de son cabinet. A l’arrivée de l’échéance de renouvellement de l’assurance en Juin 2020, en pleine période de confinement, elle omet de signaler à AXA qu’elle ne loue plus le cabinet depuis plusieurs mois. Depuis cette date et malgré un dossier adressé à la direction d’AXA expliquant avec tous les détails y compris le fait qu’elle a dû stopper complètement son activité, elle est poursuivie par AXA qui réclame le paiement de l’assurance pour une période (à partir de Juin 2020) où elle ne louait plus ce cabinet... Dernier épisode, avis d’un huissier de «justice» chargé de recouvrer le montant ! 
Plus jamais nous ne confierons le moindre de nos biens à assurer à AXA !
</t>
  </si>
  <si>
    <t>AXA</t>
  </si>
  <si>
    <t>assurances-professionnelles</t>
  </si>
  <si>
    <t>12/10/2021</t>
  </si>
  <si>
    <t>01/11/2020</t>
  </si>
  <si>
    <t>sitnam-m-116814</t>
  </si>
  <si>
    <t xml:space="preserve">Conseillère à l'écoute, patiente , claire dans ses explications, sympathique et professionelle pour l'explication des modalités du contrat d'assurance et des différentes formules disponibles. </t>
  </si>
  <si>
    <t>12/06/2021</t>
  </si>
  <si>
    <t>01/06/2021</t>
  </si>
  <si>
    <t>romainj-47044</t>
  </si>
  <si>
    <t>Mutuelle catastrophique, bloqué dans les années 90.
Demande de résiliation faite il y a 2 mois et demi mois, aucune confirmation de mon conseiller après plusieurs semaines. Deux dossiers ouverts via leur plateforme internet, aucune réponse, 1 mois après. J'ai essayé de les joindre au téléphone en parallèle pendant 1 mois. "Nos conseillers sont tous occupés", ça raccroche au nez directement, aucune file d'attente. Ma conseillère était en congés, personne pour prendre le relai, aucune message d'absence sur sa boite mail pendant 3 semaines.
J'essaye de me reconnecter à la plateforme, ils ont changé de site, les identifiants ne marchent pas, pas moyen de réinitialiser son mot de passe, les pages sont en erreurs.
J'ai bloqué les paiements fin mai en l'absence de réponse, je reçois une facture d'impayé fin juin avec en plus des fais de rejets.
UNE HONTE, nous sommes en 2021, où habitez-vous ??</t>
  </si>
  <si>
    <t>Cegema Assurances</t>
  </si>
  <si>
    <t>19/07/2021</t>
  </si>
  <si>
    <t>01/07/2021</t>
  </si>
  <si>
    <t>joel-b-106877</t>
  </si>
  <si>
    <t>Bonjour
J'ai du mal à comprendre, je suis assurer chez vous depuis 2019, et aujourd'hui je veux assurer un nouveau véhicule, et vous me demandez de voud fournier le relevé de mon ancien assureur que vous avez déja en votre possession.... et en plus vous etes injoignable au 0969920697 ..... voulez vous ou pas assuere mon véhicule?
Sinon faites moi parvenir un relevée d'informations ..!!</t>
  </si>
  <si>
    <t>Direct Assurance</t>
  </si>
  <si>
    <t>17/03/2021</t>
  </si>
  <si>
    <t>01/03/2021</t>
  </si>
  <si>
    <t>didier-m-132789</t>
  </si>
  <si>
    <t xml:space="preserve">je suis satisfait des prix et du service d'AMV pour l'assurance de ce véhicule de loisir.
Pas de commentaire particulier à exprimer au travers de cet avis.
</t>
  </si>
  <si>
    <t>AMV</t>
  </si>
  <si>
    <t>14/09/2021</t>
  </si>
  <si>
    <t>rem-111559</t>
  </si>
  <si>
    <t>Ne souscrivez surtout pas. Horrible traitement interminable lorsqu'un sinistre est declaré. À fuir absolument. En plus le contact téléphonique __ ----</t>
  </si>
  <si>
    <t>24/04/2021</t>
  </si>
  <si>
    <t>01/04/2021</t>
  </si>
  <si>
    <t>capcecile-70597</t>
  </si>
  <si>
    <t>Mon mari et moi voulions contracter une assurance pour notre prêt d'autant que nous avons l'un et l'autre des problèmes de santé. Nous avons donc constitué chacun un dossier médical. J'ai eu une proposition d'assurance et de surprime la première et j'ai bien spécifié que nous ne donnerions notre aval qu'à reception de la proposition d'assurance de mon mari. Ce dossier prenant du retard, mon délais de réponse a été dépassé malgré mes appels téléphoniques. Mon dossier a été annulé au moment où mon mari recevait sa proposition. J'ai donc refait ma demande. Délais d'attente pour avoir une réponse globale : deux ans ! Pour gagner du temps, je pense,  la banque nous a fait signer le prêt sans avoir d'assurance en surprime, nous n'en savions rien. L'assurance nous a proposé un nouveau contrat a la suite de cette signature ! Nous ne comprenions rien puisque l'on étaient sensés déjà l'être ! nous n'avons donc pas donné suite...et nous voilà sans assurance "médicale" sans avoir rien demandé à personne ! Incroyable non ? cherchons membres pour former collectif afin d'assigner la SOGECAP et société générale en justice</t>
  </si>
  <si>
    <t>Sogecap</t>
  </si>
  <si>
    <t>credit</t>
  </si>
  <si>
    <t>25/01/2019</t>
  </si>
  <si>
    <t>01/01/2019</t>
  </si>
  <si>
    <t>buenoflex-66383</t>
  </si>
  <si>
    <t>un scandale !!! demande deportage faite il y a 2 mois. Plus de couverture depuis le 9 JUIN !!!. On me demande mes papiers...a ce jour toujours rien et ils cherchent des papiers...on revoit et on nous dit : il faut attendre, vous ne pouvez rien faire d autre !!!</t>
  </si>
  <si>
    <t>Ag2r La Mondiale</t>
  </si>
  <si>
    <t>24/08/2018</t>
  </si>
  <si>
    <t>01/08/2018</t>
  </si>
  <si>
    <t>ranson-c-107737</t>
  </si>
  <si>
    <t xml:space="preserve">Satisfait de vos services, très bon accueil téléphonique et renseignements toujours très explicatifs. Je recommande Direct Assurance à toutes mes connaissances.
</t>
  </si>
  <si>
    <t>24/03/2021</t>
  </si>
  <si>
    <t>jyl-87306</t>
  </si>
  <si>
    <t>Toujours aucun contact avec les services de l'AFER depuis la fin décembre pour régler une assurance vie. Le conseiller régional AVIVA avoue lui-même ne plus pouvoir les joindre.
J'ai fait un signalement à l'UFC que Choisir et à l'ACPR et au bout de deux mois, ce sera le médiateur et les pénalités de retard. J'espère que ça se débloquera avant le tribunal.</t>
  </si>
  <si>
    <t>Afer</t>
  </si>
  <si>
    <t>vie</t>
  </si>
  <si>
    <t>18/02/2020</t>
  </si>
  <si>
    <t>01/02/2020</t>
  </si>
  <si>
    <t>fagus74-66414</t>
  </si>
  <si>
    <t>Je cherche l'erreur : 587 euros de cotisation alors que je viens de faire une simulation sur le site de la mutuelle qui affiche un devis de 371 euros à prestations identiques !!!</t>
  </si>
  <si>
    <t>Mutuelle des Motards</t>
  </si>
  <si>
    <t>26/08/2018</t>
  </si>
  <si>
    <t>bguinolas-64004</t>
  </si>
  <si>
    <t xml:space="preserve">Assureur cher avec des collaborateurs ...  ! 
Je me suis retrouvé en panne à 250 km de chez moi et la maif prévoit un rapatriement grace à une voiture de location dès le lendemain. Seulement, arrivé sur les lieux de la prise de location, nous découvrons que l agence est fermée jusqu'en octobre de cette année ! ( nous sommes en mai). Aucune excuse de la part de l assistance, qui nous rétorque que c'est de la faute de l agence, qu'elle ne les a pas prévenu de sa fermeture... Allez m expliquer comment l assistance à bien pu réserver un véhicule ... 
Nous avons du aller à plus d une heure de route prendre un autre véhicule de location. Bien sur, cette deuxième agence étant dans la mauvaise direction, celà nous a rajouté une heure de plus au trajet initial. Au total 2h de taxi et 3h30 de voiture pour rentrer d un endroit situé à 250 km de chez moi... On a vu plus efficace ! Mais toujours aucune excuses de l assistance. Lorsque l on demande des informations, pas de formule de politesse : on vous expédie en vous infantilisant ! 
Des annees de cotisations sans incident et l on se rend compte que lorsqu'il arrive quelque chose que l on paye beaucoup trop cher ! </t>
  </si>
  <si>
    <t>MAIF</t>
  </si>
  <si>
    <t>14/05/2018</t>
  </si>
  <si>
    <t>lulu1107-72048</t>
  </si>
  <si>
    <t xml:space="preserve">Bonjour, 
J'ai effectué le 10 janvier 2019 une demande de remboursement de mes primes pour mon arrêt maladie en date du 12 au 16 novembre 2018, qui a été réceptionné le 11 janvier. 
De nombreuses réclamations ont été effectuées par mon agence Intériale en interne ainsi que par moi par téléphone. 
A chacun de mes appels, on me répond que mes indemnités prévoyance vont être mises en paiement. Or, rien n'est encore fait. J'ai une garantie maintien de salaires et de primes sans franchise. Je souhaiterais savoir quand cette somme va être mise en paiement. J'en suis bientôt à 2 mois d'attente et je suis assez déçue des services d'Interiale au niveau des remboursements. Je suis une jeune maman célibataire  avec des factures à honorer et je ne peux me permettre d'avoir des soucis bancaires dus au retard de paiement d'Interiale.
Je ne voulais pas en arriver à mettre un commentaire négatif mais même en utilisant le site internet pour exposer ma réclamation à Intériale, le 5 mars, je n'ai eu aucun retour. 
Je conçois que suite au remaniement interne, il puisse y avoir des retards mais les adhérents ne doivent pas en pâtir. 
Je trouve cela dommage de devoir passer par www.opinion-assurances pour se faire entendre. 
J'espère que ma demande finira pas être traitée, un jour... (numéro adhérent au cas où: 4059578).
</t>
  </si>
  <si>
    <t>Intériale</t>
  </si>
  <si>
    <t>prevoyance</t>
  </si>
  <si>
    <t>11/03/2019</t>
  </si>
  <si>
    <t>01/03/2019</t>
  </si>
  <si>
    <t>stefano-v-115757</t>
  </si>
  <si>
    <t>Je suis insatisfait de payer des frais de dossier.
la façon de faire est longue et fastidieuse alors que nous avons déja un contrat auto, les informations sont donc déja toutes chez vous.</t>
  </si>
  <si>
    <t>02/06/2021</t>
  </si>
  <si>
    <t>aline3111-90950</t>
  </si>
  <si>
    <t>modification des tarifs sans en avoir été informée. franchise de 25% sur pare brise si pas changé par carglass. Assurée chez eux pour 2 véhicules sans accident depuis 12 ans et aucun geste commercial. très déçue je ne les recommanderais pas et je vais résilier mes 2 contrats.</t>
  </si>
  <si>
    <t>15/06/2020</t>
  </si>
  <si>
    <t>01/06/2020</t>
  </si>
  <si>
    <t>piveteau-b-115953</t>
  </si>
  <si>
    <t>Satisfait de la réactivité et facilité de souscription.
Souplesse et compréhension également d'une situation particulière.
Parfait donc, je recommande.</t>
  </si>
  <si>
    <t>04/06/2021</t>
  </si>
  <si>
    <t>bob87-122319</t>
  </si>
  <si>
    <t>Je vais quitter la MAIF, client depuis plus de trente ans, mais là je découvre qu'en fait, sur un ancien sinistre où j'étais victime, il m'ont dit le contraire de celui dont je suis "auteur" aujourd'hui. Résultat pour le dernier aucune indemnisation, (manque d'entretien, je suis donc responsable du déluge qui a effondré une grange!)et plus de six mois d'attente pour que les gravas ne soient toujours pas évacué de chez mon voisin. Le précédent je n'ai pu être indemnisé, car la MAIF n'a pas voulu contacter l'assureur du magasin responsable qui pourtant souhaitait m'indemniser (+5000 euros de préjudice). Déçu dans un premier temps, je suis maintenant furieux de découvrir les pratiques d'un mutualisme assez particulier, auquel je ne fais pourtant jamais appel d'habitude.</t>
  </si>
  <si>
    <t>04/07/2021</t>
  </si>
  <si>
    <t>david-l-127987</t>
  </si>
  <si>
    <t xml:space="preserve">Ce que je trouve dommage  c quand un conseiller doit  vous rappeler est ne vous rappelle jamais .ça va le site et bien fait .j aurais peut être un retour de cette mauvaise expérience. </t>
  </si>
  <si>
    <t>14/08/2021</t>
  </si>
  <si>
    <t>01/08/2021</t>
  </si>
  <si>
    <t>silva-borges-f-131046</t>
  </si>
  <si>
    <t xml:space="preserve">On verra bien, mais pour l'instant c'est parfait. la réponse a été très rapide je vous en remercie. service téléphonique super sympathique et accueillent.   </t>
  </si>
  <si>
    <t>03/09/2021</t>
  </si>
  <si>
    <t>cliente-mecontente-134633</t>
  </si>
  <si>
    <t>Horrible. Je n'ai pas d'autre mot.
Hyper procédurier, joue la montre, ne rembourse jamais. Zéro transparence, lenteur inimaginable. J'ai déclaré un sinistre en novembre dernier, toujours pas l'ombre d'un remboursement. En attendant, j'ai bien payé toutes mes cotisations...
C'est inadmissible. Le remboursement attendu représente la moitié de mon salaire mensuel, l'assurance s'en met plein les poches pendant que moi je rame à joindre les 2 bouts. 
BRAVO Direct Assurance !</t>
  </si>
  <si>
    <t>habitation</t>
  </si>
  <si>
    <t>27/09/2021</t>
  </si>
  <si>
    <t>fabrice13-76932</t>
  </si>
  <si>
    <t>mutuelle a fuir ,j ai la portabilité mais depuis debut de l année plus de suivi de mon dossier chez eux 
et quand je leur telephone toujours oui oui monsieur je vous envoie votre carte tiers payant 
a ce jour toujours rien 
a fuir très mauvais suivi et service e par téléphone énormément d attente incompétent</t>
  </si>
  <si>
    <t>Mercer</t>
  </si>
  <si>
    <t>12/02/2020</t>
  </si>
  <si>
    <t>denis-115576</t>
  </si>
  <si>
    <t xml:space="preserve">Assurance nulle après un dégât des eaux aucun remboursement de leur part je déconseille fortement cette assurance et les conseillers vraiment pas aimable et désagréable </t>
  </si>
  <si>
    <t>MAAF</t>
  </si>
  <si>
    <t>damien1975-59966</t>
  </si>
  <si>
    <t xml:space="preserve">Assurance souscrite en janvier, après plusieurs coups de fil (où on me trimbale de service en service), 3 mails, 1 recommandé, j'attends toujours ma carte verte (qui est périmée depuis 9 mois).. tout va bien.
Comme seule réponse, des mails automatiques où on me réclame un document que je n'ai pas et que j'avais dis ne pas avoir lors de ma souscription au téléphone..
Je viens de recevoir mon avis d'échéance, aucun accident, rien, 5% de bonus en plus, et 50 euros d'augmentation..et je ne sais toujours pas si je suis vraiment assuré ou pas...
9 mois que je roule avec une assurance périmée avec un véhicule qui côte environ 16 000 euros..
</t>
  </si>
  <si>
    <t>26/12/2017</t>
  </si>
  <si>
    <t>01/12/2017</t>
  </si>
  <si>
    <t>ebion-j-131811</t>
  </si>
  <si>
    <t>Ne pas toujours chercher à faire payer au prix fort ! Trop de blabla! Epuisant finalement. Aller à l essentiel ! Parrainage comment faire? Merci d etre plus clair</t>
  </si>
  <si>
    <t>08/09/2021</t>
  </si>
  <si>
    <t>damien-m-125145</t>
  </si>
  <si>
    <t>Un service simplifié, des tarifs très intéressant et une communication facile et agréable.
Merci pour votre acceuil et votre sympathie.. 
Je recommande....</t>
  </si>
  <si>
    <t>27/07/2021</t>
  </si>
  <si>
    <t>isa-b-88621</t>
  </si>
  <si>
    <t xml:space="preserve">Mon épouse et moi avions un contrat mutuelle chez April. Ma femme ayant trouvé du travail a eu accès à une mutuelle familiale obligatoire. April  refuse de résilier mon contrat maintenant sous prétexte que je suis le principal bénéficiaire du contrat chez eux. Ils ont refusé toutes explications et m'oblige à rester chez eux jusqu'au 31 12 2020 !!! Nous leurs avons transmis l'attestation de la nouvelle mutuelle notifiant la nature obligatoire et familiale. D'autres mutuelle acceptent des résiliations dans ce cas :" April informe que " l'affiliation au contrat groupe du conjoint n'est pas une clause de résiliation en
cours d'année. En effet, cela est considéré comme un départ à la concurrence ". Nous serons donc des clients EXTREMEMENT mécontents et le ferons savoir dans notre entourage. </t>
  </si>
  <si>
    <t>01/04/2020</t>
  </si>
  <si>
    <t>jorge-93776</t>
  </si>
  <si>
    <t>Je suis satisfait de la proposition faite. La clarté des diverses options et garanties . Je suis satisfait de la proposition faite. La clarté des diverses options et garanties</t>
  </si>
  <si>
    <t>11/07/2020</t>
  </si>
  <si>
    <t>01/07/2020</t>
  </si>
  <si>
    <t>solange-p-116843</t>
  </si>
  <si>
    <t>Très déçue !!!!!!
renseignements contradictoires au téléphone avec plusieurs personnes.
Dernier tarif qui ne me convient pas du tout 
Je vais changer d'assurance</t>
  </si>
  <si>
    <t>chris-57630</t>
  </si>
  <si>
    <t>même si vous etes un bon conducteur, si vous n'avez pas de chance et que vous déclarez 2 bris de  glace ils vous mettent dehors alors attention quand vous faites réparer à la résine un impact sur le pare-brise=1 sinistre et si jamais c'est mal fait tant pis pour vous ce sera 1 autre sinistre...puis ils vous metteront dehors et alors là vous vous faire assurer ailleurs vous payerez plus cher grâce à eux...alors c'est pas avec eux au final qu'on fait des économies</t>
  </si>
  <si>
    <t>Eurofil</t>
  </si>
  <si>
    <t>27/09/2017</t>
  </si>
  <si>
    <t>01/09/2017</t>
  </si>
  <si>
    <t>marina-58627</t>
  </si>
  <si>
    <t>Très bien 
De bonne prestations pour une assurance scooter .
Bon rapport qualité prix 
Je recommanderai à un proche sans aucun problème 
Bien assuré .</t>
  </si>
  <si>
    <t>08/04/2021</t>
  </si>
  <si>
    <t>marguerite-l-104926</t>
  </si>
  <si>
    <t xml:space="preserve">Chaque année, la cotisation augmente. 
Pourtant l'année 2020 a été très bénéficiaire pour les compagnies d'assurance (crise Covid)... Vous auriez pu répercuter ces excédents sur les cotisations des assurés.
Je trouve que c'est une attitude anormale de votre part.
</t>
  </si>
  <si>
    <t>thierry-s-107456</t>
  </si>
  <si>
    <t xml:space="preserve">N'ayant eu aucun accident depuis plus de 20ans (voiture de location) et ayant acquis à nouveau une voiture depuis 2019, je suis étonné de ne pas bénéficier d'un bonus plus important ... </t>
  </si>
  <si>
    <t>22/03/2021</t>
  </si>
  <si>
    <t>christelle-c-108731</t>
  </si>
  <si>
    <t>satisfaite des services, toujours à votre écoute, prix interressants  actrattifs je le recommande  vivement par rapport à d'autres assurances sur le marché</t>
  </si>
  <si>
    <t>31/03/2021</t>
  </si>
  <si>
    <t>lucas-a-106509</t>
  </si>
  <si>
    <t>Je suis satisfait du service et des tarifs proposés. L'offre est intéressante et la résiliation faite par l'assurance est très appreciable, on a l'esprit tranquille.</t>
  </si>
  <si>
    <t>13/03/2021</t>
  </si>
  <si>
    <t>totorneuf-106498</t>
  </si>
  <si>
    <t xml:space="preserve">un bon assuré est celui qui n'a jamais de sinistre.
2 véhicules assurés; un zéro  sinistre, l'autre 3  sinistres, matériels sans gravité.
 ET hop, on ne veut plus vous assurer.
</t>
  </si>
  <si>
    <t>frank-t-132558</t>
  </si>
  <si>
    <t>simple et pratique,  
Au niveau des prix, il n'ya par contre pas de remise supplémentaire en cas de contrats multiple comme c'est mon cas.
Et la prise en compte des clients ramenés par moi.
Etant en partie en télétravail, il faudrait rajouter cette option car les risques sont diminués de moitié</t>
  </si>
  <si>
    <t>13/09/2021</t>
  </si>
  <si>
    <t>071179-67384</t>
  </si>
  <si>
    <t>Mutuelle prise récemment donc pas trop de recul par rapport à sa qualité mais elle est quand même très chere. Je répondrai à une autre enquête d'opinion plus tard merci...</t>
  </si>
  <si>
    <t>Néoliane Santé</t>
  </si>
  <si>
    <t>05/10/2018</t>
  </si>
  <si>
    <t>01/10/2018</t>
  </si>
  <si>
    <t>regnerie-c-115248</t>
  </si>
  <si>
    <t xml:space="preserve">Je suis satisfaite du très bon relationnel client assureur. De la bonne communication d’informations. Prix plus que corrects. Informations clairs et précises. </t>
  </si>
  <si>
    <t>29/05/2021</t>
  </si>
  <si>
    <t>ja-96920</t>
  </si>
  <si>
    <t xml:space="preserve">Lente complexe inhumaine inaccessible . Une assurance on ne peut pas faire plus catastrophique.  Le mieux c est de ne jamais avoir à faire à eux en cas d urgence.  C est la catastrophe.  Les avoir en ligne ? Plutôt rêver.  Il faut communiquer via une application et se contenter de réponses automatiques très souvent inadaptées.  Les sous traitants de la plateforme ne sont ni qualifiés ni compétents . Bref trouvez mieux ne sera pas difficile.  Croyez moi c est une assurance que je regrette.  Jamais je n aurais dû.  Je précise que je suis dans mon droit avec eux et en cours d indemnisation après plus de 7mois. Pourtant dossier complet et documents reçus et valides.  </t>
  </si>
  <si>
    <t>CNP Assurances</t>
  </si>
  <si>
    <t>02/09/2020</t>
  </si>
  <si>
    <t>01/09/2020</t>
  </si>
  <si>
    <t>trebor05-99728</t>
  </si>
  <si>
    <t>Légèrement plus ++++ cher que la MAAF pour les même garanties. Je vais surement faire un changement d'assurance si rien ne met proposé par PACIFICA ..</t>
  </si>
  <si>
    <t>Pacifica</t>
  </si>
  <si>
    <t>06/11/2020</t>
  </si>
  <si>
    <t>soukainab-90026</t>
  </si>
  <si>
    <t xml:space="preserve">A fuir !! 
Si vous etes étrangers avec permis étranger (Maghrébin comme indiqué par le conseiller que j'ai eu au téléphone) passez votre chemin. L'olivier Assurance m'a confirmé par téléphone ne pas assurer les permis Maghrébins (en citant la Tunisie, Maroc, Algérie). Quant à moi, ayant converti mon permis marocain à un permis français en Février 2020, ils considèrent que la date d'obtention de mon permis est Février 2020, non pas 2012, la date réelle d'obtention de mon permis marocain. J'en déduis que les autorités françaises reconnaissent bien mon permis marocain car la date de 2012 est bien mentionnée dans mon permis français, mais que l'olivier Assurance non czr c'est un permis obtenu au Maghreb. 
Mon devis passe de 858e à environ les 1500e, mon bonus avec mon assurance actuelle est annulé car obtenu avec mon permis marocain. Un sinistre déclaré l'année dernière est quant à lui bien pris en compte. J'essaye de faire une réclamation sur leur site internet, le site n'envoie pas ma réclamation car "le format de mon N de devis n'est pas bon" alors que je reprend exactement le numéro de devis reçu par mail.
Trop de discrimination qui frôle le racisme à mon goût.
Je vais pour suivre ma réclamation jusqu'au bout et prendre les mesures nécessaires si je n'ai pas de retour satisfaisant de l'Olivier. </t>
  </si>
  <si>
    <t>28/05/2020</t>
  </si>
  <si>
    <t>01/05/2020</t>
  </si>
  <si>
    <t>alicia--g-124709</t>
  </si>
  <si>
    <t xml:space="preserve">Jai recherché une assurance avec des prix corrects car la mienne est assez chère. Grâce aux comparateurs d’assurances j’ai trouvé votre compagnie et Les prix me conviennent.
</t>
  </si>
  <si>
    <t>25/07/2021</t>
  </si>
  <si>
    <t>bmw-59871</t>
  </si>
  <si>
    <t xml:space="preserve">Victime d'un accident de la circulation, où je n'étais pas en tort, ma moto est déclarée économiquement irréparable et cédée à AXA le 25 mai 2018. Ayant payé le 1er avril 2018 ma cotisation en l'absence d'infos de mon agent AXA Garches je pensais que l'assurance était suspendue de facto. Je viens de recevoir mon avis d'échéance pour cette année 2019 alors que je ne possède plus cette moto. Evitez l'agence AXA de Garches 92... </t>
  </si>
  <si>
    <t>26/03/2019</t>
  </si>
  <si>
    <t>nanaw-79857</t>
  </si>
  <si>
    <t xml:space="preserve">Je suis complètement satisfaite à chaque fois que je contacte le service client Santiane.Cette fois-ci mon interlocutrice était particulièrement patiente aimable et surtout efficace pour m'aider à résoudre mon problème de télétransmission. merci Marion. </t>
  </si>
  <si>
    <t>Santiane</t>
  </si>
  <si>
    <t>09/10/2019</t>
  </si>
  <si>
    <t>motard1972-52966</t>
  </si>
  <si>
    <t xml:space="preserve">les contrats jeune conducteur on des tarifs un peut élevé malgré 2 ans de conduite accompagné et un véhicule 4cv ancien. mais je ne suis pas déçu car les prestations et remboursements sont très correcte , l assistance est de bonne qualité . </t>
  </si>
  <si>
    <t>03/03/2017</t>
  </si>
  <si>
    <t>01/03/2017</t>
  </si>
  <si>
    <t>cedric-c-134181</t>
  </si>
  <si>
    <t>simple et efficace 
A voir dans le temps maintenant 
en esperant ne pas avoir besoin de declencher l'assurance ... 
a voir si les publicitées sont justifiées. 
J'essaie, je verrai bien.</t>
  </si>
  <si>
    <t>23/09/2021</t>
  </si>
  <si>
    <t>ramoussin-j-130480</t>
  </si>
  <si>
    <t>Communication téléphonique avec des personnes parlant couramment français. C'est plus simple. Frais de dossier trop élevé juste pour un changement d'adresse etc..</t>
  </si>
  <si>
    <t>31/08/2021</t>
  </si>
  <si>
    <t>bertrand-77586</t>
  </si>
  <si>
    <t>rien a dire trés satisfait a voir le jour ou j'aurais un sinistre j'éspere que ce jour n'arrivera pas,voila dans l'ensemble je suis satisfait</t>
  </si>
  <si>
    <t>12/07/2019</t>
  </si>
  <si>
    <t>01/07/2019</t>
  </si>
  <si>
    <t>sebastien-p-128285</t>
  </si>
  <si>
    <t>Inscription facile et rapide
Très satisfait des tarifs 
Rapide et efficace pour les démarches
Les prix sont très satisfaisant
Je recommande
Je recommencerai sans problème</t>
  </si>
  <si>
    <t>17/08/2021</t>
  </si>
  <si>
    <t>daniel-t-137574</t>
  </si>
  <si>
    <t>Très bon tarif, pour une utilisation occasionnelle.
Très satisfait de la facilité de souscription.
Les autre assurances sont beaucoup plus onéreuses, pour des options, pas toujours utiles.</t>
  </si>
  <si>
    <t>16/10/2021</t>
  </si>
  <si>
    <t>ange-113355</t>
  </si>
  <si>
    <t xml:space="preserve">Depuis un an que je suis assurée chez axa je n'ai rien a redire. Tout est parfait et surtout les prix pour moi qui suis jeune conductrice. Et a par rapport a mes contrats c'est parfait. A recommander. Merci </t>
  </si>
  <si>
    <t>11/05/2021</t>
  </si>
  <si>
    <t>phousa-c-125135</t>
  </si>
  <si>
    <t>Devis simple et rapide à réaliser. Pour des questions, le service conseil aide beaucoup : bonne communication, aide et conseils.
Inscription facile à faire aussi ! :)</t>
  </si>
  <si>
    <t>joel-g-122342</t>
  </si>
  <si>
    <t>Je suis satisfait des services de GMF. Les tarifs et la couverture de mes différents contrats me conviennent.
La mensualisation de mes cotisations me permet d'étaler mes dépenses.</t>
  </si>
  <si>
    <t>claude-y-112515</t>
  </si>
  <si>
    <t>prix compétitif, site intuitif , je recommande,je suis client depuis 1an.Facilement joignable au téléphone.J'ai quitté mon ancien assurance et je ne regrette pas</t>
  </si>
  <si>
    <t>03/05/2021</t>
  </si>
  <si>
    <t>jean-claude-l-111021</t>
  </si>
  <si>
    <t>je suis satisfait du service
malgré un bonus 50 car je suis le plus prudent conducteur que je connaisse, 12 points éternels, pas d'infraction, etc...conduite préventive, membre sécurité routière etc... cependant mes primes restent élvées</t>
  </si>
  <si>
    <t>20/04/2021</t>
  </si>
  <si>
    <t>vagabundo-67930</t>
  </si>
  <si>
    <t xml:space="preserve">A deconseiller fortement, client depuis 10 ans et après un sinistre ou ma responsabilité n'est pas engagé on m'oblige à payer une franchise de 290 euros ou ma voiture ne seras pas réparé </t>
  </si>
  <si>
    <t>21/10/2018</t>
  </si>
  <si>
    <t>dominique59-101652</t>
  </si>
  <si>
    <t>Je suis adhérente à la macif depuis 36 ans sans avoir déclaré aucun litige ni sinistre. Bonus à plus de 50 %. Malheureusement en raison d'un soleil éblouissant j'ai eu un accrochage en sortant de mon garage . Un pare choc cassé pour moi et pour l'adversaire une portière enfoncée. A titre commercial j'ai demandé le remboursement de ma franchise .. Le conseiller ne peut m'accorder que la moitié de la somme soit 125 euros. Ça me fait réfléchir pour mes contrats.. Pas vraiment une faveur optimale au vue du nombre d'années à 0 litige. Dommage ...</t>
  </si>
  <si>
    <t>MACIF</t>
  </si>
  <si>
    <t>18/12/2020</t>
  </si>
  <si>
    <t>01/12/2020</t>
  </si>
  <si>
    <t>michel-67945</t>
  </si>
  <si>
    <t>suite à un sinistre du 26/6/2018 aucune réponse sur ma part de responsabilité éventuelle donc blocage de mes 600 euros de franchise malgré des relances mais aucunes réponses</t>
  </si>
  <si>
    <t>Allianz</t>
  </si>
  <si>
    <t>22/10/2018</t>
  </si>
  <si>
    <t>frederic-l-109971</t>
  </si>
  <si>
    <t>c'est en participant à un jeu que j'ai reçu un devis de direct assurance via le lynx.
Le prix me semble très bien.
a voir maintenant si le service est à la hauteur;</t>
  </si>
  <si>
    <t>11/04/2021</t>
  </si>
  <si>
    <t>ralph-j-114083</t>
  </si>
  <si>
    <t>je suis satisfait du service .bon pris .simple et rapide
je recommande vivement a tous  je suis tres content simple rapide clair et efficace bonne journee a tous</t>
  </si>
  <si>
    <t>18/05/2021</t>
  </si>
  <si>
    <t>reveuzz-99085</t>
  </si>
  <si>
    <t>Impossible d'avoir l'aide a laquelle j'ai droit suite a un accouchement avec complication et hospitalisation post bébé. J'ai la couverture pour une aide a domicile je cotise pour cela et mon dossier est en attente de traitement depuis 1 mois et on me donne des numéros téléphoniques qui n'aboutissent pas pour que je "les" contacter.. ils ne savent même pas identifier quelle est la société sous-traitée derrière le numéro. D'un obscurantisme totale. Perte d'argent,  de temps et d'énergie.</t>
  </si>
  <si>
    <t>22/10/2020</t>
  </si>
  <si>
    <t>01/10/2020</t>
  </si>
  <si>
    <t>ninip-67026</t>
  </si>
  <si>
    <t>Mutuelle obligatoire au travail, si je pouvais je changerai.</t>
  </si>
  <si>
    <t>Génération</t>
  </si>
  <si>
    <t>21/09/2018</t>
  </si>
  <si>
    <t>01/09/2018</t>
  </si>
  <si>
    <t>volaille-77-104351</t>
  </si>
  <si>
    <t>La Mutuelle M G P a toujours été présente tant dans ma vie professionnelle que dans ma vie privée familiale et ce depuis quarante six ans environs.
Merci.</t>
  </si>
  <si>
    <t>MGP</t>
  </si>
  <si>
    <t>17/02/2021</t>
  </si>
  <si>
    <t>01/02/2021</t>
  </si>
  <si>
    <t>linda-t-117321</t>
  </si>
  <si>
    <t>Je suis contente des services de DIRECT ASSURANCE pour mes deux contrats 
Je recommande les servies
Prix correct même si ils augmentent tous les mois.</t>
  </si>
  <si>
    <t>17/06/2021</t>
  </si>
  <si>
    <t>mbrn-129073</t>
  </si>
  <si>
    <t xml:space="preserve">J'étais assurée tout risque chez eux. J'ai eu un accident de voiture le mercredi 12 mai, j'ai déclaré mon sinistre le vendredi 14. Au téléphone, on m'assure une prise en charge rapide du lieu de dépannage au garage partenaire et un remboursement sous un mois si la voiture est déclarée épave.
Le lundi 17 mai, j'ai un appel du dépanneur : il faut que je paie des frais de gardiennage depuis le mercredi jusqu'au lundi PLUS les frais de relivraison du véhicule du lieu de dépannage au garage partenaire. On appelle l'assurance pour être sûr que c'est à nous de payer, on nous rassure : nous avançons les frais mais ils nous rembourseront. Du coup, on se retrouve à payer 1 semaine de gardiennages du mercredi au mercredi  (alors que le garage partenaire a été mandaté le vendredi !) ainsi que les frais de relivraison du véhicule car le garage partenaire n'avait pas le matériel pour aller chercher la voiture. 
L'expert passe voir le véhicule le 31 mai. J'ai appelé ensuite chaque semaine pour savoir où en était le dossier et le remboursement des frais payés. On me dit que la demande est en cours à chaque fois... Au mois de juillet, toujours sans nouvelle, j'appelle excédée. 
On me donne le numéro de l'expert pour que JE les appelle ! Comme si c'était mon travail ! Je payais quand même 90 euros par mois pour ce service !! 
On m'a menée en bateau, en m'annonçant des remboursements qui n'ont jamais eu lieu, et j'ai mis 3 mois avant d'être indemnisée de mon véhicule ! Et je n'ai jamais été remboursée du gardiennage et de la relivraison du véhicule alors qu'on me l'avait annoncé ! C'est inacceptable ! 
L'assurance est hors de prix, le service incompétent et mensonger ! 
J'ai trouvé une autre assurance en ligne où, même avec mon malus, je paie 30 euros moins cher qu'avec eux !! 
FUYEZ ! </t>
  </si>
  <si>
    <t>23/08/2021</t>
  </si>
  <si>
    <t>doune74-86191</t>
  </si>
  <si>
    <t xml:space="preserve">Vous cherchez une assurance, alors fuyez la Cardif. On pense qu'en étant assuré, on est protegé en cas de coup dur dans la vie ;c'est faux à la Cardif.
Une fois le contrat signé ,il n'y a plus personne pour vous aider. 
Déclaré fumeur à la signature de mon contrat (ce qui m'inflige une surprime sur ma cotisation pour personne à risque ce qui est normal), j'ai fait un infarctus il y a un peu plus d'un an à cause du tabac entrainant un arret .
J'ai rempli le dossier qui prévoit une prise en charge de l'assurance après le délai de carence et envoyé les documents demandés.
Depuis plus rien, silence radio, aucune réponse, ni oui, ni non, et au téléphone, on perd patience.
Résultat, des soucis en plus alors qu'une assurance doit etre là quand on à besoin d'elle. C'est inadmissible car en attendant ils continuent de prélever leurs cotisations.
Si je n'avais pas réussi à reprendre un travail suite à cela, vous imaginez bien que la banque (BNP Paribas) et les huissiers seraient venus frapper à ma porte ; faute de pouvoir honorer mes créances.
J'en arrive à me dire que c'est leur but en fait.
Je sais que contre les banques et les assurances, nous ne sommes que le pot de terre, car leurs profits et bénéfices priment avant toute considération humaine.
Aujourd'hui, vu que le dialogue est stérile de toute solution, je vais envoyer le dossier à ma protection juridique pour analyse et ils me donnerons la marche à suivre.
Je me répète, désolé, mais si vous cherchez une assurance, passez votre chemin en ce qui concerne la Cardif. Une personne avertie en vaut deux.
Cordialement.
</t>
  </si>
  <si>
    <t>Cardif</t>
  </si>
  <si>
    <t>22/01/2020</t>
  </si>
  <si>
    <t>01/01/2020</t>
  </si>
  <si>
    <t>lio74-110937</t>
  </si>
  <si>
    <t>prix attractif, mais attention : pour ma part en attente d'un document de l'ants (délai de traitement assez long...), ils ont résilié l'assurance tout en conservant les frais de dossier. à éviter.</t>
  </si>
  <si>
    <t>19/04/2021</t>
  </si>
  <si>
    <t>desachy-a-114549</t>
  </si>
  <si>
    <t>Je suis satisfaite du service pour la souscription, le relation clientèle était agréable.
L'espace perso internet à l'air intuitif, c'est agréable.
A quand l'appli mobile ?</t>
  </si>
  <si>
    <t>22/05/2021</t>
  </si>
  <si>
    <t>pppppp-97686</t>
  </si>
  <si>
    <t>Nadege a parfaitement repondu à mes questions concernant la miseen place de la télétransmission
je vous envoie ce jour un numéro d'organisme pour la télétransmission
merci</t>
  </si>
  <si>
    <t>22/09/2020</t>
  </si>
  <si>
    <t>anne13-63577</t>
  </si>
  <si>
    <t>Cela déjà fait 2 mois que j'attends ma carte des tiers payant. De plus, ils répondent pas ni aux mails, ni aux appels, qui sont payants à 15c/min. A chaque fois le temps d'attente variés entre 5-10 min</t>
  </si>
  <si>
    <t>26/04/2018</t>
  </si>
  <si>
    <t>01/04/2018</t>
  </si>
  <si>
    <t>walk-50903</t>
  </si>
  <si>
    <t xml:space="preserve">trafic des tarifs, trés   trés difficilement joingnable </t>
  </si>
  <si>
    <t>03/01/2017</t>
  </si>
  <si>
    <t>01/01/2017</t>
  </si>
  <si>
    <t>pierre-d-105170</t>
  </si>
  <si>
    <t xml:space="preserve">Je suis assuré depuis longtemps et tout est parfait. Je recommanderai direct assurance à toutes les personnes ayant besoin. Continuez ainsi ! C'est l'idéal .
</t>
  </si>
  <si>
    <t>02/03/2021</t>
  </si>
  <si>
    <t>rogerio66-72016</t>
  </si>
  <si>
    <t xml:space="preserve">Suite à un acte de vandalisme sur mon véhicule ( 2 pneus crevé ) le soir du réveillon et cela à 400km de chez moi l'assistance ne prend pas la première nuit d'hébergement en charge , car je suis sensé avoir prévu celui-ci et là dernière nuit aussi comme la facture a étée le 27 au soir, récupéré mon véhicule à 18h , donc parti le lendemain  mais pour eux devais reprendre la route de suite, en plus première facture ne leur convenait pas, obligé de redemander à l'hébergement. Vraiment mesquin de leur part, nous avons chez  eux assurance véhicule, habitation,et santé. Cela encourage à être fidèle à un assureur. </t>
  </si>
  <si>
    <t>09/03/2019</t>
  </si>
  <si>
    <t>ury-c-117353</t>
  </si>
  <si>
    <t>passé par un comparateur d'assurances pour trouver l’assurance et le prix qui me conviennent.
j'ai été mis en relation via un mail de confirmation.
procédure simple, tout est bien expliqué.
j'ai validé mes informations en quelques dizaines de minutes... le temps de lire les conditions...</t>
  </si>
  <si>
    <t>alex45140-77513</t>
  </si>
  <si>
    <t>Publicité mensongère</t>
  </si>
  <si>
    <t>10/07/2019</t>
  </si>
  <si>
    <t>olivier-p-130073</t>
  </si>
  <si>
    <t>Je ne fais que cotiser, je ne sais pas si votre service est satisfaisant.
Une assurance ca se note quand on a un incident, un sinistre et que l'on voit si elle assume sa mission d'assureur et si elle est diligente.</t>
  </si>
  <si>
    <t>29/08/2021</t>
  </si>
  <si>
    <t>lebrasseur-t-124013</t>
  </si>
  <si>
    <t xml:space="preserve">Pas déçu de mon choix. Je recommande cette application. Devis rapide est simple. Service client très cordiale je recommande l’olivier assurance auto. </t>
  </si>
  <si>
    <t>20/07/2021</t>
  </si>
  <si>
    <t>michel-m-111874</t>
  </si>
  <si>
    <t>Accueil téléphonique très agréable avec de bon conseil, le prix pour mon véhicule me convient . 
le site web et l'application est simple d'utilisation.</t>
  </si>
  <si>
    <t>27/04/2021</t>
  </si>
  <si>
    <t>poletti-e-130744</t>
  </si>
  <si>
    <t xml:space="preserve">JE SUIS SATISFAIT malgres que j'aurais aimer avoir un geste commercial vu que j'ai deja un autre vehicule assure chez l'olivier assurance.cordialement 
</t>
  </si>
  <si>
    <t>02/09/2021</t>
  </si>
  <si>
    <t>cb-50850</t>
  </si>
  <si>
    <t xml:space="preserve">Client depuis 15 ans lorsque j'ai demandé le rachat total de mon assurance vie en urgence, Générali a utilisé tous les prétextes (souvent injustifiés) pour décaler la date du remboursement au plus tard. Résultat un remboursement plus de 3 mois après mois premier courrier recommandé.
</t>
  </si>
  <si>
    <t>Generali</t>
  </si>
  <si>
    <t>02/01/2017</t>
  </si>
  <si>
    <t>lola30000-68120</t>
  </si>
  <si>
    <t xml:space="preserve">Axa La grande Motte agence Picon et Vignon sont bons seulement pour prélever les cotisations ensuite il n y a plus personne... Aucune réponse aux mails pour un seul sinistre en 11 ans d assurance... Je me suis même aperçu qu il avaient "oublié" d augmenter mon bonus 3 années de suite et ceci n est toujours pas rétabli 2 ans après ! Une honte ! Un personnel hautain et je m enfoutiste... Je pensais payer le prix fort pour une garantie maximum, résultat :je paye le prix fort pour Rien du tout !!! </t>
  </si>
  <si>
    <t>27/10/2018</t>
  </si>
  <si>
    <t>alexia-lr-99972</t>
  </si>
  <si>
    <t xml:space="preserve">A éviter. Devis ou l’on vous propose de payer en annuel j’appelle pour pouvoir payer en mensuel la personne au téléphone me dit que cela n’est pas possible «  je n’ai pas la main dessus » ... ne cherche pas de solution ...
manque de bol à quoi cela sert de vous appeler?
Et puis mon mari a souscrit à ma place.
La différence entre lui et moi hormis le sexe et l’âge c’est la profession. Bizarrement il a pu souscrire en mensuel en étant salarié , et moi artisant non ... belle discrimination ... Serait ce dut à la conjoncture ? 
Dommage j’étais assuré en voiture (à mon nom en mensuel et à mon compte bien sûr) depuis pas mal de temps chez eux je pense du coup changer bien vite </t>
  </si>
  <si>
    <t>10/11/2020</t>
  </si>
  <si>
    <t>gimenez-camunas-l-128608</t>
  </si>
  <si>
    <t xml:space="preserve">Je suis très satisfaite, j'ai trois assurances et aucun problème retrouvé. La qualité du service est irréprochable et la prise en charge très bien suivie.  </t>
  </si>
  <si>
    <t>19/08/2021</t>
  </si>
  <si>
    <t>bycs57-69213</t>
  </si>
  <si>
    <t xml:space="preserve">En tant qu'héritier d'un actiplus (assurance vie), 2 remarques :
- un délai de traitement très long, plusieurs mois. Il faut relancer,
- le décès d'un sociétaire et donc la clôture du contrat en cours d'année font que les intérêts servis pour l'année  sont réduits au minimum, 0,37% jusqu'au décès, puis 0,50 %., ensuite au lieu de 1,50 % (données 2020). Je trouve cela assez choquant d'assimiler le décès à toute autre forme de clôture. 
Sinon, le personnel au téléphone est très aimable. Malheureusement, les promesses du service succession quant au délai ne sont pas tenues. </t>
  </si>
  <si>
    <t>08/03/2021</t>
  </si>
  <si>
    <t>montalembert-127374</t>
  </si>
  <si>
    <t>Prix attractif, signature d'un contrat avec un échéancier, tout va bien...
Le crédit entre en amortissement et Generali augmente son tarif de 30%....AUCUNE EXPLICATION
On ne peut avoir le gestionnaire au tel, il faut écrire et là, plusieurs lapins sortent du chapeau : contrat modifié car le crédit est entré en amortissement 3 ans après (eh oui, c'était une VEFA mais le CRD reste le même), credit devenu à échéance variable (quel pro de ne pas faire la différence entre des interêts intercalaires et une échéance variable), au 2° courrier : l'état demande 9% de collecte pour toute modification de crédit...mais il n'est pas modifié !!!
J'en passe et des meilleurs, je n'ose même pas imaginé si malheureusement je devais actionner la garantie
Bref, A EVITER
Ah oui : nous sommes le 11/08, j'ai écrit une réclamation le 03 et le service réclamation : rien, nada,..même pas un simple AR</t>
  </si>
  <si>
    <t>10/08/2021</t>
  </si>
  <si>
    <t>abdelkader--a-128887</t>
  </si>
  <si>
    <t xml:space="preserve">Merci pour m’avoir assuré  et je suis ravi sa était rapide et fiable j’espère ne pas avoir de soucis en cas de sinistre et que mes renboursement ce font le plus rapide possible </t>
  </si>
  <si>
    <t>21/08/2021</t>
  </si>
  <si>
    <t>olivier28500-72087</t>
  </si>
  <si>
    <t>Mon dossier doit passer en commission....1.5 mois d'attente. Personne n'est capable de me renseigner. Une catastrophe</t>
  </si>
  <si>
    <t>12/03/2019</t>
  </si>
  <si>
    <t>topaloglu-y-138164</t>
  </si>
  <si>
    <t>je suis satisfaite de l'assurance à l’écoute et sait répondre à toute les questions.
très rapide pour l'envoi des documents. 
je recommande l'olivier assurance</t>
  </si>
  <si>
    <t>24/10/2021</t>
  </si>
  <si>
    <t>sophie29-70648</t>
  </si>
  <si>
    <t xml:space="preserve">Bonjour, prélevè le 04 janvier par erreur toujours pas de remboursement !! reçu un appel de confirmation et texto le 09 et le 27 toujours rien sur mon compte ne ne comprend pas 367 euros pour rien en double merci de faire le remboursement </t>
  </si>
  <si>
    <t>27/01/2019</t>
  </si>
  <si>
    <t>nek-102961</t>
  </si>
  <si>
    <t>J'ai pas encore une longue expérience avec l'olivier assurance mais j'ai dû refuser un bon de commande pour ma voiture, malheureusement à cause de soucis de banque la nouvelle livraison est sans-cesse reculée. J'ai tout de même décidé d'appeler L'Olivier pour voir ce qu'il est possible de faire dans mon cas.
Deux solutions:
1. Soit je résilie et je suis remboursé de 11 mois
2. Soit je suspens l'assurance et je perds 1 mois
Résumé de la situation: je paie un mois d'assurance pour une voiture qui n'existe pas.
Je l'ai mauvaise. Mon contrat n'est même pas finalisé car je n'ai pas les documents nécessaires ce qui complique le contact !</t>
  </si>
  <si>
    <t>20/01/2021</t>
  </si>
  <si>
    <t>01/01/2021</t>
  </si>
  <si>
    <t>nathalie-s-129864</t>
  </si>
  <si>
    <t>Votre simulateur est simple d'utilisation bravo ! La souscription est simple et rapide et pas besoin de payer six mois d'avance. Merci direct assurances</t>
  </si>
  <si>
    <t>28/08/2021</t>
  </si>
  <si>
    <t>jones-55962</t>
  </si>
  <si>
    <t>a deconseiller.
SERVICE CLIENT PAYANT avec une attente et une mauvaise liaison. Pas d'autre numéros pour régler un problème . DIALOGUE DE SOURD. Manque de dialogue constructif. Ils prenne votre argent à le première de la souscription, ensuite GALERE GALERE GALERE</t>
  </si>
  <si>
    <t>Active Assurances</t>
  </si>
  <si>
    <t>11/07/2017</t>
  </si>
  <si>
    <t>01/07/2017</t>
  </si>
  <si>
    <t>esnou-n-127646</t>
  </si>
  <si>
    <t>Globalement je suis satisfaite du prix, de l'accompagnement des téléconseillers de l'Olivier et de la rapidité de prise en compte de ma demande. L'interface est plutôt simple à utiliser.</t>
  </si>
  <si>
    <t>12/08/2021</t>
  </si>
  <si>
    <t>chevallier-b-112947</t>
  </si>
  <si>
    <t>Je découvre le site a l'air bien fait et pratique. Ce contrat est pour le véhicule de mon fils. J'envisagerai certainement de prendre mon propre contrat chez vous.</t>
  </si>
  <si>
    <t>06/05/2021</t>
  </si>
  <si>
    <t>daniel-o-128681</t>
  </si>
  <si>
    <t xml:space="preserve">je suis très satisfait de la relation avec votre service téléphonique !
bravo pour l'accueil et le professionnalisme de vos collaborateurs !
félicitation également pour la qualité du service téléphonique et mis en place par la GMF  </t>
  </si>
  <si>
    <t>anne-marie-c-122091</t>
  </si>
  <si>
    <t>Le prix a explosé je ne suis pas satisfaite. Je demande un geste commercial il serait le bien venu. Si vous pouviez faire le nécessaire, ça m'arrangerait bien. Merci.</t>
  </si>
  <si>
    <t>titi-99299</t>
  </si>
  <si>
    <t xml:space="preserve">Je suis ravi de mon assurance amv franchement au top réponse rapide vraiment une très bonne assurance merci a toute l équipes pour votre professionnalisme 
Cordialement </t>
  </si>
  <si>
    <t>27/10/2020</t>
  </si>
  <si>
    <t>milingui-g-122787</t>
  </si>
  <si>
    <t xml:space="preserve">Satisfaction globale
Le délai d'attente de la carte verte pourrait être réduit à 3 jours ouvrés minimum 
Une attestation d'assurance pourrait être émis à tous moments pendant la durée de la procédure. </t>
  </si>
  <si>
    <t>08/07/2021</t>
  </si>
  <si>
    <t>charly-d-137363</t>
  </si>
  <si>
    <t>je suis très satisfait des tarifs proposés sur l'olivier assurance, je recommande. les tarifs proposés sont beaucoup moins cher que la concurrence avec des garanties égales</t>
  </si>
  <si>
    <t>13/10/2021</t>
  </si>
  <si>
    <t>christian-a-111905</t>
  </si>
  <si>
    <t>Satisfait en global de la prestation mais le prix de l'assurance auto pourrait être plus bas avec la situation actuelle qui empeche l'utilisation "normale" de son véhicule</t>
  </si>
  <si>
    <t>28/04/2021</t>
  </si>
  <si>
    <t>boukadida-a-136014</t>
  </si>
  <si>
    <t xml:space="preserve">La prise en charge à été rapide, professionnelle.
La conseillère était très agréable, chaleureuse, compétente, très claire dans ses explications, et très bien dans tous. </t>
  </si>
  <si>
    <t>isabelle-j-105277</t>
  </si>
  <si>
    <t>J,'ai trouvé une assurance auto aussi complète et moins chère.
Surtout concernant la franchise et la valeur de remplacement du véhicule
C'est la raison pour laquelle j'ai résilié mon contrat auto chez direct Assurances.
Sinon le service client et la hotline sont très bien</t>
  </si>
  <si>
    <t>03/03/2021</t>
  </si>
  <si>
    <t>charleyne-d-133589</t>
  </si>
  <si>
    <t>Le prix est attractif et la souscription en ligne est très simple à effectuer.
De plus, la résiliation auprès de l'ancien assureur est prise en charge.</t>
  </si>
  <si>
    <t>20/09/2021</t>
  </si>
  <si>
    <t>keomany-s-134984</t>
  </si>
  <si>
    <t xml:space="preserve">Satisfait du service client, du délai de traitement de mon dossier et du tarif proposé. A l'avenir je conseillerai l'olivier à mes proches et ma famille. </t>
  </si>
  <si>
    <t>29/09/2021</t>
  </si>
  <si>
    <t>sarah-c-114100</t>
  </si>
  <si>
    <t>simple et pratique de pouvoir souscrire en ligne et éviter de se déplacer
tarif correct par rapport aux concurrents 
Rapide, moins de 5min pour pouvoir être assuré dès le lendemain</t>
  </si>
  <si>
    <t>mouns9999-58776</t>
  </si>
  <si>
    <t>Au début le prix sa aller mais plus les années passent et plus le prix augmente malgré mon bonus. De plus en cas d accident non responsable il ne font aucun démarche .</t>
  </si>
  <si>
    <t>12/11/2017</t>
  </si>
  <si>
    <t>01/11/2017</t>
  </si>
  <si>
    <t>franco91-78652</t>
  </si>
  <si>
    <t>augmentation de tarif de 200% entre 1995 et 2019 (l'inflation n'a augmenté que de 36% sur cette période) alors que le logement est inchangé et qu'il n'y a eu aucun sinistre en 23 ans</t>
  </si>
  <si>
    <t>24/08/2019</t>
  </si>
  <si>
    <t>01/08/2019</t>
  </si>
  <si>
    <t>thierry-c-116021</t>
  </si>
  <si>
    <t>J'ai été très satisfait du service et de l'accompagnement que j'ai reçu de la téléopératrice ce jour. Elle a été exceptionnelle. Mieux que qu'hier pas du tout agréable et les précédentes fois. Juste satisfaisant. 
Merci encore à la téléopératrice du jour ! Félicitations.</t>
  </si>
  <si>
    <t>yann-v-103644</t>
  </si>
  <si>
    <t>Conseillère au top, disponible , professionnelle, réactive et très claire dans les explications.
Je recommande.
Economie réalisée d'environ 13000 euros, avec de meilleures garanties en prime.
Merci à Imane</t>
  </si>
  <si>
    <t>Zen'Up</t>
  </si>
  <si>
    <t>03/02/2021</t>
  </si>
  <si>
    <t>jerome-l-111761</t>
  </si>
  <si>
    <t xml:space="preserve">Je suis satisfait simple rapide et efficace je souhaite le partager à tout mes amis de France et ailleurs pour qu il puisse être au courant des meilleurs tarifs </t>
  </si>
  <si>
    <t>26/04/2021</t>
  </si>
  <si>
    <t>titi44-104117</t>
  </si>
  <si>
    <t xml:space="preserve">Bonjour,
Je suis très déçu de cette assurance. Il y a pas de soucis pour prélever tous les mois mais quand il s'agit de faire fonctionner le système c'est plus compliquée. J'ai établie un dossier complet (envoyé avec accusé de réception) concernant mon arrêt maladie qui date du 3 septembre. J'ai eu déjà énormément de mal à avoir un interlocuteur. 40 minutes d'attentes, après l'opératrice a été très cordiale mais un peu perdu... J'ai appelé plusieurs fois pour savoir où en était mon dossier....réponse :Nous l'avons bien reçu, il y a beaucoup de semaine de retard. Ok mais c'est plus des semaines, c'est des mois... Je regrette le manque de communication, je suis agacée par le manque de réponse... J'ai plusieurs fois demandé si je serais remboursée de la consultation de mon médecin (demande de cardif d'un certificat du médecin traitant avec détails). Mon médecin a refusé de facturé cette consultation à la cpam... Aucun conseillé n'as pu me répondre..
On final, mon assurance emprunteur cardif pour l'avoir sollicité m'a coûter le prix d'une consultation médical et je ne suis même pas sur de pouvoir compter sur mon contrat car aucune réponse... Délais de traitement hallucinant... Je suis inquiète pour la suite avec cette assurance qui n'apporte aucun élément secure...
</t>
  </si>
  <si>
    <t>13/02/2021</t>
  </si>
  <si>
    <t>gerard-76324</t>
  </si>
  <si>
    <t>Policier à la retraite, je suis adhérent depuis 1982.J'ai souscrit le niveau tradition et je n'ai eu que très rarement besoin de ma mutuelle. Quelle ne fut ma surprise de ne pas çtre remboursé pour un simple remboursement de 15 euros de dépassement pour un cardio. A 180 euros mensuuel; j'ai décidé de partir</t>
  </si>
  <si>
    <t>29/05/2019</t>
  </si>
  <si>
    <t>01/05/2019</t>
  </si>
  <si>
    <t>moreel-p-112926</t>
  </si>
  <si>
    <t xml:space="preserve">Je suis satisfait  à a été très rapide et simple avec peu de attente au téléphone. Les conseillers ont été très clairs et on rapidement répondu à mes demande </t>
  </si>
  <si>
    <t>tiron-w-124023</t>
  </si>
  <si>
    <t>Je suis satisfaite de Lolivier pour les tarifs. Cependant les frais de dossier sont excessifs. Surtout que pour le contrat de mon fils, on va le mettre conducteur principal dans un mois car il aura 18 ans et on me dit que je paierai encore les frais de dossier. Sachant que j ai déjà 2 contrats, je trouve cela un peu fort.</t>
  </si>
  <si>
    <t>21/07/2021</t>
  </si>
  <si>
    <t>marie-therese-r-109108</t>
  </si>
  <si>
    <t xml:space="preserve">je suis satisfaite des services de 'direct assurances ,prix corrects ,simple et rapide ,les interlocuteurs très aimables ,je recommande autour de moi </t>
  </si>
  <si>
    <t>04/04/2021</t>
  </si>
  <si>
    <t>letort-m-125041</t>
  </si>
  <si>
    <t>Prix convenable, simple, rapide et efficace !
Très bon contact avec mon interlocuteur qui a su prendre en compte mes demandes pour une assurance jeune conducteur.</t>
  </si>
  <si>
    <t>dominique-s-117231</t>
  </si>
  <si>
    <t>Je suis satisfait du service, j'obtiens les réponses à mes demandes rapidement que ce soit positif ou négatif. c'est assez simple pour transmettre des documents</t>
  </si>
  <si>
    <t>16/06/2021</t>
  </si>
  <si>
    <t>fouine72-81620</t>
  </si>
  <si>
    <t>Très bonne assurance très contente d'avance arrêter toutes mes assurances pour allez chez eux</t>
  </si>
  <si>
    <t>05/02/2020</t>
  </si>
  <si>
    <t>martine-b-123554</t>
  </si>
  <si>
    <t xml:space="preserve">Parfait si tout se passe bien pour la suite.
Jusqu'à la validation du devis et l'inscription en ligne tout s'est bien passé. J'attends de voir si la suite va aussi. </t>
  </si>
  <si>
    <t>16/07/2021</t>
  </si>
  <si>
    <t>xiaotong-y-137120</t>
  </si>
  <si>
    <t>Nouveau client satisfait du prix et des services. Je ne donnerai pas plus d'avis car je suis nouveau client chez vous. J'espère que tout se passera bien merci</t>
  </si>
  <si>
    <t>decue92-56275</t>
  </si>
  <si>
    <t>Assurée tous risques et client depuis près de 30 ans Malgré un tiers identifié, un temoin et un dépôt de plainte et confirmation par la macif de ma totale non responsabilité,la macif diffère le remboursement de la franchise depuis le 11 janvier 2017 au prétexte qu elle n a pu obtenir le remboursement de l assurance adverse.</t>
  </si>
  <si>
    <t>25/07/2017</t>
  </si>
  <si>
    <t>paulette-89505</t>
  </si>
  <si>
    <t xml:space="preserve">une vrai galère, je leur fourni une facture et ils ne comprennent rien refusent de rembourser un avoir qui concerne des soins </t>
  </si>
  <si>
    <t>SantéVet</t>
  </si>
  <si>
    <t>animaux</t>
  </si>
  <si>
    <t>10/05/2020</t>
  </si>
  <si>
    <t>david04061982-57355</t>
  </si>
  <si>
    <t>j'ai été très satisfait de l'échange que j'ai eu avec Peyrac assurances. j'ai souscrit à cette assurance pour mon scoot car c'était la moins et la mieux notée sur les forums et sites d'opinion, et je comprend pourquoi.
tout était clair, l'envoi de le carte verte ultra rapide, et l'adhésion en 3 minutes.
ma conseillère était très pro et charmante.
je recommande !</t>
  </si>
  <si>
    <t>Peyrac Assurances</t>
  </si>
  <si>
    <t>15/09/2017</t>
  </si>
  <si>
    <t>jean-lucien-d-125080</t>
  </si>
  <si>
    <t>Très satisfait de vos prestations bon rapport qualité prix merci je suis déjà client c'est la raison pour laquelle je continue à m'assurer chez vous très très satisfait</t>
  </si>
  <si>
    <t>semalensois-93960</t>
  </si>
  <si>
    <t>Au bout de 42 ans, je viens de résilier le dernier contrat des cinq que j'avais à la GMF.
La raison : Si vous laissez filer les renouvellements des contrats, on vous prend pour la vache à lait. A tel point, qu'une demande de devis GMF pour une auto dont j'avais résilié le contrat un an auparavant, était 40% moins cher pour ce même véhicule à garantie égale hors promotion. Enorme !!!</t>
  </si>
  <si>
    <t>13/07/2020</t>
  </si>
  <si>
    <t>hash-78262</t>
  </si>
  <si>
    <t>Client depuis 20 ans, la qualité de cette assureur a beaucoup changée, en mal, mais les tarifs eux sont deux voir trois fois plus chers pour les même garanties.
En 2018 suite aux intempéries répétées ma toiture a été endommagée.
Ma commune a été déclarée catastrophe naturelle, mais malgré ça, sur 6000 euros de travaux, je n'ai obtenu que 1400 euros d'indemnisation car mon toit atteint soit disant un coefficient de vétusté de 100% suite au passage d'un expert qui reconnait lui même ne rien connaitre aux toits en chaume, et qui se contentera de faire l'inventaire à l'oeil de mon mobilier intérieur, et de prendre les mesures de mes pièces, déclarant que je n'avais pas une fourchette d'indemnisation assez élevée.
954 ont été versés jusqu'à présent.
Normalement la suite de l'indemnisation aurait du suivre, mais la MAIF a clôturée mon dossier sinistre et ne versera jamais le reste.
Ils ont tout fait pour ne pas m'indemniser, jusqu'à me traiter de menteur, me dire que je ne savais pas lire puisque je ne connaissais pas sur le bout des doigts mon contrat d'assurance, ils m'ont empêché d'ouvrir des dossiers sinistres distincts dans les temps impartis, rendant par la même mes recours impossibles, ils ont fait traîner le dossier le plus possible à tous niveaux, ils m'ont dit qu'ils prenaient en charge les conséquences, mais pas les causes, sans savoir m'expliquer le détail de cette phrase (en gros ils remboursent les infiltrations d'eau par le toit, mais pas l'endroit ou la toiture est abîmée), ils m'ont dit qu'ils avaient vérifié la météo et que j'étais un menteur, qu'il n'y avait eu aucune intempérie (j'habite en pleine campagne, la station météo la plus proche est à plusieurs kilomètres, et les intempéries peuvent être très localisées).
Bref ils ont tout fait pour éviter de m'indemniser et ce malgré le fait qu'en 20 ans j'ai payé presque 30 000 euros de primes d'assurances et je n'ai eu que deux sinistres auto pour un total de 650 euros.
Ces gens sont une Honte.
Je relativise juste le fait que je n'espère pas mieux ailleurs, et je suggère vivement aux sinistrés de faire appel à un avocat en droit des assurances dès que le sinistre est conséquent.
En revanche pour les mêmes garanties je suis passé de 1400 euros de prime annuelle tout MAIF, à 600 euros, comme ça la différence me servira à payer les dégâts de ma poche si mon assureur me prend encore pour un lapin de garenne.
Fuyez la MAIF.</t>
  </si>
  <si>
    <t>07/08/2019</t>
  </si>
  <si>
    <t>boonette-104957</t>
  </si>
  <si>
    <t>Satisfaite sur la rapidité et l'information.
On peut être informé aussi bien par mail, site internet ou téléphone avec des reponses rapides. Différents contrats intéressants.</t>
  </si>
  <si>
    <t>agathe-63736</t>
  </si>
  <si>
    <t>A fuire très vite. J'ai eu un accident le 24 avril. J étais à l'arrêt au feu quand le camion sur ma gauche a décidé de se rabattre sur ma voiture... jusque là je garde mon calme. Nous faisons donc le constat. Le conducteur est de très mauvaise foi bien sûr et très irrespectueux, vu qu' il est en tord sauf que ma voiture elle, est dans un etat...... J appel de suite l'assureur pour éviter tout oubli sur le constat. Je tombe sur quelqu' un d'apparence réactif.. C'est tout autre au bout du compte. Je lui énumère donc l'avant de mon véhicule puis en voulant aller vers mon coffre je constate que l'arrière du véhicule et également rayé . . Il me dit le prendre compte et me demande de lui transmettre le constat. Nous fixons ensemble le garage partenaire avec lequel nous allons effectuer ls reparations. Je raccroche et m'exécute pour l'envoi du constat. Des le lendemain je dépose la voiture au garage qui me dit qu' il a bien reçu l énumération des dommages mais que l'arrière de mon véhicule n'y figure pas ... 1er problème. Je lui demande quand mm de prendre les photos de l'arrière car les rayures ainsi que les traces de peintures résulte bien du choc de ce foutu camion. Donc l'expertise se fait sur photos super les nouvelle technologies. Je recontacte l'assureur dans la foulée qui me garantit que larriere a bien été stipulé mais qu' il faut aller dans le déroulé du menu que le garagiste n'a pas fait le nécessaire.
Ok .. Je garde cependant mon calme et reste conciliante. Dans lapres midi le rapport d expertise tombe le choc avant est pris en compte avec franchise et l'arrière pour l expert est le résultat d un autre accident mais bien sur... 
Je recontacte direct assurance il me confirme que je n'ai aucune franchise que l'expert n'a pas lu leur rapport. (Bien sur tellement simple de ce rejeter la faute). Et que le choc arrière avait bien été mentionné ns sommes donc le 26 avril. 
Impossible de contacter l'expert je commence vraiment à douter du travail de l'assureur. 
Il me garanti avoir fait le nécessaire et me propose donc une conférence téléphonique. Je ne vais pas refuser.
Comme par hasard aucunes reponses.
J ai du appeler l'expert une 20taine de fois avant de tomber sur une secrétaire on ne peut plus désagréable qui a oser me dire de faire un nouveau constat et que la décision de l expert ne changerai pas d'avis que en gros j'était une menteuse  ok.  Je perds patience et demande l expert qui est toujours indisponible. L'assureur lui silence radio . Le lendemain l'assureur mappel pour me dire d'engager une contre expertise a mes frais et de me débrouiller pour trouver un nouveau expert.qu ils ont fait leur rôle d'interlocuteurs. Je paye pas 1000 euros de cotisation a l'année pr un interlocuteur a ce que je sache?  Bref je comprends que je vais devoir me débrouiller seule. L'expert prends enfin contact ce vendredi 27 et m'indique n'avoir jms reçu le constat ... non MAIS JE RÊVE. Déjà une expertise sur photos mais sans constat c'est magnifique. 
Donc de 1 l'assureur sa déclaration compte pr des prunes.
De 2 c'est sur que sur photos c'est la réalité.
De 3 sans constat c'est toujours plus parlant.
Et m'indique que j'ai bien eu un accident dans le passé et que jessaye de glisser une portière et une aile arrière je commence à sérieusement menerver. Je lui explique être assurée tout risques. mon véhicule passe le plus clair de son temps en parking. Il me dit transmettez moi le constat ok.
Qu'il va voir cela et me recontacter.
Je fais donc encore le boulot de DIRECT ASSURANCE . C'est normale.
Aucun retour de l'expert vu qu' il fait le pont. Sympa.
Appel à l'assureur lundi le gestionnaire de mon dossier a qui J ai déjà envoyé 3 mail depuis jeudi est trop occupé pr me répondre. J ai toujours une franchise. Aucun retour j'exige un mail à l interlocutrice et me dit relancer l expert. Nous sommes le 30 avril.
1er mai étant férié rien ne se passe 
Hier donc 2 Mai je recontacte pour la 50eme fois mon gestionnaire qui n'a toujours pas répondu à mes mails de jeudi dernier. On m'indique qu il n est pas dispo mais qu' il faut que je renvoi mon constat. Donc 1 semaine après on me fait comprendre qu' il non pas reçu ce fameux constat un scandale. Je reste calme. Je renvoi pour la 3e fois le constat.
Le soir le gestionnaire a enfin pointé le bout de son nez pr me dire qu' il a eu l'expert je le laisse donc parler.
Il m'indique que l'expert maintient sa position ok. Qu'il lui a adresser un mail en date du 26 avril sauf que depuis le 26 avril je lui stipule que de leau a couler et que j'ai eu l'expert de la sa mauvaise foi apparaît je lui demande donc que nous prenions contact ensemble, comme propose precedement. Et la c'est un non catégorique. Ce n'est pas son travail il n'a pas à faire ça il reste à son travail d'assureur (ou pas) et que g cas moi mm le contacter... un jeu de ping pong sans fin. Sans écoute. un véhicule qui ne roule pas. Un gestionnaire incompétent et incohérent dans ses dires. Limite mythomane. Je perds patience je vais donc faire un dépôt de plainte contre l expert qui fait la pluie et le beau temps sur photos et contacter mon avocat pour le manque de considération, sérieux, suivi et professionalisme de ce gestionnaire de DIRECT ASSURANCE. Je suis victime. Je paye pour une prestation qui ne sert a rien et qui embauche des gens incompétents.</t>
  </si>
  <si>
    <t>03/05/2018</t>
  </si>
  <si>
    <t>kipstas95-52629</t>
  </si>
  <si>
    <t>les tarifs sont intéressant quand on est nouveau client par exemple pour ma voiture devis sur internet 960 euros pour l'année et moi qui est chez direct assurance depuis 3 ans 1539 euros</t>
  </si>
  <si>
    <t>21/02/2017</t>
  </si>
  <si>
    <t>01/02/2017</t>
  </si>
  <si>
    <t>feoh-116222</t>
  </si>
  <si>
    <t>Je ne peux hélas pas juger cette assurance sur les tarifs, puisqu'elle exerce par défaut une discrimination envers les personnes handicapées sans explications.
Ils m'ont demandé des documents concernant mon handicap, et ont statué par un « non » ferme et définitif avant même de recevoir les documents et donc de pouvoir juger de mon réel état de santé !
Dès que vous cochez une case « problèmes de santé », ils vous refusent sans explication
Discriminatoire, procédure indigne !</t>
  </si>
  <si>
    <t>Afi Esca</t>
  </si>
  <si>
    <t>07/06/2021</t>
  </si>
  <si>
    <t>kevin-p-124787</t>
  </si>
  <si>
    <t xml:space="preserve">Je suis ancien client et tout ce que je vois c'est que le prix de mes assurances augmentent constamment. (2 logements et 1 véhicule).
J'ai pas l'impression que la fidélité est récompensé </t>
  </si>
  <si>
    <t>26/07/2021</t>
  </si>
  <si>
    <t>filou95590-66663</t>
  </si>
  <si>
    <t>J'ai annulé mon adhésion le 14 février 2019
Je reçois une lettre de confirmation le 27 février 2019
Je suis prélevé de deux mois février et mars le 06 mars 2019
J'ai contacté le service client le 06 mars 2019 qui me confirme le remboursement d'ici le 20 mars 2019
Contact pris aujourd'hui rien n'est fait
Ils transmettent au service litige
Le prélèvement est illégal car non dû</t>
  </si>
  <si>
    <t>25/03/2019</t>
  </si>
  <si>
    <t>gourville-j-128439</t>
  </si>
  <si>
    <t>Les prix sont compétitifs et modulables,
l'accueil téléphonique et le suivi est très professionnel,rapide et efficace.
Les offres exclusives clients sont attractives et bien pensés</t>
  </si>
  <si>
    <t>18/08/2021</t>
  </si>
  <si>
    <t>vince-42936</t>
  </si>
  <si>
    <t>J'ai 4 contrats chez eux et je cotise 2200€/an. J'ai eu 2 dégâts des eaux en 2 ans à mon domicile. Tout c'est bien passé jusqu'à ce que l'on reçoive un courrier qui nous informes qu'ils mettent fin à notre contrat habitation! C'est inadmissible de faire subir une double peine à leurs clients!
N'est ce pas la le fonctionnement d'une assurance : cotiser pour prendre en charge des dégâts liés à un sinistre?? (non responsable en +...). Je me suis renseigné et c'est une spécialité de "MAAF assurance" malgré qu'ils se soient engagés à ne pas le faire...
Autre sujet, j'attends depuis un an mon indemnité corporelle ainsi que mon remboursement sur ma perte de salaire suite à mon accident de moto causé par un tiers!</t>
  </si>
  <si>
    <t>21/10/2020</t>
  </si>
  <si>
    <t>alain-d-112110</t>
  </si>
  <si>
    <t>Accueil téléphonique un peu long mais satisfait des réponses à mes questions.
Relativement simple et rapide pour être assuré.
Rien à ajouter ..........</t>
  </si>
  <si>
    <t>29/04/2021</t>
  </si>
  <si>
    <t>alain-51240</t>
  </si>
  <si>
    <t>tous ce passait bien mais j ai changer d agence et la tout a été volo ne jamais allé dans l agence de bourges . du moins tant qu il y aura le nouveau chef d agence</t>
  </si>
  <si>
    <t>12/01/2017</t>
  </si>
  <si>
    <t>david-m-107749</t>
  </si>
  <si>
    <t>Pas encore d'avis car je viens tout juste de souscrire à une offre d'assurance automobile.
Je serais, à même, de pouvoir juger du sérieux de votre entreprise au premier sinistre.</t>
  </si>
  <si>
    <t>pinquier-t-116234</t>
  </si>
  <si>
    <t xml:space="preserve">Je suis satisfait des services et des prix proposés ! L’inscription ainsi que les démarches se font facilement, je conseille cette assurance !        </t>
  </si>
  <si>
    <t>gero26-85895</t>
  </si>
  <si>
    <t>je ne sais pas si ils sont incompétents ou revanchards mais çà fait des mois que je les appelles (après d'interminables attente ou l'on vous fait patienter en vous rabâchant qu'un conseiller va prendre votre appel pour au final au bout de6 minutes vous dire que ce n'est plus possible et de renouveler votre appel ultérieurement) pour leur demander de s'enlever du site de l'assurance maladie afin de pouvoir bénéficier de la télétransmission.
en vain .Courrier mails téléphone rien ne marche.
incompétents ou revanchards.A FUIR</t>
  </si>
  <si>
    <t>14/01/2020</t>
  </si>
  <si>
    <t>galimidi-d-116622</t>
  </si>
  <si>
    <t>Je suis satisfait du service client très pro et sympathique.
Au niveau prix c'est tout à fait raisonnable. 
Je conseillerai l'Olivier assurance à mes amis</t>
  </si>
  <si>
    <t>10/06/2021</t>
  </si>
  <si>
    <t>romain-58334</t>
  </si>
  <si>
    <t xml:space="preserve">Histoire vécue:
En 2015 nous avons subi un dégâts des eaux (salle de bain et cuisine HS) qui, en partie a cause de l'incompétence de notre assureur Allianz, nous a couté 2 mois d'hôtel, un déménagement et quantité de galères. L'appartement étant inhabitable, nous avons résilié notre contrat d'assurance.
Pas de chance à quelques jours près nous nous étions réengagés par cheque pour un an.
Nous avons demandé le remboursement au prorata sans trop y croire et bien évidement pas de remboursement. Trop noyés sous les problème nous nous sommes résignés à laisser cette assurance sur un logement inhabité pendant 1 an. Suite à cela nous avons trouvé un nouveau logement, pris une autre assurance et nous tournions enfin la page de cette difficile expérience.
 Le 18/08/2017, nous recevons un appel d'une agence de recouvrement nommée Intrum Justicia, puis un courrier très agressif le 28/08/2017. Nous avons fournis les copies de notre lettre de résiliation + accusé de réception mais rien à faire Allianz nous réclame 370€ dans un nouveau mail du 23/10/2017...
Un conseil pour vous qui cherchez une assurance:
Fuyez Allianz, ils traitent les clients comme des proies et ne vous lâcherons jamais.
Notre assurance était situé: 41 Avenue du Général de Gaulle, 94700 Maisons-Alfort
Quand nous avions besoin de lui, la phrase fétiche du directeur d'agence était: "Je ne signe jamais rien moi" Incroyable mais vrai...
</t>
  </si>
  <si>
    <t>24/10/2017</t>
  </si>
  <si>
    <t>01/10/2017</t>
  </si>
  <si>
    <t>franck-106455</t>
  </si>
  <si>
    <t xml:space="preserve">+ 18 % d'augmentation cette année 2021-2022 (soit + 100 €) sans aucun dommage depuis que je suis assuré chez eux et la plateforme téléphonique injoignable = bye bye la mutuelle des motards </t>
  </si>
  <si>
    <t>denis-f-124178</t>
  </si>
  <si>
    <t xml:space="preserve">Très satisfaite, rapide, agréable et compétent 
Il est très difficile de trouver des gens compétents et à l’ecoute
Je ne panquerzis de faire de la publicité pour cette compagnie </t>
  </si>
  <si>
    <t>22/07/2021</t>
  </si>
  <si>
    <t>lenny-m-115715</t>
  </si>
  <si>
    <t xml:space="preserve">Le contrat est souscrit en quelques clics,  les prix sont compétitifs. En attente de document, voir si c'est rapide ? A voir en cas de sinistre.......
</t>
  </si>
  <si>
    <t>sarrazin-c-125590</t>
  </si>
  <si>
    <t>Les prix sont largement en dessous de mon assurance auto que j'avais actuellement. Je suis ravie.
J'espère ne pas être dessus du service malgré que ce ne soit que en ligne. Je n'ai jamais eu de problème quand j'avais été chez vous.</t>
  </si>
  <si>
    <t>30/07/2021</t>
  </si>
  <si>
    <t>lahcen-b-112705</t>
  </si>
  <si>
    <t>BON ACCUEIL ET SERVICE .MERCI POUR NOS CONSEILLERS GMF.
Les pris me conviennent sauf que je me demande par apport aux accidents contre des animaux sauvages?</t>
  </si>
  <si>
    <t>05/05/2021</t>
  </si>
  <si>
    <t>nono-53227</t>
  </si>
  <si>
    <t>Bonjour à tous et à toutes! 
Je viens de lire plein de commentaires laisser par les assurés à la GMF et franchement je suis sur le cul de voir tous les mécontentements pour non prise en charge des sinistres ou autres! Cela fait 15 ans que je suis cz eux et je n'ai vraiment jamais eu de soucis avec eux... Lorsque je vois le nombre de personnes qui se font radier presque sans raisons, je vais me méfier d'eux à présent! 
Pour vous dire, en 2014, et étant en tous risques, j'ai eu malheureusement 2 accidents responsables dans le même Mois, qui leur a tout de même coûté la somme de 5000 Euros! J'ai payé ma franchise 2 fois de suite et les réparations ont été faites dans les tps.. Cependant, j'ai perdu mon bonus de 50% bien évidemment et pris un sacré Malus! Mais bon, c'était le prix à payer mais mon véhicule a été réparé 2 fois de suite dans le même Mois et sans aucun problèmes de leurs part! 
Et pour finir, j'ai aussi eu un bris de glace pare brise en 2016 d'une valeur de 600 Euros! Et toujours avec le même véhicule, je suis tombé en panne sur une départementale un dimanche et la prise en charge a été instantanée et mon déposé la voiture où je le souhaitais! Alors aux vues de vos commentaires affligeants, je sens bien qu'il ne vont pas me louper au prochain sinistre et je vais certainement recevoir une lettre de résiliation de contrat! lol 
Et cette semaine, je compte changer de véhicule, mais si ça se trouve, il ne vont même plus m'assurer...</t>
  </si>
  <si>
    <t>13/03/2017</t>
  </si>
  <si>
    <t>thierry-l-130595</t>
  </si>
  <si>
    <t>Parcours client extrêmement lourd pour le devis, alors que je suis déjà client :
Formulaire en ligne me demandant des renseignements déjà connus de vous, pour finir par un renvoi vers votre plate-forme téléphonique. 45mn au téléphone pour ne pas aboutir faute de lien efficient pour le paiement en ligne...</t>
  </si>
  <si>
    <t>agathel-90423</t>
  </si>
  <si>
    <t>Nous sommes très déçus par l'accompagnement et les prestations. Nous avons déclaré un sinistre qui n'a jamais été pris en charge car nous avons fait une déclaration qui ne semblait pas conforme à celle de l'expert. Nous avons pourtant bien été victime de vandalisme... et en plus nous avons dû débourser des sommes faramineuses dans un des garages de la MAIF (nous aurions fait appel à d'autres prestataires si nous avions su!). Le pire c'est que la réparation a été mal exécutée ! Une honte. Aucun service rendue, pas de remplacement de véhicule et pour couronner le tout des personnes désagréables et hautaines au téléphone. Fuyez cette assurance.</t>
  </si>
  <si>
    <t>11/06/2020</t>
  </si>
  <si>
    <t>tuvoulais-m-112997</t>
  </si>
  <si>
    <t>à peine 5 minutes que j'ai souscrit et on m'a demandé 4 fois mon avis, c'est vraiment super lourd. Comme je n'ai pas eu le choix j'ai fini par en laisser un</t>
  </si>
  <si>
    <t>07/05/2021</t>
  </si>
  <si>
    <t>francoise-96092</t>
  </si>
  <si>
    <t>Bonjour à tous, j'aimerai constituer un collectif de victimes Swiss Life. Ceux qui estiment en faire partie, merci de contacter. Mais je ne sais pas comment nous allons faire étant donné que nous avons des pseudos. Je donne donc mon adresse mail afin que vous me contactiez: sgfabienne@gmail.com
Cordialement</t>
  </si>
  <si>
    <t>SwissLife</t>
  </si>
  <si>
    <t>17/08/2020</t>
  </si>
  <si>
    <t>01/08/2020</t>
  </si>
  <si>
    <t>suzuki125gn-56443</t>
  </si>
  <si>
    <t xml:space="preserve">Bonjour le 17/03/2016 alors que je circuler sur ma moto. Je me suis engagé sur une route en travaux, ( aménagement du canal gros chantier ) au sol de la terre. Je réduit ma vitesse 40 km, la voiture devant moi freine, je freine a mon tour persuader  de la boue a terre. est non de la GLAISE. résultat  la moto s envole du coté gauche et tout le poids de la moto retombe sur moi, au sol premier instinct, se relever.
C’était pas  loin de chez moi 500 mètres. Je rentre est je sent que quelque chose bouge dans le haut du corps,  coup de frayeur ?  
Je file a l hôpital le docteur me dis que ces le sphincter qui s ai remis en place. je passe les radio résultat deux cote fracturé, sur le coup avec l adrénaline je ne pensez pas avoir deux cote fracturé,
et amv dans tout ça rien du tout une assurance est fait pour assuré  que se passe t il ? quand je l ai appel la secrétaire me dis qu on a des dossiers plus vieux que cela monsieur. Celle qui suit mon dossier un  film d horreur qui me prend de haut je demande a changer on me dis qu on me rappel plus personne. De plus 3 ans chez eux est aucun baisse des tarifs.
svp  AMV ne  pas répondre par votre réponse type du genre 
Bonjour x, votre avis a attiré toute notre attention et nous regrettons votre insatisfaction. Nous allons faire un point sur votre dossier sinistre et revenons vers vous en privé, par souci de confidentialité. Cordialement, x - Relations Clients
Bonjour x, nous regrettons votre insatisfaction et vous proposons de reprendre votre dossier sinistre pour faire un point sur l'instruction. Nous revenons vers vous en privé dans les meilleurs délais. Cordialement, x - Relations Clients
 on aura une preuve que vous avez eu le temps de me lire merci 
</t>
  </si>
  <si>
    <t>02/08/2017</t>
  </si>
  <si>
    <t>01/08/2017</t>
  </si>
  <si>
    <t>christ90-98573</t>
  </si>
  <si>
    <t>Si tout va bien pas de soucis, mais même un petit sinistre (declaré par telephone et mal compris ) cest la galere!! et surtout mauvaise foi de l operatrice!!.je me suis appercu de rayures et leger enfocement d une porte de mon vehicule assuré tout risque,j ai appelé par telephone pour déclarer cette situation et j ai emis l hippothèse d un dégât causé sur un parking de centre commercial sans l affirmer mais l opératrice n a pas enregistré.donc refus de prise en charge et accusation de fausse déclaration pourtant client GMF DEPUIS 1983.
Donc ne jamais faire de déclaration par téléphone.Des amis et moi allons donc clôturer tous les contrats (environ plus de 15 contrats auto et habitation)</t>
  </si>
  <si>
    <t>09/10/2020</t>
  </si>
  <si>
    <t>camilleraison-70532</t>
  </si>
  <si>
    <t>Satisfaite par la qualité et le délai de prise en charge via le chat !
10 min pour souscrire à une assurance et je ne m'occupe pas de résilier la mienne</t>
  </si>
  <si>
    <t>nabil-80104</t>
  </si>
  <si>
    <t>la personne caroline etait tres aimable et efficase par rapporte a mon envoit de carte provisoire  en attandent  ma carte deffinitive je suis satisfait</t>
  </si>
  <si>
    <t>16/10/2019</t>
  </si>
  <si>
    <t>pasbesoin-12711</t>
  </si>
  <si>
    <t>Assuré depuis un an j'avais choisi l'olivier pour son tarif interessant avec de bonnes garanties.Au bout d'un an la prime augmentait de 15% !!!! j'ai contacté l'olivier qui a immédiatement rectifié le tir.
Très satisfait</t>
  </si>
  <si>
    <t>04/11/2020</t>
  </si>
  <si>
    <t>briet-j-112928</t>
  </si>
  <si>
    <t>Bonjour, la souscription a l’assurance l’olivier est rapide et simple, les prix sont abordables mais on aimerait payer moins tout de même. Je ne me souhaite pas de sinistre mais je ne pourrais pas me faire une bonne ou mauvaise idée d’une assurance avant de l’avoir utilisée.</t>
  </si>
  <si>
    <t>sisse-98204</t>
  </si>
  <si>
    <t>C'est une catastrophe ! je n'arrive pas à les joindre ni par téléphone, ni par mail . Je ne sais pas quoi fair avec cette mutuelle ....Je suis restée aujourdh'ui plus que 30 minutes au téléphone , j'ai envoyé plusieurs mails .Aucune reponse ????</t>
  </si>
  <si>
    <t>richard-n-104993</t>
  </si>
  <si>
    <t>La finalisation du contrat est une vraie plaie. Il vous faut une appli mobile pour transmettre les photos de votre véhicule mais impossible de prendre une photo donc j'ai du me débrouiller pour les faire parvenir...
Le bug est là depuis de nombreux jours.... étrange j'espère tout de même bénéficier de ma remise annoncéee</t>
  </si>
  <si>
    <t>harfangdesneiges-54021</t>
  </si>
  <si>
    <t xml:space="preserve">A QUI DE DROIT
Je suis bénéficiaire d’un contrat d’assurance vie souscrit auprès de votre compagnie. La demande initiale au service de successions de Lyon date du 7/12/2016.
Le 17/1/2017, votre service a reçu la totalité des documents nécessaires au traitement et à la finalisation du dossier.
Selon l’article L. 132-23-1 du code des assurances, récemment modifié par l’article 3 de la loi Eckert du 13 juin 2014 relative aux comptes bancaires inactifs et aux contrats d’assurance vie en déshérence, indique pourtant clairement qu' " à réception des pièces (nécessaires au paiement), l’entreprise d’assurance verse dans un délai qui ne peut excéder un mois, le capital ou la rente garantis au bénéficiaire du contrat d’assurance vie ". 
Aussi la date butoir était le 17/2/2017.
Pourtant, à ce jour 11/4/2017, les sommes n’ont toujours pas été virées à mon compte. 
Bien sûr votre service à la clientèle va expliquer qu’il s’agit d’un virement international, blablabla… : la demande d’autorisation a été faite selon vos service le 26 janvier 2017 ???. Depuis selon votre même service, et je reprends mots pour mots : mon dossier est tombé DANS UN TROU DE LA RAQUETTE (très distingué comme vocabulaire!!).
Lors de mon 3e appel : le 14 mars 2017 à 9h32 heure de l’Est Nord Amérique, votre conseillère Alysson me confirmait que mon dossier serait traité en priorité avant le 17 mars 2017…. Or le 28 mars 2017 lors de mon 4e appel à 8h51 (heure de l’Est) on m’informe qu’il est en cours de finalisation. Donc avant 11jours de retard sur le délai confirmé auparavant. Et on me RE CONFIRME que je recevrais le virement d’ici 10 jours blalblabla…
Aujourd’hui soit 52 jours après la date butoir fixé par la Loi, mon dossier est encore à la comptabilité est devrait être traité sous peu….
Il me semble difficile à ce rythme de croire que la Compagnie se soucie réellement de la qualité des services offerts à ses clients qui la font vivre. Depuis 2012, selon les nombreuses plaintes sur internet et selon UFC votre compagnie à toujours plusieurs semaines de retards sur les délais autorisés. 
 Je vous prie donc de bien vouloir étudier sérieusement ce problème et d'y apporter des solutions aussi rapides qu'efficaces.
En effet, il ne s’agit pas ici seulement d’un préjudice moral et financier, il s’agit aussi de la rétention volontaire d’argent et de bien d’autrui.  
En terme de gestion, j’estime subir un préjudice résultant d’un manquement  professionnel de la part de Cardif, en effet  la rétention de ce capital depuis 52 jours représente un coût d'opportunité qu’il est facile de faire calculé par un actuaire.  C'est le coût d'une chose estimé en termes d'opportunités non-réalisées, ou encore la valeur de la meilleure autre option non-réalisée. Car malgré la pénalité de 8.32% d’intérêt que vous êtes supposer versé, j’ai moi-même d’autres utilisations prévues pour cet argent et que je ne peux réaliser, et dont n’importe quel arbitre juridique peut comprendre.
 Faute d'une résolution rapide de mon dossier  (c’est-à-dire la remise des sommes dont je suis la propriétaire) dans un délai de huit jours ouvrables, je me verrai dans l'obligation de chercher de l’aide auprès d’un organisme de protection des consommateurs et du Bureau d’éthique dont vous relevé soit l’Autorité Prudentiel et de Résolution.
Veuillez agréer, Madame, Monsieur, mes salutations. 
</t>
  </si>
  <si>
    <t>11/04/2017</t>
  </si>
  <si>
    <t>01/04/2017</t>
  </si>
  <si>
    <t>marc-94304</t>
  </si>
  <si>
    <t xml:space="preserve">Je n ai pas vu le montant de la franchise   Pour moi il n y a pas suffisamment d explication concernant les packs. J attend le devis final pour comparer </t>
  </si>
  <si>
    <t>16/07/2020</t>
  </si>
  <si>
    <t>man62110-98473</t>
  </si>
  <si>
    <t xml:space="preserve">depuis que j'ai souscrit chez l'olivier assurance je ne suis pas déçu du service des très bon conseillers qui sache bien leurs métier, bien placer sur les tarifs et très rapide sur nos demande, a aujourd'hui a ma familles est tout mes amis je leurs conseille cette assurance. </t>
  </si>
  <si>
    <t>07/10/2020</t>
  </si>
  <si>
    <t>benpot-99106</t>
  </si>
  <si>
    <t>Impossible à joindre une fois le sinistre déclaré... des heures d’attentes en ligne , de service en service.. c’est incroyable... par contre pour souscrire et être prélevé ça, ça va très vite... je comprends pas que cela puisse encore exister ...</t>
  </si>
  <si>
    <t>Sogessur</t>
  </si>
  <si>
    <t>gwendolinazarri-81047</t>
  </si>
  <si>
    <t>Très bonne assurances, à l'écoute pour les problèmes.</t>
  </si>
  <si>
    <t>15/11/2019</t>
  </si>
  <si>
    <t>01/11/2019</t>
  </si>
  <si>
    <t>pierre00075-80057</t>
  </si>
  <si>
    <t xml:space="preserve">Active assurances est un piège à éviter absolument, changent les tarifs après acceptation, service client non compétant, ne répond pas aux mails, mauvais calcul de prorata temporis, etc.
Cette assurance ne comporte aucun intérêt </t>
  </si>
  <si>
    <t>ninon--104257</t>
  </si>
  <si>
    <t xml:space="preserve">J'ai signé chez eu au bout d'une semaine ils m'ont dis que vous nous avez pas déclaré un sinistre ( pas responsable on m'a grillé le stop ) dans votre ancienne assurance du coup la cotisation augmente de 75 euro 
Donc je déconseille fortement cette assurance 
Geste commercial sur les frais de gestion 15euro ????
Nul a éviter </t>
  </si>
  <si>
    <t>16/02/2021</t>
  </si>
  <si>
    <t>raphy65-54663</t>
  </si>
  <si>
    <t>Nous avons reçu le capital décès  de maman, un peu long ,mais aimable au téléphone et pas  de difficulté  avec les pièces justificatives.
Compte tenu de la petite somme que versait maman , bon rapport qualité prix.
Je pense m assurer chez eux afin d assurer mes frais d obsèques.</t>
  </si>
  <si>
    <t>18/08/2017</t>
  </si>
  <si>
    <t>caramel-57430</t>
  </si>
  <si>
    <t>Il y a 6 ans, j'ai fait un prêt habitation à la BNP avec une assurance  de la Cardif. Lors d'un arrêt maladie de plus de 3 mois, j'ai fait une demande de prise en charge de mon prêt bancaire. Au bout de plusieurs semaines et de demandes pour non réponse, Cardif m'a demandé mes relevés CPAM depuis 6 ans ... de bonne foi, j'ai tout fourni, la demande me paraissant tout de même très confidentielle. J'ai là-dessus, reçu une réponse négative et avec un avis de radiation, car il m'est précisé que je n'avais pas mentionné sur mon questionnaire médical il y a 6 ans, que j'avais eu un arrêt de 5 semaines ( demande des arrêts de plus de 4 semaines sur le questionnaire)...cet arrêt n'ayant aucun rapport avec ma maladie actuelle, et ayant complètement oublié ce problème d'il y a 6 ans, qui n'a eu aucune incidence sur ma vie personnelle et professionnelle !
Je suis offusqué d'une telle attitude ... Je vais prendre toutes les mesures nécessaires une fois que je serai prête, pour faire valoir ce droit à l'oubli, qui ne devrait avoir aucune conséquence sur mon futur .</t>
  </si>
  <si>
    <t>18/09/2017</t>
  </si>
  <si>
    <t>dupraz-v-124269</t>
  </si>
  <si>
    <t xml:space="preserve">Les pric sont contenus et accessibles même pour de nouveaux conducteurs. De plus il n'y a pas de problème "d'acceptation" avec cette assurance. Enfin tout est très bien expliqué et les conseillers sont très disponibles. </t>
  </si>
  <si>
    <t>expat-53950</t>
  </si>
  <si>
    <t>Avis aux étourdis, seniors et jeunes conducteurs ...
Avenant 50 Euros plus cher que l'offre de départ simplement pour finaliser le mois d'obtention du permis de conduire datant d'il y a plus de 40 ans. Il n'y a pas de risque additionnel après 40 ans de permis et aucun accident déclaré pendant cette période, soit une vie.
A bon entendeur!</t>
  </si>
  <si>
    <t>08/04/2017</t>
  </si>
  <si>
    <t>gwenaelle-d-125828</t>
  </si>
  <si>
    <t>Jai reçu un code promotion qui ne fonctionne pas...
bizarre , ça doit être pour appâter le client, j'ai pourtant renseigner le code promo AUTO80, mais la somme est restée la même...</t>
  </si>
  <si>
    <t>31/07/2021</t>
  </si>
  <si>
    <t>naive74-59319</t>
  </si>
  <si>
    <t>Déception totale quand j’en ai eu besoin.
Pas de remboursements pour dépassement d’honoraires même dans l’urgence.
Debrouillez vous avec le service public,complètement débordé,et un rendez vous 6 mois plus tard.
J’etais persuadée d’avoir une bonne couverture maladie.....alors ne faites pas comme moi, n’attendez pas la retraite pour vous entendre dire. Changez de mutuelle si elle ne vous convient pas.
Après 40 ans de cotisation c’est le moment!!</t>
  </si>
  <si>
    <t>02/12/2017</t>
  </si>
  <si>
    <t>oceanes78-62082</t>
  </si>
  <si>
    <t xml:space="preserve">au sujet de  l'assurance protection de la vie cardif ne prend pas en charge les accidents de la circulation moi j' ai eu un accident de travail avec un super lourds de l entreprise reconnu handicapé a suite de  mon accident aurais je droit au capital invalidité </t>
  </si>
  <si>
    <t>07/03/2018</t>
  </si>
  <si>
    <t>01/03/2018</t>
  </si>
  <si>
    <t>soleine12b-68893</t>
  </si>
  <si>
    <t xml:space="preserve">Je me suis rétractée pas de problème SANTIANE a accepté Mutua Gestion aussi à partir du 1er novembre mails envoyés à mon adresse perso.
Mais menace de mutua gestion il me réclame de l'argent que je leur donnerai pas. Je me suis rétracté point barre. Je ne suis pas et je ne serai jamais client. J'ai prévenu la DDPP. Il y a des lois. </t>
  </si>
  <si>
    <t>25/11/2018</t>
  </si>
  <si>
    <t>01/11/2018</t>
  </si>
  <si>
    <t>viannenc-j-107170</t>
  </si>
  <si>
    <t>Je suis satisfait du service. Prix raisonnable. Site Ergonomique. 
Enfin des gens qui savent coder un site web, merci !
J'avais besoin de plus de caractères.</t>
  </si>
  <si>
    <t>19/03/2021</t>
  </si>
  <si>
    <t>farrugia-e-110371</t>
  </si>
  <si>
    <t>Je trouve le descriptif du devis et contrat bien détaillé. Par-contre, les options sont un peu chères. La responsabilité civile devrait être dans toutes ces options.</t>
  </si>
  <si>
    <t>14/04/2021</t>
  </si>
  <si>
    <t>dervin-d-108857</t>
  </si>
  <si>
    <t>je suis très satisfait,la souscription est simple sur internet et tarifs très abordables. l'accès à l'espace personnel est simple d'utilisation je recommande.</t>
  </si>
  <si>
    <t>jeff-70538</t>
  </si>
  <si>
    <t>Bonjour,
En ce début je tenais tant que client fidèle depuis des années  souhaiter auprès du groupe MATMUT de bonnes perspectives pour 2019.
Si je suis aussi fidèle a cette agence(CHATELLERAULT), la raison est simple, un duo avec V. et C. qui sont à l'écoute de leur client et qui donne tjrs des réponses claires et précises, la rigueur dans les dossiers ce qui est très appréciable. Elles ont un niveau d'excellence dans leurs travail, moi qui suit manager, je voudrais bien les avoir dans mes équipes, lol</t>
  </si>
  <si>
    <t>24/01/2019</t>
  </si>
  <si>
    <t>camille--s-122291</t>
  </si>
  <si>
    <t>Bonjour,
Très bien..Très satisfait des services de blablasure. Grande disponibilité pour le suivi et les interrogations concernant mon contrat et les modalités de mon assurance.
Cordialement.Camille.</t>
  </si>
  <si>
    <t>fanja-r-107239</t>
  </si>
  <si>
    <t xml:space="preserve">En tant qu'ancien client je trouve dommage de ne pas bénéficier beaucoup plus de réduction sur le tarif. 
Dans l'ensemble je suis assez content de revenir parmi vous.
</t>
  </si>
  <si>
    <t>christophe-55738</t>
  </si>
  <si>
    <t xml:space="preserve">Service client déplorable deux envois de mail aucune réponse le téléphone est un service surtaxé du jamais vu, pour une demande simple qui aurait permis que je reste en contrat avec eux on passe a la résiliation clause HAMON et je peux vous dire que si vos prélèvements continue après la résiliation vous allez droit au procès je me demande même si au vu de vos notations et de vos agissements  nous allons pas mettre en commun nos déboires pour lancer envers votre société un procès  pas la peine de répondre avec un copié collé </t>
  </si>
  <si>
    <t>30/06/2017</t>
  </si>
  <si>
    <t>01/06/2017</t>
  </si>
  <si>
    <t>rosaliane--102657</t>
  </si>
  <si>
    <t xml:space="preserve">mutuelle toujours a l'écoute,  répond rapidement à mes attentes.  super je recommande.  niveau qualité prix on peux toujours demander plus, mais meilleurs que d'autres selon ma situation professionnelle. </t>
  </si>
  <si>
    <t>14/01/2021</t>
  </si>
  <si>
    <t>carduh-85922</t>
  </si>
  <si>
    <t xml:space="preserve">La Carac  ne répond pas aux lettres recommandées ni aux appels téléphoniques. ILS DOIVENT LES ASSURANCES VIE  APRÈS DÉCÈS DE MES PARENTS.  Le soit disant  médiateur  saisi  sur leur site  ne répond pas  non plus .Voilà  plus de 6 mois  bientôt 7 sue mes parents  sont  décédés  .tous les papiers  ont été  envoyés. Ne vous fiez pas aux réponses  polies  faites après  les avis. C'est juste pour les lecteurs  ils ne bougent  toujours pas j'ai déjà  eu ce genre de réponse  sur Google et  personne  ne  m'a  contactée. </t>
  </si>
  <si>
    <t>Carac</t>
  </si>
  <si>
    <t>15/01/2020</t>
  </si>
  <si>
    <t>gege-106703</t>
  </si>
  <si>
    <t xml:space="preserve">Après un bris de glace, en plus de la franchise attendez vous à une augmentation de tarif de 5,64 %.
En effet, malgré leur publicité télévisée de ne pas augmenter leur tarif en 2021, j'ai subi cette augmentation de prime.
Ainsi, je me suis renseigné auprès de la concurrence, et malgré un bonus au delà des 50 soit 65% de bonus, je vais payer moins chère tout en étant à 50% de bonus.
Et en plus 2 mois offerts.
Ainsi je vais quitter la MATMUT après 29 ans de fidélité.
Sans regret.
</t>
  </si>
  <si>
    <t>15/03/2021</t>
  </si>
  <si>
    <t>fenouiller-138289</t>
  </si>
  <si>
    <t xml:space="preserve">N'ayant aucune nouvelles de mes demandes de remboursements pae le biais de mon compte Neoliane, j'ai passé un appel téléphonique le 26/10. La conseillère Amina m'informa que le site est actuellement en dérangement. Pourquoi ne pas le faire apparaître ? J'ai du renvoyer les documents avec les relevés de SS. (perte de temps) </t>
  </si>
  <si>
    <t>26/10/2021</t>
  </si>
  <si>
    <t>virginie-p-133433</t>
  </si>
  <si>
    <t xml:space="preserve">Je suis jusqu’à présent plutôt satisfaite , prix , rapidité, prestations
J’attends de voir la suite et les documents que l’on va le demander , je pense que c’est une partie pour laquelle on devrait avoir connaissance avant </t>
  </si>
  <si>
    <t>18/09/2021</t>
  </si>
  <si>
    <t>nicolas-i-132094</t>
  </si>
  <si>
    <t xml:space="preserve">Je suis satisfait de votre offre et des prix très intéressants et surtout pour la qualité de service rapide et efficace, je vous souhaite une bonne journée merci beaucoup et à bientôt </t>
  </si>
  <si>
    <t>09/09/2021</t>
  </si>
  <si>
    <t>cedric-f-108636</t>
  </si>
  <si>
    <t>FACILE ET RAPIDE INTUITIF
JE RECOMMANDE CE SITE POUR LA COMPRAISON DES DIFFERENTES ASSURANCES 
LES MANIPULATIONS SONT SIMPLES ET ACCESSIBLE A TOUT LE MONDE</t>
  </si>
  <si>
    <t>dams-138334</t>
  </si>
  <si>
    <t>Ayant reçu un appel au mois de mai 2021 d'un courtier Neoliane nous proposant une mutuelle pour notre famille. 
Nous lui demandons de nous faire un devis sur une bonne assurance concernant l'orthodontie. 
A ce jour les personnes ne nous répondent plus au téléphone elle sont injoignable et nous sommes remboursé de quelques euros sur les soins. 
Ne vous faite pas avoir ce sont des menteurs et vous laisse tomber sans même vous trouver une solution. JE VOUS CONSEILLE GRANDEMENT D'ÉVITER NEOLIANE.</t>
  </si>
  <si>
    <t>carole--p-127639</t>
  </si>
  <si>
    <t>Tres interessant niveau tarifs. Assurance recommandée par des amis, je viens d'assurer ma clio 2. 
Je compte assurer mes autres autos par la suite si je suis satisfaite sur le long terme</t>
  </si>
  <si>
    <t>11/08/2021</t>
  </si>
  <si>
    <t>laura-j-125387</t>
  </si>
  <si>
    <t xml:space="preserve">Simple, rapide et plutôt correct niveau prix et option ! Merci pour ces devis et les explications associés. Les options font toujours hésiter mais un juste milieu a été trouvé :) </t>
  </si>
  <si>
    <t>29/07/2021</t>
  </si>
  <si>
    <t>chadou-107602</t>
  </si>
  <si>
    <t xml:space="preserve">Augmentation des tarifs  sans avantages supplémentaires, prestations limites , attention si vous voulez résilier comme nous en avons le droit une clause leur permet de ne pas l'accepter cette clause est PERTE D'AUTONOMIE il joue sur ça pour ne pas résilier , je trouve cela très mal joué </t>
  </si>
  <si>
    <t>23/03/2021</t>
  </si>
  <si>
    <t>benoit-m-102917</t>
  </si>
  <si>
    <t>satisfait, communication par mail efficace. Dans l'attente de joindre des conseillers par téléphone. Dans l'attente également de la réactivité des conseillers</t>
  </si>
  <si>
    <t>gillet-c-136305</t>
  </si>
  <si>
    <t xml:space="preserve">Très bien. Très bonne relation client et très réactif également. 
 Prix très attractifs .
Je recommande vivement cette société d'assurance. 
Bien cordialement. </t>
  </si>
  <si>
    <t>06/10/2021</t>
  </si>
  <si>
    <t>henry-m-117325</t>
  </si>
  <si>
    <t xml:space="preserve">l'accueil téléphonique est rapide (pas de longue attente), le personnel est sympathique et pro.
Les tarifs sont compétitifs.
Client satisfait; je recommande </t>
  </si>
  <si>
    <t>henri-t-112517</t>
  </si>
  <si>
    <t xml:space="preserve">Ravi du devis et du temps pris pour souscrire, tarif intéressant et simplicité pour adhérer.
Assurance pour une 3008 2L HDI 150 année 2011 en TOUS risque </t>
  </si>
  <si>
    <t>claude19-102439</t>
  </si>
  <si>
    <t xml:space="preserve">Déplorable! A fuir absolument!
Le contrat de mon épouse avec MGEN Solutions, qu’elle avait contracté dans le cadre de son emploi, s’est terminé le 19 avril 2019. Malgré cela, la MGEN a continué de nous prélever les échéances durant les deux mois suivants.
Après deux lettres recommandées avec AR (mise en demeure de nous rembourser le trop perçu) trois e-mails, et environ une dizaine d’appels téléphoniques sur l’habituelle plate-forme téléphonique qui vous indique, à chaque appel, qu’elle envoie une demande urgente au service concerné... Nous sommes toujours sans nouvelles de notre dossier... Nous n’avons jamais été recontactés après cette multitude de démarches...
Nous sommes maintenant en janvier 2021 et nous n’avons toujours pas été remboursés des 500 euros trop perçus.
Service client inexistant! Aucun suivi des dossiers et des demandes.
Évitez absolument cette mutuelle santé!!
</t>
  </si>
  <si>
    <t>11/01/2021</t>
  </si>
  <si>
    <t>fabrice-c-123723</t>
  </si>
  <si>
    <t>Le dernier contrat conclu avec vous (polo) m'a contraint a utiliser un bonus qui ne correspondait pas à ma situation. Le renouvellement des contrats se réalisera  chez un autre prestataire à la date des échéances.
Cordialement.
Fabrice CHAUVAT</t>
  </si>
  <si>
    <t>18/07/2021</t>
  </si>
  <si>
    <t>rinaldi-m-109118</t>
  </si>
  <si>
    <t>L'envoi du devis et la signature du contrat en ligne sont rapides;
Je suis satisfait du service. 
Les prix sont intéressants.
Les modalités d'échange et de contact via l'espace web sont pratiques et bien expliqués</t>
  </si>
  <si>
    <t>elodie--m-128316</t>
  </si>
  <si>
    <t xml:space="preserve">Très satisfait du service. Je recommande amv à mon entourage. Prix très intéressant et peu cher
Je recommande amv
Prix très intéressant
Réponse rapide </t>
  </si>
  <si>
    <t>madoma73-81816</t>
  </si>
  <si>
    <t>Ma voiture a été volée le 31/08, 4 mois après malgré des relances quotidiennes, le règlement n'est toujours pas effectué et mieux que ça, les primes continuent à être retirées et ne seront pas remboursées. A FUIR</t>
  </si>
  <si>
    <t>11/12/2019</t>
  </si>
  <si>
    <t>belleinguer-i-112598</t>
  </si>
  <si>
    <t>Je suis très satisfaite du service client, les conseillers sont vraiment réactifs et très gentils. Mon dossier a été traité rapidement. Excellent rapport qualité prix. Je recommande !</t>
  </si>
  <si>
    <t>04/05/2021</t>
  </si>
  <si>
    <t>galvani-b-114296</t>
  </si>
  <si>
    <t xml:space="preserve">je suis satisfait de ce service ainsi du prix mensuel je suis prêt a le recommander a une autres personne de mon entourage. veuillez agreer mes salutation </t>
  </si>
  <si>
    <t>19/05/2021</t>
  </si>
  <si>
    <t>gaetano-p-115900</t>
  </si>
  <si>
    <t xml:space="preserve">content pour l'instant des applications Direct et youDrive; on verra par la suite une fois la voiture reçue si mes attentes seront confirmées. Le prix semble intéressant surtout après les réductions éventuelles promises par l'offre youDrive. </t>
  </si>
  <si>
    <t>03/06/2021</t>
  </si>
  <si>
    <t>sou31-79434</t>
  </si>
  <si>
    <t xml:space="preserve">Je déconseille cette assurance. 
J effectue actuellement des démarches pour résilier. 
Personnel qui ne comprend pas toujours les demandes par téléphone et qui fournit des réponses erronées. </t>
  </si>
  <si>
    <t>24/09/2019</t>
  </si>
  <si>
    <t>01/09/2019</t>
  </si>
  <si>
    <t>lassana-c-131452</t>
  </si>
  <si>
    <t xml:space="preserve">Je suis satisfait du service client. Les prix sont abordable et attractif. Les information clair et bien préciser. Je suis content de la prestation en general
</t>
  </si>
  <si>
    <t>06/09/2021</t>
  </si>
  <si>
    <t>blaskevic-a-114872</t>
  </si>
  <si>
    <t>Des conseillers toujours à l'écoute et agréables dans toutes situations, et un accompagnement pas à pas jusqu'à la signature de mon contrat. Je recommande donc L'Olivier Assurances à toutes personnes ayant envie d'avoir une assurance auto à prix concurrentiels et à l'approche humaine.</t>
  </si>
  <si>
    <t>26/05/2021</t>
  </si>
  <si>
    <t>xxxxxxxxxxx-108071</t>
  </si>
  <si>
    <t xml:space="preserve">vos tarifs ont bien augmenter par rapport au autre cie.
les tarifs entre2011 et 2020 plus 5%
d autres sociétés n ont pas augmentes et fait des remboursement </t>
  </si>
  <si>
    <t>26/03/2021</t>
  </si>
  <si>
    <t>didier-o-117305</t>
  </si>
  <si>
    <t>panne hier avec mon véhicule tout s'est bien passé,  un taxi m'a ramené a mon domicile et le dépanneur m'a remorqué et trouvé un garage, le tout en deux heures</t>
  </si>
  <si>
    <t>franck-r-129799</t>
  </si>
  <si>
    <t xml:space="preserve">Je suis satisfait du service proposé afin d'y assurer mon véhicule.
Excellente communication, service client très satisfaisant.
Je recommande ce service. </t>
  </si>
  <si>
    <t>27/08/2021</t>
  </si>
  <si>
    <t>stef84-76972</t>
  </si>
  <si>
    <t xml:space="preserve">En 2016 j'ai déclaré un sinistre sur mon portail. Vu le prix de la franchise je m'en suis occupée. J'ai mis 4 vis de fond 15 eu de facture.. La Maaf m'a pas dit plus fin de l'histoire. Aujourd'hui en mars 2019 une tempête m'arrache une partie du mur où est scellé mon portail. J'en ai pour 1200eu de frais la Maaf me demande de justifier la réparation de 2016 sauf qu'un ticket de caisse de 15eu je l'ai pas gardé !! Alors il me réponde qu'il me rembourserons pas !! Jamais ils m'ont dit y a 3ans de signaler ma réparation. Il m'ont jamais rien dit et j'ai payé pendant 3ans pour aujourd'hui me ressortir qu'il me rembourserons pas, par ce qu'ils savent pas si c'est le vent à 145km qui a cassé le mur ou ma réparation !!! Pendant 3ans à les écoutez je suis resté sans portail attendant qu'une tempête passe !! Cette assurance est prête à tout pour ne pas indemnisé les clients, elle se fou de notre gueule. Mardi j'ai Rdv avec UFC service des consommateurs !!! Des années que je suis chez eux avec ma famille, elle n'aura plus un centimes !!! Fuyez !!! </t>
  </si>
  <si>
    <t>20/06/2019</t>
  </si>
  <si>
    <t>01/06/2019</t>
  </si>
  <si>
    <t>0-137452</t>
  </si>
  <si>
    <t>nous remercions vivement monsieur LAMINE pour sa disponibilité, sa patience ,et ses compétences en informatique
que nous avons grandement appréciées. Merci beaucoup.</t>
  </si>
  <si>
    <t>14/10/2021</t>
  </si>
  <si>
    <t>franc0is66-60225</t>
  </si>
  <si>
    <t xml:space="preserve">Cet assureur est a éviter coûte que coûte. J'ai eu un sinistre au mois d'Octobre 2017 non responsable (un agent de la mairie m'a fracture une vitre) et j'ai du faire l'avance de la caution sur ce sinistre. Cette avance 2 mois et demi plus tard m'est toujours due. Au moment du renouvellement de mon contrat celui ci a augmente de 20%. N'ayant pas eu de mal a trouver une autre assurance, et l'avoir résilier en temps et en heure, l'Olivier non seulement m'a débité avant la date de renouvellement du contrat, contre mon grès étant donne que le contrat étais résilié et bien entendu ils ne veulent rien savoir. </t>
  </si>
  <si>
    <t>06/01/2018</t>
  </si>
  <si>
    <t>01/01/2018</t>
  </si>
  <si>
    <t>nono-92418</t>
  </si>
  <si>
    <t>Bonjour,
Suite à une panne un samedi soir 20h00 mon véhicule a été pris en charge par une dépanneuse.
Europe assistance mandaté par l'assurance l'olivier la remorqué jusqu'au garage le plus proche.
l'aventure pour moi s'arrête là pas de véhicule de remplacement pas de taxi pour regagner mon logement à 100 km de chez moi et pas de nuit d'hôtel.
Mes proches ont du faire un allé et retour pour me récupérer soit 200 km et finalement couché à 2 heure du matin.
En attendant pas de véhicule malgré cette option prévu dans mon contrat.
De plus un devis de réparation pour 1000 euros pour une simple bougie défectueuse.
Alors vous comprendrez très déçu par ces vendeurs de rêve soit disant moins cher qui vous abandonne au bord de la route.
Ils ont vraiment aucun scrupule ils en veulent uniquement à votre argent.
Pour moi c'est terminé je préfére payer un peu plus cher et être bien assuré.</t>
  </si>
  <si>
    <t>27/06/2020</t>
  </si>
  <si>
    <t>guillaume-p-129152</t>
  </si>
  <si>
    <t xml:space="preserve">J avais reçu un code promo de 80 euros mais je n arrive pas à le rentrer.
J ai décidé de redevenir client chez vous car les prix sont intéressants meme si j aurai aimé que ma remise de 80 euros soit appliquée </t>
  </si>
  <si>
    <t>pierre-l-122104</t>
  </si>
  <si>
    <t>Je suis tout à fait satisfait de la GMF. Les réponses sont toujours rapides et précises. La qualité de service me paraît excellente pour des tarifs qui demeurent raisonnables</t>
  </si>
  <si>
    <t>02/07/2021</t>
  </si>
  <si>
    <t>mag-98466</t>
  </si>
  <si>
    <t>Je me demande même si je ne vais pas résilier tous mes contrats chez vous
Déception totale!!!!!
À tout point de vue et pour tous les contrats notamment par rapport au montant des cotisations 
Et surtout par rapport à mon contrat assurance décès je le ai 1 peu beaucoup de travers j ai trouvé ça honteux!!!!
Bref ça risque de bouger dans les jours qui viennent voilà!!!!!</t>
  </si>
  <si>
    <t>carpe-69163</t>
  </si>
  <si>
    <t>1 ans et demi et nous attendons toujours que la macif face son travail notre fils a eu un accident moto du a un trou dans la chaussee qui n'etait pas signale nous attendons toujours et encore.</t>
  </si>
  <si>
    <t>29/12/2018</t>
  </si>
  <si>
    <t>01/12/2018</t>
  </si>
  <si>
    <t>cg-62534</t>
  </si>
  <si>
    <t>Une assurance très limite : les couts sont juste inférieurs de 10% (environ) aux moins chers du marché mais avec une la qualité du service très nettement inférieure. Il s'agit d'une société rentable peu de charges de structures (donc attention) et un système de téléphonie qui rapporte (les numéros ne sont pas surtaxés mais bien payants, ils jouent sur le temps d'attente...). On n'en a pas pour son argent, mieux vaut payer 10% de plus et être certain d'avoir un service compétent</t>
  </si>
  <si>
    <t>21/03/2018</t>
  </si>
  <si>
    <t>viviane-a-106568</t>
  </si>
  <si>
    <t>je suis satisfait du prix pour les garanties. Proposées 
je voudrais savoir ci vous assurer des quads également
je possède également un spiders CAM AM 1300</t>
  </si>
  <si>
    <t>14/03/2021</t>
  </si>
  <si>
    <t>phroulle--102027</t>
  </si>
  <si>
    <t xml:space="preserve">J'ai pris une assurance pour un véhicule acheté fin août 2020, ai payé l'assurance pour 1 an et fin septembre j'ai revendu ce véhicule car j'étais très insatisfait. J'ai prévenu l'assurance de la vente, envoyé un courrier ainsi que le certificat de cession au 1er octobre, ils devaient me rembourser le trop perçu le temps de traiter le dossier. Le 12 novembre n'ayant toujours pas de leur nouvelles je les contacte et on me dit qu'ils attendaient la carte grise définitive (sans me l'avoir demandé par quelque moyen de contact que ce soit) et que c'est pour cela qu'ils n'ont pas remboursé. Heureusement que j'avais gardé une photo en copie de cette carte grise... Je leur envoi, et depuis j'attends toujours mon remboursement, nous sommes le 30 décembre 2020 tout de même... Donc si avec ça je ne les note pas mal faudra m'expliquer pourquoi ils ne le mériteraient pas ??? </t>
  </si>
  <si>
    <t>30/12/2020</t>
  </si>
  <si>
    <t>claire-c-112137</t>
  </si>
  <si>
    <t>je regrette de vous avoir fait aussi vite confiance... les contrats de vos concurrents sont bien moins chers ...  et étant donné que vous ne souhaitez pas revoir les tarifs de mon contrat vous risquez de perdre nos contrats l'an prochain....</t>
  </si>
  <si>
    <t>mmemoi-114544</t>
  </si>
  <si>
    <t>Très déçue de cette assurance 
NE SURTOUT PAS PRENDRE COMME MUTUELLE 
Je demande un document depuis 2 mois toujours pas de réponse et quand je relance ils ne savent RIEN....</t>
  </si>
  <si>
    <t>belink-54203</t>
  </si>
  <si>
    <t xml:space="preserve">C est le seul assureur où il est nécessaire de payer avant de connaitre les modalités des garanties.
Ce matin, je demande un devis pour un véhicule que je vais avoir. Une charmante Mlle me répond et me transmet une offre personnalisée.
Sur cette offre, il manque / il n'est pas indiqué :
- l'utilisation du véhicule (balade, trajet travail, pro ou tournée)
- les options retenues
Je téléphone donc pour demander un devis (*) avec ces informations et on me répond : impossible il faut payer la cotisation indiquée sur le contrat pour en disposer. 
C'est à dire que la somme est encaissée alors que l'on ne connait même pas le contenu définitif du contrat d'assurance et l'étendue de la couverture.
Bien sur en cas d'annulation (max 14 jours), les 30 euros sont conservés pour traitement du dossier (dossier qu'ils n'ont pas voulu remettre avant le paiement). Le reste de la somme sera remboursée mais ... au bout de combien de temps ?
</t>
  </si>
  <si>
    <t>21/04/2017</t>
  </si>
  <si>
    <t>starck-h-124763</t>
  </si>
  <si>
    <t>demande rapide et site internet parfait ,très clair et simple d'utilisation
appel téléphonique de l'assureur très rapide
je recommande l'olivier assurance</t>
  </si>
  <si>
    <t>guillot-m-127078</t>
  </si>
  <si>
    <t xml:space="preserve">Je suis satisfait du service les prix me conviennent, je recommanderai cette assurance. Conseiller disponible, rassurant, courtois. Reste à voir sur la duré </t>
  </si>
  <si>
    <t>08/08/2021</t>
  </si>
  <si>
    <t>picq-m-112093</t>
  </si>
  <si>
    <t>Rapide, pratique, accueil téléphonique au top, un simple coup de fil pour finaliser le contrat. Tarifs imbattable compte tenu des prestations. Rien à redire, je recommande.</t>
  </si>
  <si>
    <t>castelli-r-107363</t>
  </si>
  <si>
    <t>La différence de prix avec mon ancien assureur est énorme. Je ne comprends toujours pas mais suis très heureux des économies possibles. De plus le service téléphonique est agréable et présent.</t>
  </si>
  <si>
    <t>21/03/2021</t>
  </si>
  <si>
    <t>poupy-67368</t>
  </si>
  <si>
    <t>ne respecte pas nos contrats d'assurance, ne permet pas d'obtenir une aide ménagère quand nous sommes en chimio,et encore moins d'une ambulance quand nous avons subi une anesthésie, ne tient pas compte de nos ALD</t>
  </si>
  <si>
    <t>focheve-a-136939</t>
  </si>
  <si>
    <t xml:space="preserve">je suis satisfait une nouvelle espérance avec olivier assurance et je verrais après je pourrais conseiller  ou parrainer des amis et je trouve que le prix est abordable </t>
  </si>
  <si>
    <t>11/10/2021</t>
  </si>
  <si>
    <t>francois66-59340</t>
  </si>
  <si>
    <t xml:space="preserve">Sinistre tempête de vent portail arraché !! selon eux ce jour là sur ma commune le vent soufflait a 90 klm constant et ne tient pas compte des bourrasques a plus de 130 klm/h l'assurance prends en compte les dégâts a partir de 100 klm/h constant 
Incroyable en plus de 20 ans d'assurance sans sinistre c'est incroyable je vais résilier mon contrat et changer de banque par la même occasion 
Méfier vous de ces vendeur commissionner du crédit agricole qui ne sont là que pour vous vendre des produits </t>
  </si>
  <si>
    <t>03/12/2017</t>
  </si>
  <si>
    <t>alainnath-69025</t>
  </si>
  <si>
    <t xml:space="preserve">Je suis agréablement surpris de cette assurance  je pense que tarif sont bon </t>
  </si>
  <si>
    <t>29/11/2018</t>
  </si>
  <si>
    <t>moiaussi75019-69827</t>
  </si>
  <si>
    <t>A fuir</t>
  </si>
  <si>
    <t>02/01/2019</t>
  </si>
  <si>
    <t>elias68-53051</t>
  </si>
  <si>
    <t>Bonjour clients macif depuis 10ans et un jour jai perdu mon travail et la macif ma généreusement payer presque la totalité de mes assurance pendant deux ans je les remercierai jamais assez credit mutuel na jamais fait un geste pour moi auparavant et cest pour cela je vais changer mon compte bancaire chez la macif car ils sont vraiment pas chere pour les clients comme moi qui na ni chèque et ni carte bleu et ni crédit car credit mut on vraiment augmenter</t>
  </si>
  <si>
    <t>07/03/2017</t>
  </si>
  <si>
    <t>valerie-p-126788</t>
  </si>
  <si>
    <t>Je suis sastifaite des prix et de la simplicité de l offre en ligne 
Il faut voir maintenant dans la pratique si l assurance est conforme à la demande</t>
  </si>
  <si>
    <t>06/08/2021</t>
  </si>
  <si>
    <t>otax-48885</t>
  </si>
  <si>
    <t xml:space="preserve">problème reactivité suite bris glace sur deux baies vitrées cela fait quatre jours que j'attends pour avoir leur accord le montant du devis fait auprés de deux vitriers differents est soit disant trop eleve pour moi ils n'ont pas comprisn que j'avais deux baies de cassées ça fait deux jours que j'appelle la macif pour savoir si ils ont bien compris que c'etait deux baies mais deux personnes désagreable me disent qu'il ne savent pas il faut attendre que dois je faire ça fait deja 4 jours et maintenant on me dit vous serez quoi peut etre la semaine prochaine!!! cela fait un an que je suis arrivé chez eux avec deux contrats automobile et je souhaite assuré egalement 4 autres bien immobilier en location chez eux mais je pense que je vais vite en changer </t>
  </si>
  <si>
    <t>20/02/2020</t>
  </si>
  <si>
    <t>gab30-122844</t>
  </si>
  <si>
    <t xml:space="preserve">NUL
Souscription à partir d'une application : envoie des documents (relevé d'information, carte grise, carte d'identité....) impeccable.
En revanche, ils veulent des photos du véhicule et là tout ce complique.
L'application BUG : impossible de prendre des photos. J'arrive à avoir le 5 juillet 2021 un technicien au bout de 3 ou 4 numéro d'appel, sachant que le contrat devait être validé au plus tard le 7 juillet. On finit par faire fonctionner la prise des photos.
Le 6 juillet je me rends compte que le contrat est résilié.  Aucun conseiller ne vous appelle pour comprendre le problème.
J'appelle et bien sûr on attend une quinzaine de minutes pour avoir un conseiller en ligne. Il vous explique que le contrat est résilié parce qu'ils n'ont pas reçu les photos et que la signature électronique n'est pas validé.
Moralité : si à la souscription d'un contrat les choses sont compliquées alors imaginés les tracas en cas de sinistre.
Et lorsque vous dites au conseiller </t>
  </si>
  <si>
    <t>chocothunder-55282</t>
  </si>
  <si>
    <t>C'est la mutuelle de mon travail. Je trouve que c'est une bonne mutuelle: pas vraiment chère, les délais de traitement sont rapides (3 à 4 jours en moyenne) et elle rembourse vraiment très bien (lunettes, soins dentaires)</t>
  </si>
  <si>
    <t>11/06/2017</t>
  </si>
  <si>
    <t>pat34-105078</t>
  </si>
  <si>
    <t>Depuis le 15 janvier j'ai déposé des demandes sur le site CEGEMA, afin de connaitre le remboursement pour une prothese dentaire. il y a 15 jours j'ai tenté de changer de lunettes, mais l'Opticien ne parvient pas à rentrer en contact avec CEGEMa, et cela en essayant depuis le 16 février tous les jours.</t>
  </si>
  <si>
    <t>destra-j-134944</t>
  </si>
  <si>
    <t xml:space="preserve">Pour le moment je suis satisfait de cette nouvelle assurance car je suis un nouveau client et j'ai l'impression que l'olivier est une assurance sérieuse. </t>
  </si>
  <si>
    <t>28/09/2021</t>
  </si>
  <si>
    <t>ams-111736</t>
  </si>
  <si>
    <t>Impossibilité de résilier mon contrat. 
Cela fait 8 ans que je suis chez, je décide de résilier parce que je déménage et je n'ai pas envie de communiquer les modalités de mon déménagement.... résultat tant que je ne fourni pas de justificatif mon contrat court toujours, mais c'est pire que de l'abus de position dominante, grosso modo, on vous résilie pas et c'est Tout. mais j'ai jamais vu ça. Quand c'est pour amadouer le client pour le faire signer ils sont premiers par contre, service client personne, aide personne, et même pour la résiliation faut faire défiler sa vie. Mais c'est quoi cette honte, c'est une honte la Macif, Fuyez je vous le dis. C'est vraiment pas normal de traiter ses clients de la sorte</t>
  </si>
  <si>
    <t>mathieu-g-111737</t>
  </si>
  <si>
    <t xml:space="preserve">j'attend toujours que l'on me contacte pour le sinistre ça fait 2 semaine ....  sinon pour le prix de l'assurance c'est très bien et le site est facile d'accès biens présenter et pas compliqué. </t>
  </si>
  <si>
    <t>denis-b-117452</t>
  </si>
  <si>
    <t xml:space="preserve">aucun probleme, clair net et le tarif est tres bien , la difference est enorme au regard des assurances classic ;;;;;;; faite l essaie ; ma fille etait chez mm... a la premiere demande de vis le changement a etait rapide </t>
  </si>
  <si>
    <t>18/06/2021</t>
  </si>
  <si>
    <t>sanson-j-108637</t>
  </si>
  <si>
    <t>formalités très simple suite à une résiliation par une autre assurance, prix très correct, même moins cher que mon ancienne assurance. Simplicité et efficacité</t>
  </si>
  <si>
    <t>olivier-ju-99855</t>
  </si>
  <si>
    <t xml:space="preserve">Bonjour
Service client horrible. Je viens de renégocier mon prêt de banque au crédit agricole. J’ai donc transmis à MetLife le nouvelle échéancier afin d’ajuster mon assurance. J’ai eu pour réponse qu’il n’était pas capable de remplir le document demander par le crédit agricole  et que leur logiciel ne leur permet pas de faire un devis des mensualités de l’avenant. En 2020 il est donc possible qu’une société comme celle ci soit incapable de faire un devis comment es ce possible ??? Le seul moyen de connaître les nouvelles mensualité est de donne mon accord pour l’avenant sans en connaître le prix.
Je ne vais pas m’engager sur une somme inconnue qui pourrait me faire perdre la renégociation de mon prêt.
Mais au vu ds autres commentaires sur les difficultés de résiliation j’ai bien l’impression d’être coincé </t>
  </si>
  <si>
    <t>MetLife</t>
  </si>
  <si>
    <t>08/11/2020</t>
  </si>
  <si>
    <t>mathieu-c-117252</t>
  </si>
  <si>
    <t>très bon service et de très bon prix et niveau d attente en ligne ils sont très rapide pour répondre aux questions même quand il y a des problèmes de paiement</t>
  </si>
  <si>
    <t>batsou-50304</t>
  </si>
  <si>
    <t xml:space="preserve">Jeune retraité qui veut redécouvrir la moto.Je suis allé sur le Furet.com pour rechercer les meilleures conditions.April était le moins cher mais avait de mauvais commentaires sur les forums. Pas très rassuré j'ai quand même tenté.le coup. Tout c'est bien passé jusqu'à présent. J'ai reçu ma carte verte en temps voulu et j'espère n'avoir jamais besoin d'eux car cela voudrait dire que j'ai eu un sinistre.
 </t>
  </si>
  <si>
    <t>15/12/2016</t>
  </si>
  <si>
    <t>01/12/2016</t>
  </si>
  <si>
    <t>clau-98221</t>
  </si>
  <si>
    <t>Super assurance pour animaux!  J.ai deux chats persans et je ne regrette pas! Remboursement tres rapide et d.une grande gentillesse au telephone.... de nos jours cela n.a pas de prix! Merci mr willy!Je recommande sante vet a 500%!
Prenez soins de vous et de vos proches...</t>
  </si>
  <si>
    <t>mangroove-56399</t>
  </si>
  <si>
    <t>Premier sinistre de ma vie. Quelqu'un tourne, évalue mal la distance et vient me percuter en franchissant une ligne blanche. Pour moi c'est assez clair (pour l'autre conducteur aussi d'ailleurs). Pas pour L'olivier qui ne considère pas le choc et les conditions au moment de l'accident mais qui me tient pour responsable.... Je suis scandalisée par la gestion des sinistres ....(pensez à attendre 7 à 10 jours par mail pour avoir une réponse)
Quand a pas beaucoup d'argent, qu'on fait attention et qu'on suit les règles je pense qu'on peut trouver ça lamantable. 
Je la déconseille à tout le monde.</t>
  </si>
  <si>
    <t>31/07/2017</t>
  </si>
  <si>
    <t>kavuthen-65125</t>
  </si>
  <si>
    <t xml:space="preserve">Cela fait un an que j'attends une régularisation de mon scooter volé !! 
Il y'a quelques mois le service de régularisation m'a dit qu'il n'avait pas reçu le dépôt de plainte. Bon, cela peut arriver mais une relance n'aurait été pas de refus. Je l'ai donc envoyé il y'a deux mois mais on me prélève toujours pour mon scooter volé ! J'ai donc appelé le service client le mois dernier, ils m'ont dit que je serais régularisé en Juillet. Aujourd'hui j'appelle pour m'assurer de l'avancement de ma régularisation et on me dit que je serais prélevé en Juillet et me disent "qu'ils ont pris du retard dans la gestion du dossier" et que cela sera traité en urgence.
Inadmissible pour un assureur de ce calibre ! </t>
  </si>
  <si>
    <t>28/06/2018</t>
  </si>
  <si>
    <t>01/06/2018</t>
  </si>
  <si>
    <t>isabelle-m-111899</t>
  </si>
  <si>
    <t xml:space="preserve">Cette assurance me convient. J'aurais aimé toutefois qu'elle puisse assurer le scooter de mon fils également....
                                                        </t>
  </si>
  <si>
    <t>bebesse-50624</t>
  </si>
  <si>
    <t>j'ai placé de chez Génerali depuis 20 ans j'ai débloqué l' argent une première foi mes la en 2016 que des problemes</t>
  </si>
  <si>
    <t>24/12/2016</t>
  </si>
  <si>
    <t>direct-123746</t>
  </si>
  <si>
    <t xml:space="preserve">Prix grimpe tout les ans malgré bonus acquis, publicité mensongère,  après une petite comparaison sur internet j'ai  trouvé un tarif deux fois moins cher.
A fuir. </t>
  </si>
  <si>
    <t>sanrog-126418</t>
  </si>
  <si>
    <t>Le dernier contact telephonique a ete tres satisfaisant. Je note donc une nette amelioration du service client en esperant que cela se maintiendra dans le temps....</t>
  </si>
  <si>
    <t>04/08/2021</t>
  </si>
  <si>
    <t>coco-65881</t>
  </si>
  <si>
    <t xml:space="preserve">délai trop long, plateforme téléphonique ses des prestataire aucune chance que votre dossiers avance le mieux ais de faire un signalement à la direction de la concurrence et de la répression des fraudes plus il y aura de signalement mieux il devrons ce remette en question et s'organisé différemment </t>
  </si>
  <si>
    <t>31/07/2018</t>
  </si>
  <si>
    <t>01/07/2018</t>
  </si>
  <si>
    <t>roger-87030</t>
  </si>
  <si>
    <t>Bonjour,
Je suis tellement sidéré de la réponse de la macif que je viens la partager avec le plus grand nombre.
Février 2019, mon fils tombe de vélo à cause de l'un de ses camarades qui l'a percuté à l'arrière.
Dommages corporels quantifiés par un médecin expert et envoyé à l'assureur adverse qui est la MAE, l'une des pires assurances qui existent au passage!. Après de multiples relances pour connaître l'état d'avancement de mon dossier, toutes restées vaines car soit pas de réponses, soit des réponses "bateau" qui augurent le fait que la macif ne gère absolument rien, je viens de recevoir un courrier numérique de celle-ci 1 an jour pour jour après l'accident pour me dire.......que la MAE est inerte et qu'il va falloir que je saisisse le concours d'un avocat à mes frais????!!!!.... . Les bras m'en sont tombés au sol et j'ai résilié dans la foulée tous mes contrats chez eux après 30 années de fidélité aveugle.
L'objectif d'un assureur, c'est de protéger et de faire en sorte que son sociétaire soit indemnisé en cas de sinistre mais pas à la macif où ils n'hésitent pas à vous envoyer sur les roses  avec le message subliminal à la clé: Circulez, il n'y a rien à voir!!.
Non franchement avec beaucoup de sincérité, évitez absolument la macif n'est vraiment pas ou plus à la hauteur. L’incompétence y règne en maître!
Cordialement</t>
  </si>
  <si>
    <t>dea83-112396</t>
  </si>
  <si>
    <t xml:space="preserve">personnel complètement incompétent , la mise à jour sur mon espace personnel n'est toujours pas faite , il n'y a que l'année 2020 !! , un conseil fuyez cette mutuelle , perso j'attends la fin de mon engagement et je vais aller ailleurs </t>
  </si>
  <si>
    <t>02/05/2021</t>
  </si>
  <si>
    <t>cregut-60238</t>
  </si>
  <si>
    <t>J'ai demandé à ce que mon assurance soit résiliée après le vol de mon scooter (je n'étais pas assuré pour le vol). La police a cependant retrouvé mon scooter quelques semaines après ma demande de résiliation, j'ai donc demandé à AMV, qui ne m'avait pas encore remboursé, d'annuler la résiliation. On m'a non-seulement répondu que ce n'était pas possible, mais encore que je ne pouvais pas souscrire d'assurance chez eux à nouveau. Démarche très curieuse de leur part que de refuser un nouveau client...
Me contacter par e-mail si vous le souhaitez.</t>
  </si>
  <si>
    <t>derchain-l-117675</t>
  </si>
  <si>
    <t>Je suis très satisfait pour l’ensemble.
Les prix ainsi que les garanties sont abordable et juste.
Je conseillerai cette assurance.
Le site est très ludique et simple.</t>
  </si>
  <si>
    <t>20/06/2021</t>
  </si>
  <si>
    <t>dominique33-124228</t>
  </si>
  <si>
    <t>Je suis depuis le 01 avril 2020 en invalidité catégorie 1 et nous sommes aujourd’hui le 22 juillet 2021 et aucun règlement d’AXA. Malgré mes nombreux appels …. toujours rien. A chaque appel des interlocuteurs (non gestionnaires des dossiers) très aimables qui a priori transmettent les demandes mais personnes ne vous rappelle …. 
J’espère que cette situation va rapidement se débloquer car Axa me met dans une situation financière très difficile.</t>
  </si>
  <si>
    <t>vincent-p-116165</t>
  </si>
  <si>
    <t>Simple, pratique, je suis globalement satisfait. J'ai bientôt l'intention de changer de véhicule, et je pense rester chez direct assurance. J'ai également eu un petit sinistre (bris de glace sur pare brise) et j'ai été satisfait des services rendus.</t>
  </si>
  <si>
    <t>angelerugby-56147</t>
  </si>
  <si>
    <t>J'ai un PERP chez BNP Paribas Cardif.
J'ai envoyé un premier courrier via ma banque pour le faire débloquer dans le cadre de la loi Sapin 2 avec tous les documents demandés par ma banque le 05 juin 17.
Cardif m'a répondu le 15 juin 17 en me demandant de renvoyer ces mêmes documents.
Pour information, Cardif m'a renvoyé les documents joints au courrier du 05 juin avec le courrier du 15 juin 2017.
J'ai renvoyé tous les documents de nouveau demandés par LRAR le 23 juin 17.
Tous les pré-requis pour un déblocage anticipé (Loi Sapin 2) sont remplis.
Depuis, plus aucune nouvelle!!!!! Il n'est compliqué de répondre au courrier pourtant!!!!! Je veux que cela soit fait le plus rapidement possible mais apparemment ce ne sera pas le cas. Est-ce de l'incompétence?</t>
  </si>
  <si>
    <t>20/07/2017</t>
  </si>
  <si>
    <t>duval-d-103099</t>
  </si>
  <si>
    <t xml:space="preserve">je suis satisfait du contrat que vous me proposer ces bien on pourrez faire affaire sur les deux dossier habitation et voiture je vous dit a bientôt  </t>
  </si>
  <si>
    <t>22/01/2021</t>
  </si>
  <si>
    <t>perez-s-107341</t>
  </si>
  <si>
    <t>Le prix me convient et réaction assez rapide en cas de problème. Je suis contente de cette assurance en ligne. Espace en ligne relativement simple. Seul hic, au départ payer cash avant de pouvoir accéder à un échelonnement.</t>
  </si>
  <si>
    <t>56franck-56020</t>
  </si>
  <si>
    <t xml:space="preserve">bizarre 3 etoiles , je  suis  chez  april  moto depuis 24 ans ( anciennement  AMT   et  moi  je  trouve cette  assurance   parfaite , je  lui  mets  5  etoiles  dans  tous  les  domaines . Je dois avouer  que  j'ai  la  chance d'avoir  50% de  bonus depuis 30 ans . j'ai  eut  quelques  petits  accidents  mais  jamais  ma responsabilité n'a  été  engagé en  quelques 800 000   km
</t>
  </si>
  <si>
    <t>14/07/2017</t>
  </si>
  <si>
    <t>benjamin-k-113136</t>
  </si>
  <si>
    <t xml:space="preserve">Impossible d'avoir quelqu'un au téléphone, le serveur vocal du numéro de l'application Android nous dit d'appeler à un autre numéro, et le serveur vocal de cet autre numéro est le même, qui nous demande de le rappeler lui même avant de nous raccrocher au nez. 
Peu satisfait du YouDrive également, qui arrive à me détecter des virages dangereux sur des lignes droites de voie rapide (il suffit de regarder la localisation GPS pour voir qu'il n'y avait aucun virage). Considère aussi une accélération dangereuse quand on s'insere normalement dans un rond point à grand circulation (trop lent = trop dangereux). </t>
  </si>
  <si>
    <t>08/05/2021</t>
  </si>
  <si>
    <t>doumai05100-93846</t>
  </si>
  <si>
    <t xml:space="preserve">Pas de suivi client vous avez un petit accrochage vous passez de 0.50 %a 1,25% ne assurance monstrueux a fuire absolument pas de solution avec un conseiller ,tu dois payé afin de pouvoir garder sa clientèle ne prenait jamais activ assurance a vos risques et périls </t>
  </si>
  <si>
    <t>30/05/2021</t>
  </si>
  <si>
    <t>jean-pierre-c-109334</t>
  </si>
  <si>
    <t>Très bon contact avec la conseillère.
Très bonne écoute et compréhension de mes attentes.
Tarif correct par rapport à la concurrence, mon attachement à la GMF fait que je reste fidèle.</t>
  </si>
  <si>
    <t>06/04/2021</t>
  </si>
  <si>
    <t>le-baron-v-134336</t>
  </si>
  <si>
    <t>très satisfait de la procédure de souscription en ligne, démarches simples, le tarif est attractif, reste à voir à l'usage si l'assureur répond présent</t>
  </si>
  <si>
    <t>lelex66-62156</t>
  </si>
  <si>
    <t>Service client déplorable. Incompétent. D'un conseiller à l'autre on a pas les mêmes renseignements. Depuis Janvier que je demande une résiliation de contrat, elle n'aura été traitée qu'en mars car ils n'arrivent pas à ouvrir les pièces jointes via l'espace assuré, j'ai dû passer par une adresse de substitution, et bien sûr j'ai continué de payer depuis. En ce qui concerne les remboursements, c'est fait au lance-pierre. Je ne recommande pas du tout.</t>
  </si>
  <si>
    <t>09/03/2018</t>
  </si>
  <si>
    <t>jerome-s-133024</t>
  </si>
  <si>
    <t xml:space="preserve">Simple, rapide, concis. Une très bonne compagnie d'assurance, efficace et pas chère, bon rapport qualité prix, à l'écoute du client, franchement ils assurent. </t>
  </si>
  <si>
    <t>15/09/2021</t>
  </si>
  <si>
    <t>pascal-b-130942</t>
  </si>
  <si>
    <t>JE SUIS Très satisfait des prix proposée par apport à vaut concurent votre devis était claire simple et préci et votre site est très bien détaillé  merci à vous</t>
  </si>
  <si>
    <t>doud-61370</t>
  </si>
  <si>
    <t>Assurer depuis de nombreuses années : En 20 ans : une voiture volée intégralement remboursée, 3 bris de glace (par vandalisme) totalement pris en charge. 
Plateforme téléphonique efficace (avec un peu d'attente à certaine période de la journée). Il y a sans doute moins cher, mais le service est au rendez vous</t>
  </si>
  <si>
    <t>12/02/2018</t>
  </si>
  <si>
    <t>01/02/2018</t>
  </si>
  <si>
    <t>hajean-65331</t>
  </si>
  <si>
    <t xml:space="preserve">simplement axa  c'est un assureur qui prend des cabinets d'expertise qui sous estime tout en cas de 
sinistre
ils vous impose des entreprises  agrées pour avoir un boulot de bricolage
même assuré a neuf  vous avez droit au minimum  </t>
  </si>
  <si>
    <t>07/07/2018</t>
  </si>
  <si>
    <t>blackhello03-112248</t>
  </si>
  <si>
    <t>A fuir. 
Suite a un sinistre non responsable, j'ai subi les facéties de cette assurance. Non respect des délais, ton autoritaire et hautain quand on explique la problématique et le surplace de la situation, oublie de transmission de document a l'expert, réponse incohérente (ma voiture étant accidenter et craignant un problème mécanique, la dame me répond qu'il faut que j'aille faire un contrôle technique pour vérifier cela...). 
Bref, les prix payés pour les jeunes conducteurs sont très élevés et ne correspondent en rien a la qualité de service.</t>
  </si>
  <si>
    <t>30/04/2021</t>
  </si>
  <si>
    <t>anis-b-112940</t>
  </si>
  <si>
    <t>C'est ma première voiture. Je suis jeune diplômé. Je trouve qu'une assurance tout risque pour une golf VI de 5 chevaux, 1050€ ça fait un peu cher. Mais bon</t>
  </si>
  <si>
    <t>sandra-51840</t>
  </si>
  <si>
    <t xml:space="preserve">Suite à ma souscription à L'Olivier, une Lettre recommandée a été envoyé à l'ancien assureur. Quelques mois plus tard la résiliation n'avait pas été prise en compte. J'ai donc contacté L'Olivier qui m'a informé que l'adresse sur la lettre n'était pas la bonne. Mon interlocutrice à assumé ne pas avoir expédié la L.R. au bon destinataire mais refuse tout geste commercial. C'est inadmissible! </t>
  </si>
  <si>
    <t>31/01/2017</t>
  </si>
  <si>
    <t>fifi-68107</t>
  </si>
  <si>
    <t xml:space="preserve">Compagnies d'assurance très sérieuse </t>
  </si>
  <si>
    <t>26/10/2018</t>
  </si>
  <si>
    <t>rodolphe-74893</t>
  </si>
  <si>
    <t>Mutuelle pas trop chère. Pas de soucis particuliers jusqu'à présent.</t>
  </si>
  <si>
    <t>09/04/2019</t>
  </si>
  <si>
    <t>01/04/2019</t>
  </si>
  <si>
    <t>busuioc-e-115954</t>
  </si>
  <si>
    <t>Tres bien. Service rapide est pratique. Des pris bien raisonables. Personel aimable est patient. Systeme de signature electronique aussi bien pratique.</t>
  </si>
  <si>
    <t>dominique-l-107252</t>
  </si>
  <si>
    <t xml:space="preserve">bonjour,
je ne suis pas très satisfaite de vos services, en effet vous contacter pour une raison bien précise (bris de glace demande de renseignements bien spécifiques) est impossible. Impossible également de transmettre la carte grise par le site. transmise par mail hier, confirmation de réception de vos services à 13h29 par mail, relancé par votre messagerie ce matin à 07h, dossier incomplet, manque CG, et sur ma page personnelle , toujours pas de carte grise enregistrée!!!!!. Alors soit, les tarifs sont très abordables, mais il vous reste encore un très lourd chantier afin de rendre un réel service différent de tous les services du net, et qui nous donnerait "l'illusion" d'être des clients humains et non virtuels respectés et d'avoir gardé un tant soit peu de souveraineté. Grâce à vous je vais perdre 76 Euros (rbt partiel de la franchise par l'assurance complémentaire de mon véhicule) merci DIRECT ASSURANCES, soyons directes n'est ce pas ? 
bien cordialement,
Dominique LE LEUCH
PS ma demande était une attestation de paiement du sinistre  bris de glace détaillant le règlement : prise en charge et montant de la franchise sur papier en tête de DIRECT ASSURANCES - les autres assureurs ne se satisfaisant pas de la facture France pare brise.....
mais on marche sur la tête !!! 
</t>
  </si>
  <si>
    <t>20/03/2021</t>
  </si>
  <si>
    <t>matthew-k-109722</t>
  </si>
  <si>
    <t>TOP rapide et efficace, ravi d'avoir fait appel au furet.com 
Je recommande vivement ce site internet 
Vive internet vive les furets 
!!!!!!!!!!!!!!!!!!!!!!</t>
  </si>
  <si>
    <t>gillou21-51153</t>
  </si>
  <si>
    <t>J'ai quitté mon ancienne assurance santé pour April en décembre 2016 sur la base d'une cotisation annuelle équivalente à celle de mon ancienne complémentaire. Hors début 2017 le tarif a augmenté significativement. Cela ne m'avait pas été dis lors de la souscription J'ai beau râler vis à vis de April, ils ne veulent rien savoir. Ils me proposent une résiliation à l'amiable ! Cela veut dire que j'ai quitté mon ancien assureur avec mon ancienneté et que je repars de nouveau à zéro à en chercher un nouveau !</t>
  </si>
  <si>
    <t>10/01/2017</t>
  </si>
  <si>
    <t>doby-62802</t>
  </si>
  <si>
    <t xml:space="preserve">Evitez de vous rendre à l’agence AXA Villiers sur Marne, je possédais une assurance vie figures libre depuis 2000 à l’agence d’AXA de Garches. L'année dernière à plusieurs reprises le conseiller d'AXA m’a contacté pour m'informer que mon contrat après toutes ces années n'était plus imposable et qu'on pouvait investir sans un centime de plus comme frais.
Nous avons décidé avec mon épouse dans un premier temps d’aller voir une agence près de chez nous afin de procéder au transfert du contrat d’assurance existant, elle est donc allée voir à l’agence de Villiers sur marne qui nous a convaincu que nous pouvons faire le transfert de contrat sans problème et sans risque de perte de capital, nous avons accepté de faire le transfert et par la même occasion de faire un dépôt de notre économie que nous avions sur notre livret A vers notre contrat Figures libre, il nous a aussi parlé d’une offre promotionnelle étant en cours avec une prime de 6% du capital versée au bout de 8 ans sans aucun frais de dossier.
Mais nous souhaitions dans un premier temps que le transfert de notre contrat figure libre et le dépôt sur ce compte.
Après notre demande de transfert du contrat, nous attendions la confirmation de la part de la nouvelle agence de Villiers sur marne. Mais au bout de deux mois, nous avons reçu des documents pour un nouveau contrat qui n’avaient rien avoir avec notre demande de transfert, nous informant de la souscription à un contrat ALEGRO avec des frais importants qui ont été prélevés et aucune trace du transfert de notre ancien contrat Figure libre or nous n’avions jamais souhaité ni signer pour ce type de contrat et d’autres documents ou contrats (GPS). 
A plusieurs reprises, nous nous sommes rendus à l’agence de Villiers pour obtenir une réponse à nos messages par email et à notre lettre recommandée, pour demander le remboursement,  mais le discours du responsable n’avait pas changé, il nous fait toujours attendre, il nous a même proposé les documents pour un nouveau contrat pour qu’on signe afin de couvrir son manouvre, les documents étaient retro datés de janvier, alors que nous étions au mois mars. Cela signifie que, si nous avions signé ces documents au mois de mars alors qu’ils étaient datés du mois de janvier, nous n’aurions même pas pu renoncer puisque le délai de réflexion était largement dépassé.
Le 22 mars après qu’il m’a contacté pour qu’on se rendre à son Agence, nous avons discuté afin de trouver un issu à l’amiable et il s’est engagé afin de rendre notre argent en urgent et il a repris les contrats qu’il avait transmis à ma femme pour singer.
Sans nouvel de sa part le mercredi 27 mars je me rends à l’agence et encore une fois il a montré une autre image et cette fois il a été violent et m’a carrément mis à la porte de l’agence, alors qu’il nous avait confirmé qu’il allait faire le nécessaire pour le remboursement, 
Nous somme scandalisé par le comportement du responsable et avons l'impression d’être victime des manouvres frauduleuses, nous ne comprenons pas pourquoi la société AXA permet à ce type de personne ternir sa réputation?
Nous souhaitons maintenant récupérer notre argent en urgence et ne plus avoir à faire à ce type de société, je n’hésiterai pas à faire mêler la justice.
</t>
  </si>
  <si>
    <t>30/03/2018</t>
  </si>
  <si>
    <t>gabrielle1309-104847</t>
  </si>
  <si>
    <t xml:space="preserve">Très bon  contact accueil sympathique et interlocuteur a l'écoute et soucieux de vous satisfaire.
Ce dernier m a renseigné sur la date exacte de la reprise dun rendez vous chez l'opticien 
</t>
  </si>
  <si>
    <t>26/02/2021</t>
  </si>
  <si>
    <t>julien-m-138064</t>
  </si>
  <si>
    <t>facile de souscrire, conditions claires, et tarifs abordables (et plus attractifs que la concurrence). Je suis satisfait de la prestation, je recommanderai éventuellement.</t>
  </si>
  <si>
    <t>22/10/2021</t>
  </si>
  <si>
    <t>grugro-51337</t>
  </si>
  <si>
    <t>Des incapables - j'ai payé pour ma fille de 27 ans à 30 ans alors même que cette assurance m'annonce qu'elle n'était plus couverte depuis l'age de 27 ans... bien entendu sans avis ... je demande sa résiliation, et sans être averti, ils m'ont résilié moi et ma femme sans en être averti - scandaleux honteux, des agents peu aimables, il faut que ça cesse.</t>
  </si>
  <si>
    <t>Harmonie Mutuelle</t>
  </si>
  <si>
    <t>16/01/2017</t>
  </si>
  <si>
    <t>pierrot-k-109039</t>
  </si>
  <si>
    <t xml:space="preserve">simple et pratique je suis satisfait du service direct assurance jusqu'à ce jour je n'ai jamais eu aucun problème pour tout renseignement et autre. je recommande </t>
  </si>
  <si>
    <t>03/04/2021</t>
  </si>
  <si>
    <t>yann-j-133925</t>
  </si>
  <si>
    <t>DEVIS ASSEZ SIMPLE ET CLAIR A FAIRE SOIT MÊME. REPONSE RAPISE AU TELEPHONE POUR PLUS DE PRECISION; TRES BIEN. RIEN A RAJOUTER DE PLUS SINON QUE J ESPERE LA MEME REACTIVITE EN CAS DE SOUCIS</t>
  </si>
  <si>
    <t>22/09/2021</t>
  </si>
  <si>
    <t>dantigny-k-116439</t>
  </si>
  <si>
    <t xml:space="preserve">Je suis satisfaite du service et des tarifs de l’olivine Assurance. Lors de la souscription le conseiller m’a très bien expliquer  et était très cordiale </t>
  </si>
  <si>
    <t>09/06/2021</t>
  </si>
  <si>
    <t>celine2301-61544</t>
  </si>
  <si>
    <t>Une assurance qui résilie un contrat d'assurance avec pour seul motif : notre politique interne à décidé de ne pas renouveler votre contrat... En 4 ans d'assurance chez eux 1 accident non responsable (2015) et 1 accident responsable  (2017). INADMISSIBLE</t>
  </si>
  <si>
    <t>18/02/2018</t>
  </si>
  <si>
    <t>olivier-k-108395</t>
  </si>
  <si>
    <t>Bonjour, J'ai du passer 6 heures au cours des 3 derniers jours pour souscrire une assurance tous risques avec pack sérénité pour mon véhicule ! Les prix donnés par vos conseillers de clientèle sont différents de ceux simulés sur le portail Direct Assurance, impossible d'activer le cashback de Poulpeo (18€+franchise bris de glace offerte) pourtant partenaire de Direct Assurance., les devis envoyés par mail sont majorés de 3€ lors du paiement (?!)... Toutes les chargées de clientèle que j'ai eu au téléphone (4 appels pendant parfois plus d'une heure !) ont été formidables...  Vous pouvez les féliciter ! en revanche, il reste du boulot à faire sur votre site internet !</t>
  </si>
  <si>
    <t>29/03/2021</t>
  </si>
  <si>
    <t>rimorini-s-122062</t>
  </si>
  <si>
    <t>pour l'instant tout est ok. prix et contact téléphonique. La procédure électronique est très pratique et rapide. Les prix sont compétitifs et l'accueil est agréable</t>
  </si>
  <si>
    <t>youssefd7-77794</t>
  </si>
  <si>
    <t>Bonjour, ma conjointe enceinte et avec ses deux enfants de 10 et 8 ans est tombée en panne sur l’autoroute en se rendant à CDG ce mercredi et l’assurance a très mal géré la situation. 
Premièrement nous avons demandé de nous emmener à CDG car les enfants avaient un avion à prendre. Au lieu de ça on nous a proposé une voiture de location ce qui n’était pas forcément une mauvaise idée si ça avait été bien organisé. Cependant, la voiture de location était à Orléans ce qui nous éloignaient de notre destination finale sachant qu’on avait un avion à prendre et que nous étions à 1h de CDG. Orléans est a 2h30 de l’aéroport. 
Deuxièmement, arrivées au lieu de location on nous informe que la location est impossible car ma conjointe a moins d’un an de permis ce qui n’a pas posé problème lors de l’établissement de notre contrat chez la matmut. Troisièmement ma conjointe a dû se rendre à notre lieu de domicile par ses propres moyens après 6h de panne. 
Aujourd’hui nous demandons à ce que notre voiture en panne soit rapatriée à notre lieu de domicile et on nous refuse catégoriquement cette option car c’est trop loin. 
Cette affaire est scandaleuse nous comptons résilier notre contrat chez vous.</t>
  </si>
  <si>
    <t>22/07/2019</t>
  </si>
  <si>
    <t>jean-paul-b-133785</t>
  </si>
  <si>
    <t>je suis satisfais du service client . le tarif un peu elevé, mais reste dans le resonnable.Rapidité du service et bon acceuil telephonique. cordialement</t>
  </si>
  <si>
    <t>21/09/2021</t>
  </si>
  <si>
    <t>jcn75-122384</t>
  </si>
  <si>
    <t xml:space="preserve">Inscrit depuis 4 ans suite à une loi Evin, les tarifs ne font qu'augmenter !
Un mail en juin 2020 expliquant que la loi Evin prévoit à la troisième année +25% de cotisations et la quatrième année déplafonnement...
Mail juillet 2021 selon la même dite lois : +25% la deuxième année, +50% la troisième année et la quatrième année déplafonnement...
Résultat je passe de 88 à 155 Euros entre la 3eme et 4ème Année... 
Aucunes traces dans leur fichier des mails qu'ils envoient et seul recours possible uniquement par courrier postal !
Pas adresse mail ni interlocuteur pour avoir explications sur calcul du tarif : demandez par courrier postal... </t>
  </si>
  <si>
    <t>05/07/2021</t>
  </si>
  <si>
    <t>abadie-v-138708</t>
  </si>
  <si>
    <t>Simple et rapide. Satisfaite . Je recommanderai votre compagnie. En plus vous vous occupez de la resiliation de mon ancien contrat, ce qui facilite enorment les choses.</t>
  </si>
  <si>
    <t>02/11/2021</t>
  </si>
  <si>
    <t>01/11/2021</t>
  </si>
  <si>
    <t>kadzai-57876</t>
  </si>
  <si>
    <t>Victime sinistre vol en aout depuis le service client me ballade en me donnant des excuses bidons toujours aucune nouvelle de l expert ni son identité pour le contacte a fuir assurance et service désagréable a fuir .....</t>
  </si>
  <si>
    <t>06/10/2017</t>
  </si>
  <si>
    <t>prickly-80550</t>
  </si>
  <si>
    <t>J'ai eu 2 dégâts des eaux dans 2 appartements différents. Pour le premier ils m'ont envoyé une entreprise qui a bâclé les travaux et sali mon logement. Pour le deuxième il a été déclaré début mai et on est fin octobre, malgré des relances l'isolation et la peinture n'ont toujours pas été refaites.</t>
  </si>
  <si>
    <t>Crédit Mutuel</t>
  </si>
  <si>
    <t>30/10/2019</t>
  </si>
  <si>
    <t>tarek-m-133393</t>
  </si>
  <si>
    <t>Je suis satisfait du service. Le site est très intuitif et permet de s'assurer rapidement même pour une personne qui est moins à l'aise sur informatique.</t>
  </si>
  <si>
    <t>ladame-de-haute-savoie--104011</t>
  </si>
  <si>
    <t>Compliqué pour le remboursement la part complém  pour des radios. 2 mails toujours rien. attendu 1/4 heure qu'on me passe quelqu'un mais jamais eu personne</t>
  </si>
  <si>
    <t>11/02/2021</t>
  </si>
  <si>
    <t>romain-s-129473</t>
  </si>
  <si>
    <t xml:space="preserve">Je suis satisfait mais comme toujours trop coûteux en attendant de voir comment se déroule la gestion d’un éventuel sinistre. Le service téléphonique devait me rappeler à 18:00 il est 18:47 toujours pas d’appel ! </t>
  </si>
  <si>
    <t>25/08/2021</t>
  </si>
  <si>
    <t>maureen-p-108012</t>
  </si>
  <si>
    <t>Je ne suis vraiment pas du tout satisfaite.
Je souscris à un contrat auto par téléphone après avoir fait un devis.
On me dit que je pourrai changer la date d'effet si nécessaire (en fonction de la réception de mon chèque de banque).
Effectivement je reçois mon chèque de banque deux jours avant la date prévue ; j'appelle alors le numéro qu'on m'a communiqué pour changer la date.
Après réception par mail de ma nouvelle attestation d'assurance provisoire, je m'aperçois qu'on a augmenté le tarif de mon contrat d'assurance. Je devais payer et j'avais signé initialement pour un montant de 135,07 euros et je me retrouve à devoir payer 143,86 euros.
Assez surprise je rappelle au même numéro où l'on me dit qu'on ne comprend pas d'où vient ce changement et qu'on me rappellera.
J'attends trois jours et toujours pas de nouvelles. JE rappelle alors et on me dit que le changement de date d'effet peut engendrer des frais supplémentaires et qu'on aurait dû me le préciser.
Vous vous doutez bien que personne ne m'a averti de tout ça, autrement j'aurais évidemment attendu deux jours avant de récupérer ma voiture et j'aurais payé le montant pour lequel j'avais choisi cette assurance et ce contrat.
Après avoir eu un bon nombre de personnes et de services différents au téléphone et sans avoir eu l'assurance que j'allais être remboursée des frais déjà payés ; je me retrouve contrainte à signer le nouveau contrat et payer 143,86 euros chaque mois pendant un an.
Je ne trouve pas ça correct du tout. Et malheureusement j'ai bien l'impression que vous, ça ne vous choque pas.
J'imagine que vous comprenez maintenant pourquoi je ne suis pas satisfaite, même si j'ai l'intime conviction que cet avis ne vous intéresse pas réellement et que ma situation ne changera pas.
Merci quand même à celui ou celle qui aura pris le temps de me lire.</t>
  </si>
  <si>
    <t>25/03/2021</t>
  </si>
  <si>
    <t>bienetre33-105674</t>
  </si>
  <si>
    <t>Méfiez vous quand vous demandez si il y a des délais de carence on vous répond Non , mais sachez que pour les remboursements d'ostéopatie  il faut être client pendant 2 ans .. SUPRISE !!!!</t>
  </si>
  <si>
    <t>06/03/2021</t>
  </si>
  <si>
    <t>flo71100-56705</t>
  </si>
  <si>
    <t>Sinistre non responsable (tout risque) avec délit de fuite de l'autre conducteur avec fausse plaque . Je me retrouve à payer une franchise de 420€. J'ai demandé gentiment un geste commercial sur la franchise , elle me dis que non sauf si je souscrit un produit Macif banque ... du jamais vu ... lamentable de faire sa sur une victime , j'ai failli me mettre en colère à l'agence ... je paie ma franchise et je résilie toutes mes assurances chez eux .. 
j'ai envoyé mail à macif relation client.</t>
  </si>
  <si>
    <t>16/08/2017</t>
  </si>
  <si>
    <t>daniel-g-126540</t>
  </si>
  <si>
    <t>Prix un peu elevé pour une ancienne voiture.... Mais le service de devis en ligne est intuitif, ergonomique et rapide. Le choix et différentes propositions sont assez bien expliquées en fonction du besoin de protection.</t>
  </si>
  <si>
    <t>05/08/2021</t>
  </si>
  <si>
    <t>cougnaud-p-111466</t>
  </si>
  <si>
    <t>Satisfait de la procédure. second contrat chez L'Olivier assurances auto.
Tarif intéressant et facilité pour les démarches. Je recommande votre assurance.</t>
  </si>
  <si>
    <t>23/04/2021</t>
  </si>
  <si>
    <t>alima-r-114558</t>
  </si>
  <si>
    <t>Je suis satisfait du service de votre assurance et votre société je mange je vous remercie de la facilité auquel nous pouvons accéder à votre site sur Internet cordialement</t>
  </si>
  <si>
    <t>quentin-j-110903</t>
  </si>
  <si>
    <t>Très bon accueil et explications,. Très satisfait des services proposés et des prix, rapidité d'exécution et explications très claires. Je recommande.</t>
  </si>
  <si>
    <t>wlad-86012</t>
  </si>
  <si>
    <t>Maintenant MAAF ne respect pas le client. Dans deux ou trois mois elle demandes les pièces impossibles à fournir, donc pas d'indemnisation. J'ai eu deux sinistres et toujours la même chose</t>
  </si>
  <si>
    <t>16/01/2020</t>
  </si>
  <si>
    <t>alves-do-rego-j-126195</t>
  </si>
  <si>
    <t xml:space="preserve">parfait très bien renseigner
assurance peu cher très réactif 
je conseille vivement l’olivier assurance pour tous très bonne assurance en ligne je recommande </t>
  </si>
  <si>
    <t>03/08/2021</t>
  </si>
  <si>
    <t>babou-53659</t>
  </si>
  <si>
    <t xml:space="preserve">Étant immobilisé suite à une opération j'ai eu droit avec l'assistance matmut qu'à 14h d'aide ménagère que le 1er mois. Je ne peux pas poser le pied encore pendant 2 mois et je dois me débrouiller sur un pied pour faire mon ménage. C'est honteux sachant quon paye une assurance sur 1 an. Je vais changer d'assurance </t>
  </si>
  <si>
    <t>28/03/2017</t>
  </si>
  <si>
    <t>aby91-78475</t>
  </si>
  <si>
    <t>Bonjour
Je vous contacte j'étais chez mutua gestion ya 5 ans quand j'ai souscrit mon contrat je payais 86 euros la première année après la nouvelle année c'est passé a 96 euros 
Sans prévenir suite à cela j'ai voulu résilier et a ce jour ils ont toujours pas enle</t>
  </si>
  <si>
    <t>16/08/2019</t>
  </si>
  <si>
    <t>laurence-g-130166</t>
  </si>
  <si>
    <t>Je suis satisfait de vau prodrui merci pour l intérêt vous être une bonne assurance je vais recommande cette assurance as mais proche merci d avoir accepté de m assurz</t>
  </si>
  <si>
    <t>30/08/2021</t>
  </si>
  <si>
    <t>sege-109646</t>
  </si>
  <si>
    <t>Je suis depuis 1 heure à l'agence de MONTEREAU. Une seul personne pour s'occuper des clients, la directrice qui passe sont temps à discuter de la pluie et du beau temps. Déjà 3 clients furieux sont partis. Ce comportement est totalement irrespectueux des clients que nous sommes</t>
  </si>
  <si>
    <t>sylvietellier-99554</t>
  </si>
  <si>
    <t>très déçue.
mon premier avis a été rejeté alors je le rédige en termes qui peuvent plaire. lorsque l'on contacte l'assurance pour demander des renseignements on en parle jamais des franchises appliquées : -15 € pour toute consultation de moins de 75 € - 0€ remboursement  pour tout médicament de moins de 15€. c'est parfait ! c'est très honnête ! je l'aurai su je n'aurais pas pris cette assurance. c'est pas grave, on résiliera !</t>
  </si>
  <si>
    <t>Assur O'Poil</t>
  </si>
  <si>
    <t>03/11/2020</t>
  </si>
  <si>
    <t>carine-j-133493</t>
  </si>
  <si>
    <t xml:space="preserve">Je suis satisfaite des services proposés et des prix attractifs de votre assurance  l application mobile qui permet de faire.tout le nécessaire au niveau des contrats 
</t>
  </si>
  <si>
    <t>19/09/2021</t>
  </si>
  <si>
    <t>chatellier-a-107272</t>
  </si>
  <si>
    <t xml:space="preserve">Je suis mécontant qu'un évènement naturelle (grêle) dont je ne suis absolument pas responsable, me fasse une augmentation de cotisation si importante !! </t>
  </si>
  <si>
    <t>david24-57933</t>
  </si>
  <si>
    <t xml:space="preserve">J'ai pris une assurance chez eux le 01.09.2017 au tiers.
Le prix a l'année était de 740 euros.
A ce jour je paye 836 euros alors que je n'ai eu aucun accident et que mon bonus à augmenté.
Estimant que je paye trop cher, j'ai fait un comparateur sur internet et la que vois-je de mes yeux ébahis , une proposition de D.A de 518 euros(???)
Je les ai contactés pour leurs demander de me changer mon contrat....refus.
En faite ce n'est qu'un prix d'appel et comme l'ont écrits d'autres personnes ayant donnés leurs avis, sa augmente chaque année.
Je vais donc prendre une autre assurance, mais je trouve dommage qu'ils ne fassent pas d’efforts pour garder leurs (bons) clients, surtout que avec la loi Hamon on peut changer d'assureur après un an d'ancienneté. </t>
  </si>
  <si>
    <t>09/10/2017</t>
  </si>
  <si>
    <t>pola-79369</t>
  </si>
  <si>
    <t>Bonjour,
Un courtier m'a appelé vendredi 20 septembre 2019 pour une complémentaire santé. Il obligé à faire la souscription et je ne trouve pas cela normal. Surtout que je lui ai dis que je n'en avais pas besoin. Je voudrai annuler totale mon adhésion santé+prévoyance. Merci d'avance. 
Je ne manquerai pas de porter plainte auprès de la gendarmerie.</t>
  </si>
  <si>
    <t>21/09/2019</t>
  </si>
  <si>
    <t>bourdin-104251</t>
  </si>
  <si>
    <t>toujours à l'écoute ,bon conseil et renseignement , aimable ,serviable ,questions réponses ,satisfaisantes; j'y suis depuis 1972 et jamais eu de problème ;venez confiant.</t>
  </si>
  <si>
    <t>lbv-92844</t>
  </si>
  <si>
    <t>Accident avec délit de fuite, je retrouve la voiture qui m'a mis dans un arbre, sur le bon coin, et c'est moi qui ai informé ALLIANZ qu'il était assureur de cette sale personne qui m'a laissé sur le bord de la route (alors qu'ils avaient la plaque d'immatriculation) La plaisanterie a duré 1 an. Plus de sons plus d'images</t>
  </si>
  <si>
    <t>30/06/2020</t>
  </si>
  <si>
    <t>guillaume-94307</t>
  </si>
  <si>
    <t xml:space="preserve">satisfait de l'utilisation ainsi que du service permet d'avoir les prix en direct et rapidement en rentrant ces information ainsi que ceux du véhicule </t>
  </si>
  <si>
    <t>francois-b-127733</t>
  </si>
  <si>
    <t>je suis satisfait concernant le tarif et les garanties offertes pour ce véhicule. D'autant plus que vous assurez la charge des formalités de résiliement de mon contrat actuel à la MAIF</t>
  </si>
  <si>
    <t>serge34400-111691</t>
  </si>
  <si>
    <t>Assuré chez AMV depuis une quinzaine d'années, j'ai lu tout et son contraire sur Internet. Le prix est attractif mais qu'en était-il du reste.
Suite à un sinistre, le dossier a été très bien traité par AMV. Toute la partie négociation a été bien gérée.
Rien à redire, je recommande.</t>
  </si>
  <si>
    <t>sofiane-b-133772</t>
  </si>
  <si>
    <t xml:space="preserve">Bonjour les deux "roux",
Je continue à être satisfait de vos service et vous en remercie.
Néanmoins, je trouve vos tarifs pour des conducteurs exemplaires un chouia élevés. 
</t>
  </si>
  <si>
    <t>gaetan-d-130932</t>
  </si>
  <si>
    <t>Super rapide, satisfait du service. Ce qui est superbe c’est le principe. Un gain de temps fou. On m’a conseillé d’assurer ma moto ici. C’est donc sans hésitation que je suis ici.</t>
  </si>
  <si>
    <t>sandreeeen-125688</t>
  </si>
  <si>
    <t>Très peu de transparence sur les remboursements 
On ne peut pas vous joindre facilement 
Une adresse mail serait pourtant très pratique afin d’avoir un suivi 
Les remboursements des psychologues, hypnotiseurs et bien être ne se font pas contrairement à ce qui avait été annoncé 
C’est au petit bonheur la chance 
Alors que les remboursements classiques devraient rouler ce n’est pas le cas il manque toujours un petit quelquechose. Nous sommes des salariés et nous n’avons pas que ça à faire …</t>
  </si>
  <si>
    <t>clement-g-133329</t>
  </si>
  <si>
    <t>je suis très satisfait du service et le prix reste assez compétitif. La demande de souscription est simple rapide et efficace. L'inscription est très intuitif.</t>
  </si>
  <si>
    <t>17/09/2021</t>
  </si>
  <si>
    <t>valerie--b-133419</t>
  </si>
  <si>
    <t>Oui très satisfaite et qualité prix aussi très bon prix je recommande cette assurance en ligne très bien je vous remercie d’avance très bonne journée à vous21</t>
  </si>
  <si>
    <t>axelle--p-136823</t>
  </si>
  <si>
    <t xml:space="preserve">Simple et rapide je conseille très bon site devis reçu très rapidement explications très bien décrite prix très correcte pour les étudiants bref je recommande </t>
  </si>
  <si>
    <t>09/10/2021</t>
  </si>
  <si>
    <t>armelle-a-110345</t>
  </si>
  <si>
    <t>très bon accueil. Je regrette toutefois qu'il ne soit pas plus pratique de transmettre les documents. J'espère que tout continuera comme ça l'avenir nous le dira en cas de sinistre</t>
  </si>
  <si>
    <t>samir-s-107114</t>
  </si>
  <si>
    <t xml:space="preserve">J'ai payé trop cher votre assurance durant des années, sans avoir de sinistre. La seule fois ou j'ai eu un problème (vandalisme avec inscriptions sur ma portière), votre franchise a été plus importante que la réparation elle-même. J'ai donc renoncé a faire jouer l'assurance. 
Lors de mon dernier renouvellement, vous avez augmenté ma police d'assurance alors que durant 4 ans je n'ai eu aucun sinistre.
De plus, durant la période de confinement vous n'avez pas réduit vos prix contrairement a une bonne partie des assurances.
Je suis content de résilier et ne reviendrais plus chez vous. 
</t>
  </si>
  <si>
    <t>bias-l-116051</t>
  </si>
  <si>
    <t>Je suis satisfait, une assez bonne réactivité. La conseillère que j’ai eu au téléphone était très claire et sympathique. Les prix sont également plutôt satisfaisant.</t>
  </si>
  <si>
    <t>05/06/2021</t>
  </si>
  <si>
    <t>koala-91046</t>
  </si>
  <si>
    <t>Très déçu de la prise en charge et de l'application Harmonie et moi, on nous dis qu'il faut aller dans l'appli pour voir quand un conseiller est disponible au téléphone ... On trouve où cette option ?
Quid des remboursements refusé ? Avez vous une justification de ces refus ???? 
Une seule chose, fuyez tant qu'il est encore temps !</t>
  </si>
  <si>
    <t>16/06/2020</t>
  </si>
  <si>
    <t>duriot-c-111237</t>
  </si>
  <si>
    <t xml:space="preserve">je suis satisfait du prix et des conseillères que j'ai eu au téléphone. 
C'est bien d'avoir que des conseillers français basés en France. 
J'ai fais une économie de 300€ par rapport à mon ancienne assurance. </t>
  </si>
  <si>
    <t>22/04/2021</t>
  </si>
  <si>
    <t>noemie-111326</t>
  </si>
  <si>
    <t xml:space="preserve">Bonjour , après une chute le 5 aout 2018 mon poignet s'est cassé puis j' ai eu une algodystrophie donc je suis resté longtemps en arret de travail. April a bien pris en charge mon pret après 3 mois de franchise mais jusqu'au 6 janvier 2020 date à laquelle le médecin expert de la sécurité social m'a convoqué et m'a dit d'arreter de prolonger mes arret. J'ai fait une contestation parce que j'ai encore mal au poignet j'ai été a nouveau convoqué par le médecin conseil qui a accepter m'a contestation. La sécurite social m'a payer mais april a voulu que je voit un médecin expert de chez eux j 'ai accepter mais ils ont trop tarder a me trouver un medecin expert. je n'ai pu voir ce médecin expert que en janvier 2021 qui m'a a peine écouter. Résultat april refuse de prendre en charge le pret et si je veux contester je dois payer un médecin expert (environ 300e) pour une contre expertise!! je ne peux pas payer une tel somme et meme si je paye le médecin expert va me voire que plus d'1 an après forcement mon poignet va mieux !! ce n'est pas logique! </t>
  </si>
  <si>
    <t>volguiz-80599</t>
  </si>
  <si>
    <t>je suis à cette assurance depuis 30 ans, rien à redire satisfaction totale. En cas de soucis tout à été nickel. très bon contact avec les interlocuteurs. Aucun reproche à leur faire. Je recommande cette assurance sans problème et d'ailleurs certains de mes proches y sont aujourd'hui.</t>
  </si>
  <si>
    <t>31/10/2019</t>
  </si>
  <si>
    <t>piquandet-m-134342</t>
  </si>
  <si>
    <t xml:space="preserve">très bien , facile à souscrire , personne facilement joignable , tarif raisonnable pour les jeunes , dommage que vous ne faites pas l'assurance des motos </t>
  </si>
  <si>
    <t>yanndel66-94847</t>
  </si>
  <si>
    <t>Après 30 ans avoir tout assuré chez eux maison avec toutes les garanties et toutes les options 3 voitures une moto.
J'ai acheté une voiture d'où je n'ai eu absolument pas de chance. Il y a il y a 2 ans en panne sur l'autoroute l'année d'après fissure au niveau du pare-brise et la dernière mon véhicule prend feu pendant que je roule.
J'ai eu très peur et j'ai eu énormément de chance qu'une personne mais averti que le feu était sous le véhicule ce qui m'a laissé le temps de m'arrêter.
Aucun souci niveau service client qui ont été réactifs très bien par contre niveau de mon agence la directrice totalement désagréable me fait part du désir de ne plus vouloir m'assurer de véhicule.
Sa réponse était vous comprenez ça nous a coûté un peu cher le remboursement de votre véhicule.
Comme si j'avais fait exprès de mettre le feu pendant que je roule à ma voiture.
J'ai donc bien compris que pour elle ok d'avoir une grosse Assurance mais seulement à condition qu'il n'arrive rien je suis plus que déçu de la MAAF.</t>
  </si>
  <si>
    <t>22/07/2020</t>
  </si>
  <si>
    <t>simon-114077</t>
  </si>
  <si>
    <t xml:space="preserve">Je vous fait part de mon mécontentement, car j ' ai fait une demande de prise en charge par l ' intermédiaire de mon opticien il y a plus d ' une semaine, je n'ai toujours pas eu de réponse 
Je suis très déçu, si cela ne s ' améliore pas nous mettrons fin à notre contrat dans le délai 
Prévu par la loi. 
Cordialement </t>
  </si>
  <si>
    <t>akh-60857</t>
  </si>
  <si>
    <t xml:space="preserve">Je suis très satisfait pour l instant en espérant toujours l etre si un jour je dois avoir un sinistre </t>
  </si>
  <si>
    <t>26/01/2018</t>
  </si>
  <si>
    <t>arno1-104666</t>
  </si>
  <si>
    <t xml:space="preserve">
- Je vous ai contacté, pour une demande d'assurance, pour un nouveau véhicule.
À la suite d'une longue discussion de 45 minutes, sur le site de Marseille, par l'intermédiaire de Mr B... Olivier, je me suis vu refusé un accès à l'assurance de mon véhicule.
Nous sommes assurés chez vous depuis au moins 21 années, je ne compte pas avant.
Cette personne, n'a pas voulu discuter, ou essayé de comprendre, ma demande d'assurance de véhicule, la seule possibilité était par la négation, je pense qu'un peu de dialogue aurait été bénéfique, pour tout le monde.
Je n'ai d'ailleurs pas essayé de chercher, à aller plus loin dans la conversation, car cela n'était plus possible.
Cependant, cette personne a bloqué mon compte internet, sans aucune concertation, ni aucunes informations, de sa part.
-	Concernant la hausse tarifaire professionnelle sur un nouveau véhicule, nous n'avons pas reçu d'information, concernant cela.
-	J'ai bien regardé sur le document d'information « évolution tarifaire 2021 » et à aucun moment, il est fait allusion, de l'évolution tarifaire professionnelle.
-	Cela est un manque d'information inqualifiable.
D'autre part, j'ai fait une demande de document sur le site internet maif, concernant, une copie d'attestation carte verte, cela s'est reproduit deux fois, et encore à ce jour, j'attends toujours ce papier.
Pour suivre, je ne crois pas que tout cela vaille encore l'intérêt de faire croire, à ce que l'ensemble des sociétaires soient égalitaires.
</t>
  </si>
  <si>
    <t>13/04/2021</t>
  </si>
  <si>
    <t>jefferson-a-105725</t>
  </si>
  <si>
    <t>Je suis satisfait pour la rapidité et l'efficacité du service. :)
Prix légèrement un peu juste par rapport à mon attente mais reste correct dans l'ensemble.
Assuré au Tiers Maxi pour 85 € pour une renault mégane 3 110 1.5 DCI année 2011</t>
  </si>
  <si>
    <t>madiouni-m-117102</t>
  </si>
  <si>
    <t xml:space="preserve">Un grand merci a myriam. Courtoise et aimable . Mais parmis vos teleconseillers il y en a qui sont tendus et peu aimable .  Prix juste  pas de mots techniques bizardesques et un jargon incompréhensible </t>
  </si>
  <si>
    <t>15/06/2021</t>
  </si>
  <si>
    <t>natacha--99568</t>
  </si>
  <si>
    <t xml:space="preserve">A fuir !!!!! 
Je suis infirmière libérale actuellement en arrêt pour des difficultés liés à la grossesse . Après des demandes de documents ( certificat par la gynécologue , dossier de plusieurs pages demandé par leur compagnie ) ils font traînés et traînés le dossier ,depuis le mois d’août ,pour ne pas payé ! 
J’ai tout mes contrats chez eux (mutuelle ,prévoyance santé ,prévoyance retraite ) prix assez élevé ..je compte bien tout retirer !  
Je vous déconseille également  les contrats mutuelle. Qui sont alléchants mais au moment voulu on vous dit que ceci ou cela n’est pas compris ( frais optique par exemple alors que le 100%santé est dans le contrat ) 
Mes collègues vont également retiré leurs contrats au vu de mes expériences . </t>
  </si>
  <si>
    <t>phil-56256</t>
  </si>
  <si>
    <t xml:space="preserve">Au secours, a l'aide comment c'est possible une assurance pareille.Il font ce qui veulent ,aucune écoute,ni dialogue possible, il faut faut faire un autre métier.Osez s'en prendre a mon enfant a travers sa cotisation.Inadmissible.
Je pense prochainement leurs rendre une petite visite de courtoisie afin qu'ils m'expliquent leurs façons de faire.Il font de l’abatage,le fric doit rentrer et le client dans tout ça?Ils ne tiennent pas compte de leur clientèle,seul les procédures comptent.J'ai actuellement un problème de santé,mais je vais me faire un plaisir de débouler dans leur agence et la ont verra bien.Pour résumé car nous avons tous nos problèmes,l'agence d’Aubagne et a éviter et j’espère que les autres agences sont différentes.      </t>
  </si>
  <si>
    <t>hylene-105666</t>
  </si>
  <si>
    <t>.depuis prêt d'1an Mercer offre un service au client très médiocre.  Communication impossible. 1h d'attente au téléphone pour avoir un interlocuteur. Pas de réponse courriel. C'est un  avis largement partagé par tous les salariés de ma société qui ont cette mutuelle obligatoire.
 Tiers payant et prise en charge sur des soins optiques et hospitaliers très mauvais. Alors que je reçois régulièrement les remboursements du pharmacien ( le denier datant du 10/2/21) donc pas de problème de dossier ,mon compte Mercer est tout à fait opérationnel et correctement renseigné,  une simple facture d'opticien devient Impossible à traiter en tiers payant. Impossible de faire fonctionner le tiers payant , essayé par 3 fois au moins ,a des dates différentes. Le Système informatique Mercer en permanence défaillant. 
D'autre part la prise en compte des réclamations est nulle. Inexistante.
Pas de réponse aux courriers. Sauf courrier robot type 'votre demande a été prise en compte' puis, plus rien, aucune nouvelle. Depuis octobre 2020 , dépôt de mon premier document et email sur mon compte employe Mercer jusqu'à aujourd'hui février 2021. Toujours aucune réponse!!!!
Pas de remboursement. Pas de courrier .pas 'd'email. Ni message sur le compte personnel Mercer. J'en suis à ma 4eme réclamations. Aucune réponse. 
En dessous de tout.</t>
  </si>
  <si>
    <t>martins-l-124868</t>
  </si>
  <si>
    <t xml:space="preserve">le contact est simple et rapide, le tarif est correct, procédure sur le site internet rapide. Un téléconseiller m'a appelé pour valider ensemble le produit choisi
</t>
  </si>
  <si>
    <t>checky-m-108794</t>
  </si>
  <si>
    <t>je suis très satisfait  du conseiller olivier assurance,pour sa gentillesse ,pour les bon conseils ,pour le prix aussi et pour le suivi,Merci à Olivier Assurance.</t>
  </si>
  <si>
    <t>pierrot-s-124120</t>
  </si>
  <si>
    <t>Votre conseillère a été parfaite....professionnelle, aimable, disponible et intelligible. J espère qu' en cas de sinistre ce sera identique. C est un vrai plus pour une assurance en ligne !</t>
  </si>
  <si>
    <t>karine59-89397</t>
  </si>
  <si>
    <t xml:space="preserve">conctate ce jour pour une souscription clairement incapable de pouvoir établir mon contrat sachant que je suis cliente chez eux sur plusieurs contrats la conseillère ne veut clairement pas procéder à l'inscription me dit qu'elle ne peut recevoir mes documents un simple bon de commande fini par être très désagréable et me raccroche au nez je suis choqué et envisage de tout supprimé mes contrats </t>
  </si>
  <si>
    <t>05/05/2020</t>
  </si>
  <si>
    <t>ackermann-y-124351</t>
  </si>
  <si>
    <t>j'ai nouvellement souscrit chez vous et je suis très surpris de la difference de prix entre le devis et la souscription lors de l'achat du véhicule. cette augmentation n'est en rien justifiée et votre suggestion de souscrire avant d'acheter est incohérente et stupide: pourquoi prendre un service et payer avant d'aquerire, pourquoi assurer un bien qui ne nous appartient pas ?! vous les assureurs vous trouvez toujours une astuce pour prendre plus et donner moins. nous verrons à l'usage si nous avons fait qdmm le bon choix en allant chez vous.</t>
  </si>
  <si>
    <t>23/07/2021</t>
  </si>
  <si>
    <t>pascale-h-112790</t>
  </si>
  <si>
    <t>je suis tres  satisfaite de mon contrat d'assurance habitation . un contrat clair,  et sans embuche je vais vous recommander fortement a mes contacts .</t>
  </si>
  <si>
    <t>arjeanpi-54910</t>
  </si>
  <si>
    <t>Client depuis 50 ans avec bonus de 50%, j'ai l'aile de ma voiture qui a été accrochée sur un parking l'expert a estimé que cet incident était en "roulant", la MAIF a suivi les conclusions de l'expert et a refusé une contre expertise  à ms frais...résultat je vends ma voiture et change d'assurance...</t>
  </si>
  <si>
    <t>25/05/2017</t>
  </si>
  <si>
    <t>01/05/2017</t>
  </si>
  <si>
    <t>marie-53555</t>
  </si>
  <si>
    <t>Bonjour Encore une expérience de la vie...ayant souscrit à une assurance-vie de la Banque postale via CNP il y a 15 mois, je me suis rendue compte que c'était un mauvais choix et il y a un mois j'ai informé la conseillère de la BP du rachat total de cette assurance vie.Je ne vais pas détailler ici de la réaction, des nombreux appels, des mails des courriers enfin du parcours du combattant pour récupérer mon investissement.Quant aux réponses de la CNP, j'ai honte pour cet organisme tout est bon, le dossier est arrivé, pas arrivé, nous sommes dans les temps enfin pas de fonds sur mon compte bancaire.Apres avoir eu un entretien avec un juriste, j'ai donc envoyé deux lettres recommandées sans réponse et le clou dans cette affaire porter plainte à la gendarmerie, incroyable en arriver là.J'ai décidé d'aller jusqu'à cette démarche pour que la CNP arrête de prendre ses clients pour des billes.Quand il y a eu achat de Cachemire 2 la somme a été prélevée en moins d'une semaine.Ce qui me surprend est que j'ai effectué un rachat  d'une autre assurance vie même date mêmes conditions dans un autre établissement bancaire et les fonds sont déjà versés depuis plus d'une semaine.Chercher l'erreur.Fuyez et la BP et CNP.Merci d'avoir eu la patience de me lire.</t>
  </si>
  <si>
    <t>vroh-bi-s-125340</t>
  </si>
  <si>
    <t xml:space="preserve">Je suis satisfait du service. Il est simple et précis. Le prélèvement chaque 15 du mois me convient très bien. Je vais conseiller à mes parents et amis direct assurance. 
</t>
  </si>
  <si>
    <t>28/07/2021</t>
  </si>
  <si>
    <t>marion-g-104992</t>
  </si>
  <si>
    <t>très satisfaite sauf pour le premier paiement par carte tres élévé mais les prix dans l'ensemble sont plus qu'attractifs par rapport aux autres assureurs</t>
  </si>
  <si>
    <t>miria-a-110740</t>
  </si>
  <si>
    <t>Je ne comprends pas pourquoi vous prenez en compte sur mon tarif d'assurance les sinistres qui ne sont pas de mon fait.
Merci de faire une réduction.
Bien Cordialement</t>
  </si>
  <si>
    <t>17/04/2021</t>
  </si>
  <si>
    <t>emma-99860</t>
  </si>
  <si>
    <t>Cela fait 10 ans que je suis chez APRIL et je viens de résilier mon contrat fin Octobre. Comme beaucoup de mutuelles je présume, les prix grimpent et quand on fait le bilan, on s'aperçoit que la fidélité n'est absolument plus un critère et qu'il faut partir. En 2011 la mensualité pour un pack famille pour 2 personnes, un adulte et un enfant, s'élevait à 62,85 €. Pour 2011 la mensualité s'élève à 99,48 €. Je vous laisse apprécier la hausse. Pour résilier son contrat il faut le faire 2 mois avant la date anniversaire, soit le 31/12/20, mon nouvel échéancier daté du 12/10/20 n'a été reçu que le 23/10/20, je les ai trouvé limite sur le délai. Je l'ai d'ailleurs précisé dans ma lettre avec AR.
Pour ce qui est des remboursements, et toutes demandes administratives, ils sont correctes. 
Le problème qui se pose à moi aujourd'hui c'est de trouver une bonne mutuelle mais plus je lis les avis, plus j'ai 'impression qu'il n' y en a aucune...</t>
  </si>
  <si>
    <t>molinello-m-139526</t>
  </si>
  <si>
    <t xml:space="preserve">Satisfait de votre service
Simple et efficace avec une rapidité d exécution intéressante 
Recommanderai fortement à quiconque à besoin de se faire assurer
Cordialement </t>
  </si>
  <si>
    <t>13/11/2021</t>
  </si>
  <si>
    <t>jean-claude-v-122378</t>
  </si>
  <si>
    <t>nous sommes satisfaits de la gmf. Nous sommes chez vous depuis plus de trente ans - assurance habitation gmf - assurance voiture gmf- épargne gmf
bien cordialement</t>
  </si>
  <si>
    <t>sebast(ien-s-122072</t>
  </si>
  <si>
    <t>client depuis un moment, j'ai parainner une amie et suis satisfait de la prise en charge de mes sinistres.
l'application par ailleur fonctionne tres mal et ne suavegarde pas les donnee quand l'on fait une decalration de sisnistre en ligne.
de meme le service d'aide au constats n'est pas joignable a tout moment ce qui limite son efficassité.
Ma plus grande deception est d'avoir assurer mon deux roue chez votre partenaire run assurance qui m'avait ete conseiller apres un appel a vos service cleintele et qui n'a pas du tout suivi mon sinistre et ma laisser sans nouvelle durant plus d'un an de mon sinitre pour le lequel le tier responsable qui avait griller un feu rouge n'a jamais ete inquiete, j'ai du ralncer moi meme AXA pour qu'il intervienne et malgrer ca je n'ai jamis etre ete indemnisé alor que j'ai ete emmener a l'hopital suite au choc de l'accident  , et mon dossier na jamais ete suivis alor que je continai a payer mes cotisation mesuelles pour un scooter immobiliser dans mon jardin et qui a fini par se deteriore. cela restera un gros point noir dans mon experience avec direct assurance</t>
  </si>
  <si>
    <t>fathi-d-133302</t>
  </si>
  <si>
    <t xml:space="preserve">Le prix  est satisfaisant  la conseillère à était aimable et ma bien orientée dans mon devis et des questions  que je me pose son maintenant beaucoup plus clair 
</t>
  </si>
  <si>
    <t>haidara-b-136312</t>
  </si>
  <si>
    <t>Je suis pour le moment satisfait du service, pour la suite il est encore un peu tôt pour évaluer, et au niveau des prix je dirais que c'est assez correct</t>
  </si>
  <si>
    <t>annick-53181</t>
  </si>
  <si>
    <t>ZERO fuyez, c'est le désordre le plus complet. Vous ne pouvez avoir aucune confiance dans cette mutuelle. De gros problèmes depuis le début. j'ai rompu mon contrat au bout de 3 mois</t>
  </si>
  <si>
    <t>11/03/2017</t>
  </si>
  <si>
    <t>portbail-60041</t>
  </si>
  <si>
    <t>Très satisfais de cet assureur.</t>
  </si>
  <si>
    <t>03/01/2018</t>
  </si>
  <si>
    <t>patricia--130075</t>
  </si>
  <si>
    <t xml:space="preserve">Mon mari a eu un accident de travail il y a 7 mois on vient tout juste d avoir une réponse négative qui plus est et nouvelle demande en attente
Très déçue de cette assurance à déconseiller fortement je vais d ailleurs déposer des avis dans ce sens sur les réseaux sociaux
Les gens ont le droit d être informés et de choisir une assurance qui ne fait pas qu empocher notre argent </t>
  </si>
  <si>
    <t>07/09/2021</t>
  </si>
  <si>
    <t>jean-francois-b-131754</t>
  </si>
  <si>
    <t>JE SUIS TRES SATISFAIT PAR LES TARIFS, LA FAICILITE D'ACCEDER AU CONTRAT ET LES GARANTIES OFFERTES; LA PRODEURE DE  CONTRAT EST TRES INTUITIVE A RECOMMANDER</t>
  </si>
  <si>
    <t>alex-102154</t>
  </si>
  <si>
    <t>Mutuelle qui devient très chère. Pas de justification sur les tarifs, après demande. Des demandes de remboursements toujours en attente, je pense jamais ne les recevoir, il trouve toujours des excuses pour ne pas faire les remboursements. Le site de chat de néoliane ne fonctionne pas, les questions tombent donc dans le vide... C'est le vide sidéral, quand une question est posée à un interlocuteur néoliane, bien sûr quand vous réussissez à avoir quelqu'un... J'ai des interlocuteurs plutôt agréable, sauf une fois, il aurait été en face de moi, il m'aurait frappé... Enfin, j'ai demandé la résiliation, via ma future mutuelle, et là excès de zèle, il refuse la résiliation, même ma future mutuelle ne comprend rien !!!! Néoliane de la rigueur seulement dans un sens !!!!!!</t>
  </si>
  <si>
    <t>04/01/2021</t>
  </si>
  <si>
    <t>theguiguidator-96419</t>
  </si>
  <si>
    <t>Une assurance ou tout aller bien jusqu’à un vol et incendie, cela fait 2 ans que ça traîne, un épaviste a prit le véhicule sauf qu'il n'a pas était envoyé par l'expert...
Sans doute le propriétaire du terrain qui a du en avoir assez de voir un véhicule épave sur sa propriété...
Depuis 2018, j'ai été indemnisé mais je suis toujours en galère avec axa qui fait des échanges "si ils sont fait", car c'est quand même moi en tant que client qui doit appeler pour avoir des nouvelles. Au téléphone, je sens une fatigue quand je prononce mon nom et prenom de la part d'un des collaborateurs. Comme c'est étonnant que le client doit appeler une fois par semaine pour pousser le dossier. 
Tout ça pour dire que le véhicule n'a pas pu être récupéré par l'épaviste envoyé par l'expert car le véhicule n'est plus pressent sur le lieu (4 mois après le vol) 
Sauf que l'autre epaviste me réclame plus de 15 000€ de frais de gardiennage, la societe se reveil deux ans apres. dixit "nous avons mit du temps a vous retrouver" 
J'ai demandé a un officier de police lors d'un controle, il lui a fallut moins de 5 secondes pour avoir la fiche de mon vehicule volé et incendié... Du foutage de G****E de la part de l'épaviste. Axa me dit la meme chose.
A ce jour le 18/08/2020, j'attends toujours que la voiture soit détruite et plus a mon nom sans payer un centime d'euro, car je suis lésé dans cette affaire.
Surtout je n'ose plus acheter de vehicule avec tous ses problemes, franchement ca reflete bien la grande galere des assurances, tout va bien aucun probleme, un vol et tout devient un chantier</t>
  </si>
  <si>
    <t>18/08/2020</t>
  </si>
  <si>
    <t>frederic-b-108115</t>
  </si>
  <si>
    <t xml:space="preserve">L'accueil de la conseillère a été parfaite pour la souscription, rapide et efficace - rien à dire à cet instant.
J'espère qu'en cas de sinistre, le service de Direct Assurance sera à la hauteur.
</t>
  </si>
  <si>
    <t>pierre-sala--139586</t>
  </si>
  <si>
    <t>Assuré chez L’olivier depuis 06/2021. Sinistre déclaré 10/21. Suivis du sinistre déplorable, obligé de les appeler tout les jours. Incompétence totale</t>
  </si>
  <si>
    <t>14/11/2021</t>
  </si>
  <si>
    <t>dim-57666</t>
  </si>
  <si>
    <t xml:space="preserve">Je déconseille cette assurance
À fuire
Très gros problème sur un contrat habitation
Suite à dégâts de tempête l'expert classe l'affaire en me disant que ma maison et trop ancienne 
L'assurance ne veux rien savoir et bien au contraire c'est à moi de payer une franchise sur un dégât qui n'a pas était pris en compte 
</t>
  </si>
  <si>
    <t>18/03/2021</t>
  </si>
  <si>
    <t>chris--109225</t>
  </si>
  <si>
    <t xml:space="preserve">Nouveau chez april moto pas d avis consommateurs. Intéressant au niveaux tarifaire à voir à l'usage pour l assurance moto .déjà client avec april pour l'assurance crédit maison et aucun problème. </t>
  </si>
  <si>
    <t>05/04/2021</t>
  </si>
  <si>
    <t>dani34-55974</t>
  </si>
  <si>
    <t xml:space="preserve">A fuir absolument! Avec cette mutuelle on atteint le sommet de mauvaise fois! Service client quasi inexistant, ne répond pas aux mails (ou bien après trois mois), si on a la chance de les joindre par téléphone on raccroche au nez, dès que les questions deviennent inconfortables pour eux. On promet que quelqu'un va me contacter, j'attends toujours. Bref, je me suis laissé avoir, ça n'arrivera pas deux fois! Je me répète: FUYEZ! </t>
  </si>
  <si>
    <t>12/07/2017</t>
  </si>
  <si>
    <t>hamza-103326</t>
  </si>
  <si>
    <t xml:space="preserve">Ayant souscrit a l'olivier, assurance que je connaissais bien je pensais être tranquille surtout après avoir pris une formule premium, mais comme certain pourront dire c'est quand tout va mal qu'on peut qualifier son assurance, et malheureusement je suis très déçu et dégouté de cette assurance.
Malgré une formule premium, je vais  payer plus de 850 euros de franchise, parece que je me suis fait volé un équipement auto, je n'avais pas fait attention a ça lors de la souscription de contrat, je m'attendais a du 350euros comme ailleurs j'ai envi de dire. mais non 850euros.
Malgré une formule premium on refuse de m'aider à avancer dans cette situation ou pour réparer le véhicule. A l'heure qu'il est cela fait 1 mois que j'appelle, jamais le même interlocuteur et je dois a nouveau raconter tout ce qui s'est  passé.
Il n'ont pas réussi a me trouver un réparateur agrée et me laisse totalement tomber.
On me demande d'avancer  les frais (10 000euros environ) et payer ma propre location.
Comme si de base j'avais demander à passer chez le constructeur de moi meme. Mais non comme ce n'est pas une question de carrosserie, on ne m'aide pas.
</t>
  </si>
  <si>
    <t>27/01/2021</t>
  </si>
  <si>
    <t>severine-w-113348</t>
  </si>
  <si>
    <t>pas trop de réduction sur notre ancienneté pour 3 contrats de voitures
une plateforme téléphonique pas très pratique toujours des interlocuteurs différents.</t>
  </si>
  <si>
    <t>imnld-59977</t>
  </si>
  <si>
    <t>Faites attention c’est un gros casse tete, on trouve n’importe quelle raison pour refuser l’indemnisation de mon véhicule. On me demande une preuve d’achat de mon véhicule, je n’ai seulement qu’un virement ils me disent qu’il n’y a aucune preuve que ça soit l’achat de mon véhicule ou d’un autre. Mais la grosse blague ça en devient ridicule. Bien évidemment des poursuites vont être engagées 
si il n’y a pas de solution.
Fuyez c’est du grand n’importe quoi !!!! C’est assurance est bien seulement si on a pas de problème. Le service de souscription est adorable, et celui de sinistre c’est totalement l’inverse.</t>
  </si>
  <si>
    <t>27/12/2017</t>
  </si>
  <si>
    <t>clem-104401</t>
  </si>
  <si>
    <t xml:space="preserve">Je ne sais pas si on peut parler d'avis ou de non avis tant mon expérience de " tentative" de souscription était disons... Surréaliste. Habituellement lorsque l'on veut souscrire un contrat d'assurance quel qui soit , on vous met en relation avec un commercial plutôt sympathique qui au moins fait l'effort de vendre son produit. Et bien chez Allianz, on se fait littéralement agressé et je pese mes mots, parce que l'on pose une question et qu'on est pas suffisamment précis dans les explications. La situation était tellement embarrassante, et hostile que j'ai du mettre un terme à ma tentative de souscription. Bref un bel exploit de la part de ce commercial que je peux finalement remercier car a la lecture des avis sur cette assurance, je pense que j'aurais fait une belle bêtise en souscrivant auprès d'eux... </t>
  </si>
  <si>
    <t>hoshiko-91100</t>
  </si>
  <si>
    <t>Impossible de faire avancer un dossier pour percevoir une assurance-vie après le décès de mon père. Silence radio total, aucun interlocuteur digne de ce nom. On attend au téléphone avant d'avoir une personne qui veuille bien répondre, à chaque appel une réponse différente, impossible de savoir si les documents envoyés ont été réceptionnés. En un mot, des incompétents notoires qui font tout ce qui est en leur pouvoir pour retarder le versement des fonds qui sont dûs. J'envisage de les traîner en justice et j'espère que beaucoup le feront. Une mauvaise publicité les fera peut-être réagir, mais j'en doute, et quand ils n'auront plus de clients, ils dégageront et ce sera un bien pour tous ceux qui ne se feront pas pigeonner.</t>
  </si>
  <si>
    <t>calo-85575</t>
  </si>
  <si>
    <t>Déçu pour la 2ème fois par la MAIF. L'honnêteté ne paye pas. Ils se retranchent à chaque fois sur des délais de souscription. Pour ne pas rembourser. Des contrats souscrits qui ne correspondent pas aux garanties demandées. A leur décharge ils faut lire les 76 pages du contrat. Ils ne savent pas gérer la détresse des clients.
Nous sommes loin de l'assureur militant.</t>
  </si>
  <si>
    <t>07/01/2020</t>
  </si>
  <si>
    <t>souissi-r-137650</t>
  </si>
  <si>
    <t>Très bon service, une réponse rapide qui me permet de pouvoir directement circuler avec mon nouveau véhicule. Une équipe à l'écoute et patiente, très agréable de bon matin.</t>
  </si>
  <si>
    <t>18/10/2021</t>
  </si>
  <si>
    <t>cubaone-126219</t>
  </si>
  <si>
    <t>Client MAAF depuis 17 ans et suite a une fumisterie de la part du directeur, je viens de faire le tour des concurrent et m'aperçoit qu'a garantie égale la concurrence est en moyenne 300€ moins chère! 
Rien à faire, c'est la MAAF que je délaisse</t>
  </si>
  <si>
    <t>jean-63084</t>
  </si>
  <si>
    <t>Ce courtier doit sortir tout droit de Cayenne. Après avoir payer ma prime annuelle, mon espace client a été bloqué, mes mails me sont revenus non délivrés.</t>
  </si>
  <si>
    <t>09/06/2018</t>
  </si>
  <si>
    <t>kinou-66455</t>
  </si>
  <si>
    <t>un conseil: si un feu passe au rouge surtout ne vous arretez pas parce que si on vous rentre dedans la gmf va résilier votre contrat parce ce que vous avez une conduite dangereuse.Un accrochage alors que j'étais arrétee(ce n'est quand même pas de ma faute si on recule dans mon véhicule) et un bris de glace. voilà donc dehors la mauvaise conductrice. la GMF veut bien ton argent mais surtout pas d'accident. la politique c'est faire payer et ne surtout pas payer. je pense ne pas être dangereuse d'autant plus que je fais de la prévéntion routière. Bref assurance à éviter à tout prix si on ne veut pas galérer pour en trouver une autre.</t>
  </si>
  <si>
    <t>28/08/2018</t>
  </si>
  <si>
    <t>le-car-d-127024</t>
  </si>
  <si>
    <t xml:space="preserve">Très satisfait des services de l'olivier assurance. Les tarifs sont convenable, toujours content d'assurer mes véhicules chez l'olivier. Merci de votre service </t>
  </si>
  <si>
    <t>07/08/2021</t>
  </si>
  <si>
    <t>dds-138225</t>
  </si>
  <si>
    <t>Nul , car ne couvre plus l'habitation sur le vol, le vandalisme au motif que l'assuré va en EPHAD, la seule option est l'incendie alors que le risque majeure est le vol ou le vandalisme .Donc mon père ne doit pas conserver sa maison , merci la MAAF pour les seniors....</t>
  </si>
  <si>
    <t>25/10/2021</t>
  </si>
  <si>
    <t>dijoux-g-133528</t>
  </si>
  <si>
    <t xml:space="preserve">Je suis satisfaite du pris et du fonctionnement de l'olivier assurance ... je le recommande .....
Tres bone acceuil telephonique 
Personnel a l ecoute... 
</t>
  </si>
  <si>
    <t>sdv976-89858</t>
  </si>
  <si>
    <t>J'ai essayé vainement de m'assurer pendant et après le confinement, jamais joignable, jamais rappelé malgré plusieurs demandes en ligne. Dommage je suis allez voir ailleurs où les gens répondent au téléphone. Le confinement a bon dos!</t>
  </si>
  <si>
    <t>23/05/2020</t>
  </si>
  <si>
    <t>mandracchia-m-135033</t>
  </si>
  <si>
    <t xml:space="preserve">Conseillé très agréable , drôle et bienveillant. Je suis très satisfaite d'avoir fait appel à l'olivier assurance pour assurer ma première voiture. Merci à vous </t>
  </si>
  <si>
    <t>lolo7762-88053</t>
  </si>
  <si>
    <t>suite au deces de mon pere,la gmf nous relance,pour un impaye concernant son vehicule,le titulaire etant decede,nous ne pensions pas rencontrer autat de difficultes,pour resisilier ,la GMF nous a bien envoyes des lettres recommandes,mais au nom du defunt,la gmf etait poutant au courant de cet etat de fait,quel tact!!!,les personnes que nous avons put avoir au telephone ne veulent rien savoir ,merci la GMF pour votre humanite</t>
  </si>
  <si>
    <t>06/03/2020</t>
  </si>
  <si>
    <t>01/03/2020</t>
  </si>
  <si>
    <t>carole-82134</t>
  </si>
  <si>
    <t xml:space="preserve">très encolère je ne reçoit pas mes remboursements alors qu'on me prélève chaque mois et qu'on je les appelle on me met en attente ... et personne ne parle méfiez vous franchement ils n'ont pas été sanctionné pour rien ...  </t>
  </si>
  <si>
    <t>20/12/2019</t>
  </si>
  <si>
    <t>aurore-132979</t>
  </si>
  <si>
    <t xml:space="preserve">Je suis nouvelle abonnée et Mariam m'a aidée pour ma première connexion
Tout les explications ont été claires. Personne très aimable et à l'écoute.
Je recommande vivement </t>
  </si>
  <si>
    <t>maryse-r-112809</t>
  </si>
  <si>
    <t>simple et rapide, je vous ai choisi pour cela.
Votre formule connectée m'a vraiment convenue suite au souci que j'ai rencontré en voulant assurer mon nouveau véhicule suite au décès de mon conjoint..
j'ai été assurée  comme conducteur principal pendant plus de 40 ans mais sur le dernier contrat juste le nom de compagnon  figurait  et j'ai perdu tout mon bonus...j'espère que je vais vite en regagner chez vous. Malgré tout ma prime 2 fois plus élevée.</t>
  </si>
  <si>
    <t>rebours-n-137886</t>
  </si>
  <si>
    <t>Je suis satisfaite de votre service des conseillers téléphonique très à l'écoute et du prix de l'assurance pour une voiture. Je vous remercie de votre compréhension.</t>
  </si>
  <si>
    <t>20/10/2021</t>
  </si>
  <si>
    <t>jf69-78525</t>
  </si>
  <si>
    <t>impossible de joindre la GMF en cas de sinistre
les centres des appels sont toujours occupés</t>
  </si>
  <si>
    <t>19/08/2019</t>
  </si>
  <si>
    <t>stephanie-s-113166</t>
  </si>
  <si>
    <t>augmentation de la cotisation de base de 15% en un an!!
Mon bonus augmente mais ma cotisation augmente de 10% car  la cotisation de base a pris 15%! Sans raison apparente!</t>
  </si>
  <si>
    <t>09/05/2021</t>
  </si>
  <si>
    <t>lamine-d-126069</t>
  </si>
  <si>
    <t xml:space="preserve">Je suis satisfait..de l assurance auto direct assurance .C est rapide et simple moins cher ..et je compte prochainement rassure mon appartement chez vous des que  je la possède ..merci </t>
  </si>
  <si>
    <t>02/08/2021</t>
  </si>
  <si>
    <t>sandrine-51513</t>
  </si>
  <si>
    <t xml:space="preserve">insatisfaite d'une augmentation de tarif importante sur mes 2 contrats auto et habitation de type économiques, on me propose un petit geste commercial et clairement on ne recherche pas à me garder,  ni à me fidélise Résultat je les quitte pour la 1ere assurance de France et conclue des contrats tous risques avec eux ! comme quoi tout est question de savoir être et de savoir faire  !!! </t>
  </si>
  <si>
    <t>20/01/2017</t>
  </si>
  <si>
    <t>laurent-pierre-w-105244</t>
  </si>
  <si>
    <t>Je suis toujours en attente de la responsabilité de la partie adverse.
Je vous ai transmit tout les éléments a savoir : Constat, coordonnée de la conductrice, Ref assurance et photo et le dossier est toujours en attente.
Cordialement</t>
  </si>
  <si>
    <t>dhalluin-a-128418</t>
  </si>
  <si>
    <t xml:space="preserve">prix excellent 
facilité de souscription
appel pour nous aider et nous conseiller ++
problème de confiance donner sa carte par téléphone reste un
risque de fraude plus important </t>
  </si>
  <si>
    <t>mistyc-94487</t>
  </si>
  <si>
    <t xml:space="preserve">J’attends de voir le tarif proposé, car mon assureur actuel me facture plus que l’année passée donc je souhaite trouver moins cher. 
Merci pour votre retour </t>
  </si>
  <si>
    <t>17/07/2020</t>
  </si>
  <si>
    <t>domdom31-66520</t>
  </si>
  <si>
    <t>Méthodes très problématiques, les techniciens m'ont fait signer un contrat qu'ils ont annoncé comme compris dans mon contrat bancaire BNP alors qu'ils ne sont pas mandatés par ma banque. Je me suis retrouvé avec un contrat à 15e/mois sans l'avoir demandé. Heureusement la résiliation est possible gratuitement</t>
  </si>
  <si>
    <t>03/09/2018</t>
  </si>
  <si>
    <t>da-rocha-v-122927</t>
  </si>
  <si>
    <t>Prix un peu élevé mais service client au top! Je suis satisfaite de l'ensemble des services proposés. Peu d'attente au téléphone. Mais il serait interessant de faire bénéficier les clients de remises ponctuelles</t>
  </si>
  <si>
    <t>09/07/2021</t>
  </si>
  <si>
    <t>jamaica-77525</t>
  </si>
  <si>
    <t>Des soucis et problèmes depuis le début. J'ai changé à eca de Amaguiz et je le regrette profondément ! Un service client inexistante, personnel malpoli qui accroche le téléphone pendant la conversation. Ma chienne est très malade et j'ai enregistré la sinistre il y a une mois, aucune remboursement. Ils ont tous le documents demandés mais chaque fois j'appelle ils demandent des documents déjà fournis. Ils essaient TOUT pour ne pas payer. Heureusement tout est enregistré par moi et je vais définitivement porter plainte. Honte à vous!</t>
  </si>
  <si>
    <t>Eca Assurances</t>
  </si>
  <si>
    <t>cec-56185</t>
  </si>
  <si>
    <t>service client odieux, je veux juste assurer un autre véhicule, j'ai eu trois interlocuteurs, trois explications, trois personnes odieuses. Ils me mentent et me disent que je suis soit une fraudeuse soit une idiote (sous entendu bien sur) à fuir. Je résilie tous mes contrats</t>
  </si>
  <si>
    <t>22/07/2017</t>
  </si>
  <si>
    <t>l'assurepasrassure-107128</t>
  </si>
  <si>
    <t>FUYEZ TANT QU'IL EST ENCORE TEMPS !!!
Je ne suis tombé sur ces avis que trop tard et je le regrette fortement...
J'ai souhaité mettre fin à la garantie provisoire le soir même où j'ai souscrit à cette assurance (16/03) et ils m'ont demandé une lettre manuscrite attestant de ma volonté de mettre fin à cette garantie et que j'ai envoyé dès de lendemain (17/03), ils m'ont répondu 30min plus tard que la demande avait été prise en compte et qu'elle serait traitée dans l'immédiat. Aujourd'hui (le 19/03) j'ai le plaisir de recevoir un mail stipulant que je n'ai pas envoyé les document à temps et qu'ils débutaient donc mon contrat temporaire (ce qui n'a aucune logique d'ailleurs).
Enfin bref assurance à fuir à tout prix</t>
  </si>
  <si>
    <t>soso-67599</t>
  </si>
  <si>
    <t>Depuis le 18 septembre 2018, j'ai souscris une complémentaire santé . Presque un mois plus tard, je n'ai toujours pas reçu  la carte mutualiste Très difficile d'avoir un interlocuteur au téléphone même en laissant les coordonnées pour un rappel.   si interlocuteur il dit que le dossier est traité et que je vais recevoir mes documents dans la semaine. mais les jours passent et toujours rien</t>
  </si>
  <si>
    <t>12/10/2018</t>
  </si>
  <si>
    <t>scorpion-63433</t>
  </si>
  <si>
    <t>tres bien expliqué ...............................................................................................................................................................................................................................................................................................................;;;;;;</t>
  </si>
  <si>
    <t>20/04/2018</t>
  </si>
  <si>
    <t>el-j-113025</t>
  </si>
  <si>
    <t xml:space="preserve"> satisfaite du service les prix me convient simple et pratique rapide niveau prix rien à dire surtout au niveau de la rapidité en ligne pour faire l'assurance</t>
  </si>
  <si>
    <t>herve-31880</t>
  </si>
  <si>
    <t>Pas de soucis pour la souscription, les tarifs sont corrects. Pour le moment rien à signaler je suis client chez eux depuis presque 3 ans. Très bonne expérience, certains commentaires m'étonnent, il y a des compagnies qui ne vous accepte pas malgré la résiliation d'une ancienne assurance.</t>
  </si>
  <si>
    <t>18/07/2017</t>
  </si>
  <si>
    <t>renna-b-129208</t>
  </si>
  <si>
    <t xml:space="preserve">Je suis satisfait du service 
Le prix est très correct et compétitif 
Je vais recommander L'Olivier assurance a mes amis et connaissances.
Merci et a bientôt   </t>
  </si>
  <si>
    <t>24/08/2021</t>
  </si>
  <si>
    <t>hydra-53829</t>
  </si>
  <si>
    <t>Je suis client depuis 2007, Aujourd'hui je trouve que le prix de mon assurance est exorbitant 1438 Euros pour un C8 de 2007 en tout risques , je passe un devis sur les furets pour le même véhicule 760 euros chez le même assureur. Chose bizarre il refuse de me prendre a ce prix. je pense que je suis un mouton. je me demande comment ça se passe pour les recours juridiques et c'est plutôt la résiliation.</t>
  </si>
  <si>
    <t>04/04/2017</t>
  </si>
  <si>
    <t>c-johanson-94672</t>
  </si>
  <si>
    <t>Six mois pour recevoir une réponse via la messagerie de l'espace client, réponse qui en plus ne résout pas le problème (validation de la "convention de preuve"), mais clôture néanmoins le dossier. 
Puis grandes difficultés pour procéder au rachat total de mon assurance vie, comme s'ils rechignaient à rendre l'argent. 
A éviter à tout prix !</t>
  </si>
  <si>
    <t>20/07/2020</t>
  </si>
  <si>
    <t>titanic-63497</t>
  </si>
  <si>
    <t>La pire société de courtage en assurance que l'on puisse connaître. Surtout ne vous en approchez pas, conseil de connaisseur qui y a laissé des plumes.</t>
  </si>
  <si>
    <t>23/04/2018</t>
  </si>
  <si>
    <t>coco-61277</t>
  </si>
  <si>
    <t>relation client : aucune. Dépôt de réclamation = jamais de réponse. N'assument pas leurs erreurs meme écrites!!!! Je ne vous parle meme pas des erreurs orales.Très mauvais service client. Par contre pour souscrire on vous déroule le tapis rouge.</t>
  </si>
  <si>
    <t>09/02/2018</t>
  </si>
  <si>
    <t>oceas-75661</t>
  </si>
  <si>
    <t>Pas assez sérieux . Beaucoup de formule convenue sur ce site et derrière rien ne se passe. Mon problème ne se règle pas les AGIOS gonflent et plus de pitance . Merci, Merci qui : AG2R La Mondiale . En attendant eux sont payé . Pas moi comme beaucoup d'autre sur ce site . A VOUS DE JUGER</t>
  </si>
  <si>
    <t>14/05/2019</t>
  </si>
  <si>
    <t>brigitte-b-111595</t>
  </si>
  <si>
    <t>Les prix sont très abordables, les prestations sont bonnes dans l'ensemble ainsi que la réactivité suite à un incident. 
Un petit bémol tout de même sur le montant des franchises qui est un peu élevé</t>
  </si>
  <si>
    <t>25/04/2021</t>
  </si>
  <si>
    <t>patrick-61867</t>
  </si>
  <si>
    <t>Client 272642 
Le 11/10/17 J'ai voulu souscrire une assurance en ligne me disant que ca m'eviterait d'aller en Agence Classique, et que ca irait plus vite. Attire par le prix d'appel sur un comparateur d'assurance, en fait en rajoutant une option de couverture du conducteur en + du tiers classique, c'est pas beaucoup moins cher et il faut voir aussi les prestations en cas de pepin. Mal m'en a pris, il manquait toujours un releve d'information que j'avais recu d'une ancienne assurance mais trop date dans sa date d'edition. Ca m'a pris la tete j'ai donc annule mon contrat mais helas au 15eme jour et suis alle en agence a la Matmut, donc j'ai demande en recommande la resiliation et le remboursement au prorata temporis moins les frais de dossier soit une misere 116.30 Eur. N'ayant pas d'imprimante j'envoie un RIB d ING direct dont le compte avait change, l'argent vire ne m'est donc jamais parvenu. je vois avec ma banque qui me dit que l'argent ne pouvant pas etre vire sur mon compte est donc de facto restitue a Active Assurance emetteur du virement.
La ca se complique Active Assurance me demande une attestation de la banque qu' ING Direct m'envoie par courrier classique ca traine.
Je leur fait suivre en piece jointe avec le nouveau RIB. A ce jour toujours pas de remboursement d'Active Assurances, leur dernier mail date d'aujourd'hui:
"Nous vous prions de nous excuser pour cette attente. Nous venons de relancer le service concerné ce jour et nous sollicitons votre patience."
Je reste donc patient et consulte tous les jours mon compte en ligne, voir si je recois un virement cette affaire traine depuis octobre 2017, nous sommes en mars 2018!
PS: J'ai toujours tout traite par mail jamais le 0 892 020 423 hyper taxe</t>
  </si>
  <si>
    <t>laly-lothe-122220</t>
  </si>
  <si>
    <t>Pour une assurance qui prenait en charge à 70 % au départ,je dois payer 62euros par mois à ce jour,est ce normal d abuser de la confiance des gens?.C est inadmissible</t>
  </si>
  <si>
    <t>03/07/2021</t>
  </si>
  <si>
    <t>aziza-103113</t>
  </si>
  <si>
    <t xml:space="preserve">on vends bien le produit pour vous attirer ds le filet .après avoir signer donc engager pour un an,je rencontre des problèmes en série on me prélèvera à 2 reprise ma cotisation sous la même référence mais de sommes différentes,une vraie galère avant de me faire rembourser ,on me demandera de justifier les moindre chose,de rembourser les frais mais comment rembourser alors que les 2 carte sont sous les même références.par ailleurs se sera la pharmacie qui m’avertira du problème ; mi février ,enfin on me rembourse après des tonne de mail ,dieu merci que le mail existe et qu'il soit gratuit. en janvier j'ai bien fait la télé transmission de la carte vitale.
demandant de justifier leur erreur et de comprendre jusqu’à maintenant je suis en attente d'une réponse.fin février,je constate que ma mère ne perçoit aucun remboursements de sa mutuelle ,je les recontacte et la ,on me répond on a un problème avec la télé transmission de votre mère.
je pète un plomb  si je ne viens pas vers vous,a quel moment vous me l'auriez dit.en plus c'est moi qui ai tout fait pour souscrire le contrat et ils ont toujours échanger avec moi et la ils ont oser me dire vous n'êtes pas la titulaire du contrat donc on ne discute pas avec vous et ils ont même oser dire montrer qu'elle est sous tutelle.
furieuse,je n'en peux plus ;je suis obliger de surveiller les décompte de la securite sociale et meme j'ai du apprendre a calculer les remboursements
</t>
  </si>
  <si>
    <t>tchucky-51828</t>
  </si>
  <si>
    <t>Bonjour,
Mon dossier de dégât des eaux est maintenant sous traité par TEXA.
J'ai eu un message me donnant un rendez-vous avec un expert pour le 1er février puis j'ai eu une notification 3 heures plus tard pour me dire que c'était annulé et qu'on allait me recontacter pour fixer une nouvelle date. Samedi j'ai eu un message vocal me donnant la date du 3 mars!
J'ai essayé de les joindre dans la foulée mais j'ai patienté 72min sans que personne ne prenne mon appel.
Mon sinistre a eu lieu il y a plus de deux mois.
J'ai signalé à la Maif le caractère urgent de la remise en état du à des traces de moisissures qui sont potentiellement dangereuses pour la santé (mais je ne dois rien toucher avant le passage de l'expert...), j'ai de la toux sèche depuis plusieurs semaines, j'espère que cela n'est pas lié (non fumeur) et ma conjointe auto entrepreneur travaille à la maison.
Je ne voudrais donc pas attendre encore un mois supplémentaire pour que l'expert constate ce que j'ai déjà déclaré à l'assurance, en ligne puis par téléphone (car laissé sans aucune nouvelles pendant des semaines) ainsi que par voir postale (formulaire co-rempli avec l'agence qui gère mon immeuble), plus les photos fournies par email. 
J'ai vraiment l'impression de me faire balader depuis des semaines, je ne suis pas du tout satisfait du service.</t>
  </si>
  <si>
    <t>30/01/2017</t>
  </si>
  <si>
    <t>camille-i-107142</t>
  </si>
  <si>
    <t xml:space="preserve">Le site est super pratique. 
Les conseillers téléphoniques très efficaces et très avenants. 
Le rapport qualité/prix est lui très intéressant et les services sont clairs. </t>
  </si>
  <si>
    <t>fredbb-139048</t>
  </si>
  <si>
    <t>Surtout n ayez aucun problème. 
Assuré tous risques.  Mon fils s est fait volé son scooter . Il a été retrouvé plus d un mois après du coup ils m ont renvoyé tout mon dossier. Jusque la rien de grave, il a fallut que j aille le chercher a la fourrière, l emmener a un garage pour que l expert passe. Ensuite trouvé un epaviste et tout ca a mes frais. Et au moment de passerxa l indemnisation ils disent que la chaîne étaient pas homologué alors que j ai envoyé 4 fois la facture ou cela apparaissait qu elle l etait. Et encore tout cela je l ai su parce que j ai appelé pour savoir où on en était et comme réponse j ai eu que le dossier était clôturé mais par contre ils vous le disent jamais. Je compte bien laisser mon expérience partout et surtout prendre un avocat.  En conclusion ......fuyez</t>
  </si>
  <si>
    <t>05/11/2021</t>
  </si>
  <si>
    <t>laetitia--132527</t>
  </si>
  <si>
    <t>Assurance complètement nulle j avais assuré le scooter de ma fille en tout risque et quand elle a eu son accident l assurance n a rien pris en charge car c est elle qui était en tort. A fuir!</t>
  </si>
  <si>
    <t>12/09/2021</t>
  </si>
  <si>
    <t>stephaniemichelotti82-77676</t>
  </si>
  <si>
    <t xml:space="preserve">Bonjour,
J'attends depuis plusieurs la réponse à un mail concernant le montant étrangement élevé de mes cotisations. En effet je paie depuis le début le montant pour un animal non pucé alors que mon chien est pucé. Aucune réponse malgré plusieurs relances. Que dois-je faire? Faire opposition à vos futurs prélèvements? Dans tous les cas je pense résilier au plus vite. </t>
  </si>
  <si>
    <t>16/07/2019</t>
  </si>
  <si>
    <t>pierre-127871</t>
  </si>
  <si>
    <t xml:space="preserve">Aucun remboursement en cas de sinistre.
Plusieurs mois avant d'avoir une réponse.
Les remboursements  ne sont même à  pas à la hauteur des cotisations.
Voilà ce qui explique les prix!
A fuir!!
</t>
  </si>
  <si>
    <t>13/08/2021</t>
  </si>
  <si>
    <t>bzb-61780</t>
  </si>
  <si>
    <t>Services clients difficilement joignable.Tout d'abord plate forme qui répond après un temps d'attente anormalement long puis demande de RV qui demande  un certain  delai</t>
  </si>
  <si>
    <t>27/02/2018</t>
  </si>
  <si>
    <t>jibou-111794</t>
  </si>
  <si>
    <t>pas de réponse aux courriels envoyés, impossible de les joindre au téléphone malgré les délais d'attente annoncés ?! aucune explication sur un prélèvement mensuel alors que la résiliation a été faite 1 mois avant par mon nouvel assureur (pour 2 assurances auto).
mon sentiment est que le client est une "vache à lait" donc assureur à fuir d'urgence !!!</t>
  </si>
  <si>
    <t>akim-k-127314</t>
  </si>
  <si>
    <t xml:space="preserve">Je suis satisfait du service
Et du prix mai par contre l'assistance devrait être compris
Pour les fidèles clients assuré plus de 2 ans oui d'accord ils offrent 2 mois gratuit </t>
  </si>
  <si>
    <t>ninette-138974</t>
  </si>
  <si>
    <t>je suis satisfaite de direct assurance gentilesse du personnel de bon conseil et facile de les avoir au telephone  l amabilite du personnel  les explications sur les contrat sont clair</t>
  </si>
  <si>
    <t>04/11/2021</t>
  </si>
  <si>
    <t>ruben51-51089</t>
  </si>
  <si>
    <t>L'ensemble des personnels Allianz est bien poli,les formules de politesse mielleuses cachent la fourberie qui se trouve dessus</t>
  </si>
  <si>
    <t>09/01/2017</t>
  </si>
  <si>
    <t>sophie-g-126803</t>
  </si>
  <si>
    <t xml:space="preserve">Simple pratique prix attractifs ....site simplement fait mais très efficace pour si repéré ........choix  de prix assez large pour si retrouver .ainsi qu en cas de soucis une personne pourra toujours nous répondre...
</t>
  </si>
  <si>
    <t>barthelemy-a-114927</t>
  </si>
  <si>
    <t>Je suis satisfait du positionnement prix et compétitivité.
Je suis mécontent de la gestion administrative de la mise en place du contrat.
 l''ensemble est satisfaisant.</t>
  </si>
  <si>
    <t>david-p-126985</t>
  </si>
  <si>
    <t>Il y a une différence énorme entre le tarif donné au téléphone et le tarif qu’on obtient en faisant la simulation sur internet.
Les explications données au téléphone n’ont aucun sens.</t>
  </si>
  <si>
    <t>sylla-h-111272</t>
  </si>
  <si>
    <t>Simplicité au niveau de la souscription du contrat.
Le tarif est correcte, et l'Olivier n'exige pas que l'on soit sans interruption de contrat durant les 24 mois qui précède la souscription du contrat.</t>
  </si>
  <si>
    <t>danou88-105924</t>
  </si>
  <si>
    <t xml:space="preserve">Tarifs très concurrentiels (à même niveau de couverture), des gens compétents, aimables, et qui vous facilitent grandement la tâche .... Dès réception de mon nouveau véhicule, il était assuré en bonne et due forme ! </t>
  </si>
  <si>
    <t>annick-55451</t>
  </si>
  <si>
    <t>Honteux mon fils à eu sa maison scandalisée et n arrive à rien entre l expert et la maif</t>
  </si>
  <si>
    <t>18/06/2017</t>
  </si>
  <si>
    <t>jpl-104869</t>
  </si>
  <si>
    <t>Assuré depuis 1972 , cette mutuelle pour moi et mon épouse, tant que nous étions en activité nous convenait, mais depuis que nous sommes à la retraite, elle augmente tous les ans. Ce premier janvier 2021, l'augmentation énorme plus de 60€ par mois ? sans aucun courrier postal, obligé donc d'avoir internet, un ordinateur et savoir que le courrier important est à lire sur le cite de la MGP.j'ai envoyé une lettre recommandée le 15/02/2021 pour un modification de mes contrats, mais la mutuelle fait la sourde, car je n'ai plus de contact avec des délégués de cette MGP, ni de bureau à proximité habitant à l'extrême sud du département de l'indre. mes mensualités sont de 446,10€, je ne peux plus me permettre cette somme mensuelle. cette mutuelle doit tenir conte que je suis isolé et agé et me faire appeler téléphoniquement par un conseiller. J'envisage pour la fin de l'année de prendre une mutuelle pour séniors</t>
  </si>
  <si>
    <t>lilakapoit-75582</t>
  </si>
  <si>
    <t>Grande lenteur administrative, personnel incompétent qui a multiplié les erreurs d'envoi de documents aux bénéficiaires, très mauvais relationnel... à fuir !!</t>
  </si>
  <si>
    <t>03/05/2019</t>
  </si>
  <si>
    <t>mandhouj-r-116260</t>
  </si>
  <si>
    <t>jes suis satisfait de service.vous avez bien repondu a mes questions votre service a aitez vraiment rapide a m assurer mon voiture 
merci de votre appel</t>
  </si>
  <si>
    <t>jkmab-61117</t>
  </si>
  <si>
    <t xml:space="preserve">assure chez eux en 2016  tarif 360.98//en 2017 t 398.92//tarif 2018 477.36 sans accident tout a fait fantaisiste n importe quoi deconseille
</t>
  </si>
  <si>
    <t>04/02/2018</t>
  </si>
  <si>
    <t>nicolas-91756</t>
  </si>
  <si>
    <t>Le simulateur pour assurance auto est simple d'utilisation et complet dans les informations demandées. Le prix semble correcte et retient notre attention.</t>
  </si>
  <si>
    <t>21/06/2020</t>
  </si>
  <si>
    <t>dante-104701</t>
  </si>
  <si>
    <t xml:space="preserve">Les appels sont pris en temps et heure, le personnel est à l’écoute de nos attentes, poli(e)s. Les remboursements sont traités dans des délais correctes </t>
  </si>
  <si>
    <t>24/02/2021</t>
  </si>
  <si>
    <t>syl-52001</t>
  </si>
  <si>
    <t xml:space="preserve">impossibilité à joindre quelqu'un téléphoniquement pour avoir des renseignements pour un transfert de garantie pour un véhicule que l'on doit me prêter. </t>
  </si>
  <si>
    <t>03/02/2017</t>
  </si>
  <si>
    <t>marylin-62116</t>
  </si>
  <si>
    <t xml:space="preserve">Je suis chez neoliane depuis bientot un an et je suis tres satisfaite, leur conseillers sont de tres bon conseil et nous explique tres bien a quoi servent les indemnites. 
Depuis que cette Marysol Tourraine a plafonne les mutuelles en france nous ne sommes pas a labri de payer des depassements dhonoraires, jai ete hospitalise il y a 5 mois de ca pendant 11 jours et jai bel et bien touche 1500 euros sachant que mes depassements dhonoraires atteignaient 900 euros...
Merci a Neoliane </t>
  </si>
  <si>
    <t>08/03/2018</t>
  </si>
  <si>
    <t>magali-t-110033</t>
  </si>
  <si>
    <t>Satisfaite du service pour le moment, bon rapport qualite prix. Service téléphonique plutot rapide  et conseillers a l ecoute du client, tres courtois.</t>
  </si>
  <si>
    <t>abanita-57458</t>
  </si>
  <si>
    <t xml:space="preserve">Bonsoir, client avec un contrat auto depuis 2015, je viens d'apprendre par la MAAF ma résiliation au 31/12/17 motif 3 sinistres avec 0 responsabilité, comme si j'étais coupable de faire accrocher par de mauvais conducteurs. Résultat malgré 50 % de bonus 8% supplémentaire car considéré comme bon conducteur (allez comprendre !) pratiquement aucune assurance ne veux me prendre ou alors à des tarif prohibitifs 800 à pratiquement 1000 € pour une mégane de 12 ans, à j'oubliais le seul conseil qu'ils m'ont donné c'est pas dire que j'étais résilié, comme si une fausse déclaration allait tout résoudre bref, lamentable et écœurant !!! </t>
  </si>
  <si>
    <t>19/09/2017</t>
  </si>
  <si>
    <t>patrice-72424</t>
  </si>
  <si>
    <t>Bonjour voila 10 jours que j'ai envoyé un devis pour dépassement d(honoraire de l'anesthésiste et a ce jour toujours pas de reponse , j'ai appeler le centre de gestion a muret on tombe sur un robot on peut joindre personne je suis opere la semaine prochaine que faire ??</t>
  </si>
  <si>
    <t>24/02/2020</t>
  </si>
  <si>
    <t>angie2769-101104</t>
  </si>
  <si>
    <t xml:space="preserve">Cette mutuelle est clairement nulle de chez nulle niveau service client. 
Cela fait 2 expériences chez eux (entre 2018 et 2020) et à chaque dossier, ils ne regardent même pas les pièces envoyées. Ils demandent des pièces complémentaires qui ont en fait déjà été transmises. 
Une vraie galère pour les salariés !!!
Bref employeur pour le bien être de vos salariés, fuyez ! 
Mercer recrute des incompétents ou bien a donné comme consignes de mettre des bâtons dans les roues à chaque assuré pour les remboursements. </t>
  </si>
  <si>
    <t>08/12/2020</t>
  </si>
  <si>
    <t>rolland-l-115671</t>
  </si>
  <si>
    <t>Excellent service , réactif et transparent, accueil convivial, je le recommande fortement à toutes les personnes en quête d'une assurance voiture. ????</t>
  </si>
  <si>
    <t>jeanmimi51-92393</t>
  </si>
  <si>
    <t>Rapide et efficace. Après très succinct sur les garanties . Il faudrait voir connaître la francise ce n’est pas très clair. C est un point à améliorer.</t>
  </si>
  <si>
    <t>26/06/2020</t>
  </si>
  <si>
    <t>catherine-57621</t>
  </si>
  <si>
    <t>ils ont des experts qui sont de meche pour pas prendre les dommages en compte je suis dans le lot et garonne AGEN  ler deux expert se sont mis d'accord pour que je ne soie pas indemnise remarquez je ne suis pas originaire du lot et garonne 
un racisme évident . j'ai demandé un autre expert mais pas de nouvelle depuis luillet 2017 les expert n'ont meme pas vu que la dalle et le toit de ma maison jumelee etait d'un seul tenant donc quand l'on casse une cloison au marteau piqueur cela occassionne des vibration qui ont fait que l'un de mes murs entre chambre et couloir est lézardé
et cela s'appelle des experts en batiment  . le plus drole c'est que l'expert de GAN ne savait meme pas ce qu'était une pointrole du grand n'importe quoi
il m'oblige a partie devant le tribunal contre mon voisin mais cela coute au minimum 5 000 euros comme cela l'assurance ne rembourse rien la lézarde 
a été constatée par les deux expert axa cabinet Polyexpert et l'expert du GAN mais a la suitede l'espertisse mon voisin a encore utilise le marteau piqueur l'xpert d'axa est revenu et a constaté l'agrandissement et l'alongement de la lézarde et aussi d'autre lézarde suite a la deuxieme partie des travaux de mon voisi  mais dans son secon rapport il ne lle signale pas alors qu'il a pris des photos avec sa tablette . il me reste a attendre que le mur tombe
pour qu'enfin il ragisse en espérant qu'il n'y aura ni blessé ni handicapé</t>
  </si>
  <si>
    <t>26/09/2017</t>
  </si>
  <si>
    <t>zarakk-102007</t>
  </si>
  <si>
    <t xml:space="preserve">Mutuelle offrant une bonne couverture dans l ensemble 
Bémol : moins bien depuis 1/1/20.
Les tarifs sont un peu coûteux 
L accueil téléphonique est toujours de bonne qualité 
Les conseils sont en général de bonne qualité 
La rapidité de traitement des demandes de remboursement est bonne 
Par contre réponse pour devis un peu longue 
</t>
  </si>
  <si>
    <t>fonteret-j-134242</t>
  </si>
  <si>
    <t>Satisfaite des prix sans aucun doute. Seul bémol, site internet peu pratique et peu maniable d’un smartphone. Onglet de l’assistant vocal (en bas à droite) masquant les éléments sur lequel nous devons valider</t>
  </si>
  <si>
    <t>le-hors-a-115522</t>
  </si>
  <si>
    <t xml:space="preserve">Je suis satisfaite du service tout est parfait, bonne échange avec les conseillers rien à dire je recommanderai à mon entourage l’Oliveira assurance merci </t>
  </si>
  <si>
    <t>pbi59-102945</t>
  </si>
  <si>
    <t>Assurance attentive et réactive aux sollicitations de ses assurés.
Services très accessibles avec réponse rapide.
Correspond bien à mes attentes d'une assurance.</t>
  </si>
  <si>
    <t>laurent-p-109989</t>
  </si>
  <si>
    <t xml:space="preserve">Si vous continuez à augmenter les prix de manière aussi indécente, je n'aurai aucune hésitation à changer d'assurance, comme je l'ai d'ailleurs fait en vous choisissant. </t>
  </si>
  <si>
    <t>banon-j-128056</t>
  </si>
  <si>
    <t xml:space="preserve">Je ne sais pas car je n'ai pas de visibilité sur l'offre que j'ai sélectionné précédemment. Il sera judicieux de me montrer l'offre de pouvoir la modifier dans le deuxième parcours (celui de l'achat) </t>
  </si>
  <si>
    <t>15/08/2021</t>
  </si>
  <si>
    <t>ds51220-76051</t>
  </si>
  <si>
    <t>Après un impayé, l'assureur a exigé que je paie immédiatement par CB. N'en possédant pas, j'envoie un chèque qui m'est renvoyé 18 jours plus tard en m'informant que mon contrat est résilié. Pas d'information via une lettre recommandée avec AR comme le stipule l'art. 7.5.8 des conditions générales, non respect du code des assurance.</t>
  </si>
  <si>
    <t>18/05/2019</t>
  </si>
  <si>
    <t>abde19-59868</t>
  </si>
  <si>
    <t xml:space="preserve">Client chez April depuis Septembre 2016, vivement la résiliation le 31/12.
Je vais rarement chez les médecins, le jour où j'ai voulu faire des lunettes pour moi et mon épouse, on m'a dit que j'avais le droit à un forfait de 100 euro pour la monture + verres !!!! Or, on me prélève 165 euro par mois, pour nos 2 et 2 bébés!!!
A bas April , A jamais ... </t>
  </si>
  <si>
    <t>21/12/2017</t>
  </si>
  <si>
    <t>la-farfadette77-86249</t>
  </si>
  <si>
    <t>Très satisfaite de l'appel au service clients. Très bon accueil de la part de Gwendal ! Très sympathique, réactif et compréhensif ! Merci de m'avoir débloqué la télétransmission aussi rapidement. A bientôt.</t>
  </si>
  <si>
    <t>23/01/2020</t>
  </si>
  <si>
    <t>moni77-60918</t>
  </si>
  <si>
    <t>Demande de rachat de mon assurance vie depuis le 27/12/2017 et suite à un problème de fiscalité ils sont bloqués et ne peuvent procéder au virement ! Du jamais vu travaillant dans une banque le délai est de 15jours en moyenne pour un déblocage pour rachat total. Le comble c'est que j'ai écrit au service réclamation qui lui met 2 mois pour répondre?je suis écœurée, l'impression de parler à un mur.</t>
  </si>
  <si>
    <t>16/02/2018</t>
  </si>
  <si>
    <t>louloutte-96375</t>
  </si>
  <si>
    <t xml:space="preserve">Je suis très déçue de cette assurance chez qui je suis depuis longtemps. Tant que vous avez la chance de ne pas avoir de sinistre, tout va à bien. Par contre, après un sinistre, il est très compliqué d'être dédommagé. </t>
  </si>
  <si>
    <t>samuel-k-125564</t>
  </si>
  <si>
    <t>Assurance très à l'écoute de ses clients, avec des employés très réactifs et qui couvre beaucoup de litiges, les prix de cette assurance sont raisonnable.</t>
  </si>
  <si>
    <t>nfrt88-66521</t>
  </si>
  <si>
    <t>Pour prélever pas de souci mais pour rembourser y à plus rien je tombe toujours sur une personne différentes l un me dit dossier ok l autre me dit il manque des documents ce qui m'a fait perdre déjà 2 mois pour mon remboursement ij j attend toujours bravo.</t>
  </si>
  <si>
    <t>31/08/2018</t>
  </si>
  <si>
    <t>rocherdomi-54447</t>
  </si>
  <si>
    <t>La MACIF est capable de résilier votre assurance habitation par erreur, puis, lorsque vous lui faites remarquer, elle vous fait payer la période où vous n’étiez pas assuré !!!!
En plus si vous voulez savoir si elle a raison ou tort, l'assistance juridique refuse de vous répondre !</t>
  </si>
  <si>
    <t>03/05/2017</t>
  </si>
  <si>
    <t>vanessa-h-128468</t>
  </si>
  <si>
    <t xml:space="preserve">Rien à ajouter tout a été parfait. A voir dans la future si cette assurance est vraiment là mieux adapté à mes besoins. Facilite de soi souscription en ligne. </t>
  </si>
  <si>
    <t>jfb-85755</t>
  </si>
  <si>
    <t xml:space="preserve">La MATMUT n'a aucun égard envers les très anciens sociétaires de près de 30 ans comme moi par exemple. Et ne parlons pas d'un geste commercial, jamais!! Le contrat petits rouleurs limité à 7000 km est inaccessible justement aux vieux sociétaires, mais accessible aux futurs nouveaux sociétaires pour les appâter évidemment. Cette attitude est INJUSTE ET IRRESPECTUEUSE. </t>
  </si>
  <si>
    <t>10/01/2020</t>
  </si>
  <si>
    <t>lolo-136028</t>
  </si>
  <si>
    <t xml:space="preserve">Je suis assuré chez Matmut depuis 30 ans sans aucun sinistre, aujourd'hui on m a endommagé mon véhicule une Audi a3 sportback et il ne me rembourse que 1800 euros car le montant des réparations est Supérieur à la valeur.  C'est une honte assurance à fuir </t>
  </si>
  <si>
    <t>virginie-d-124339</t>
  </si>
  <si>
    <t xml:space="preserve">je suis très satisfaite du service direct assurance
Du prix également je suis satisfaite
le site est simple et compréhensif
merci de votre professionnalisme
</t>
  </si>
  <si>
    <t>santacruz69-68423</t>
  </si>
  <si>
    <t>professionnalisme et service de qualité.
j ai toujours ete satisfait de l olivier assurance, cest pour laquelle j ai trois contrat souscris chez eu.
je recommande fortement cette assureur qui est reactif et performant</t>
  </si>
  <si>
    <t>07/11/2018</t>
  </si>
  <si>
    <t>zegr-101046</t>
  </si>
  <si>
    <t>Attire ses clients par des tarifs attractifs en utilisant des comparateurs en ligne très connus.
La seule assurance qui se débarrasse au plus vite de ses clients en résiliant par des méthodes contestables leurs contrats provisoires pour conserver les 127€10 payés à l'inscription.
FUYEZ!!!!</t>
  </si>
  <si>
    <t>07/12/2020</t>
  </si>
  <si>
    <t>jim-126835</t>
  </si>
  <si>
    <t>Bonjour ,aucun professionnalisme suite à un courrier que je reçois j'appelle pour comprendre la situation ils me disent qu'il y a un courrier en recommandé qui est déjà parti je lui dis que à ma grande surprise je n'ai aucun recommandé dans ma boîte aux lettres la réponse de la personne au téléphone est la suivante il n'y a que les Français qui ne reçoivent pas le recommander inadmissible de labpart de la GMF. 
L6 6 août 2021 à 13H22.
je suis sociétaire depuis plus de 5 ans chez eux. J'ai décidé de changer d'assurance car trop de différence entre l'échéancier et le prélèvement sur mon compte bancaire suite à ma démarche pour aller dans une autre assurance ils me répondent par mail favorablement que tout est accepté aujourd'hui il me preleve 104 € 37 à ne rien comprendre</t>
  </si>
  <si>
    <t>mlb-110194</t>
  </si>
  <si>
    <t xml:space="preserve">Bonjour,
Je suis assurée auto et habitation chez la maif depuis peu. Très satisfaite des prix au départ et du service aujourd hui ce n'est plus le cas. En effet, après avoir claqué ma porte d'appartement je me suis retrouvé enfermée dans les parties communes de mon immeuble. Étant paniqué, n'ayant jamais subi cette situation, j'ai contacté directement un serrurier sur ma ville. Il s'avère que mon immeuble étant récent la facture est assez élevé. 
Le site du serrurier indique que la maif fait parti des assurances liés à cette société. Ainsi,  je consulté mon contrat d'habitation et je vois que les portes claquée sont prises en charge du fait de mon contrat. Effectivement je n'ai pas appeler la maif avant le serrurier car je ne connais pas la procédure et je pense que peu de gens la connaissent surtout en cas de stress. Je pensais que la maif aurait été concilient avec cette petite erreur et aurait pris en charge au moins une partie des frais étant donnés que mon serrurier est agréé Maif sur son site internet. Au lieu de ça la Maif ne cherche même pas à comprendre la situation et refuse de me prendre en charge rien que le déplacement et main d'œuvre. 
Je suis très déçue de ce service client, alors que la maif apparaît numéro 1 dans le service client, une assurance proche de ses clients, ce n'est pas du tout le cas. 
</t>
  </si>
  <si>
    <t>je-n-en-ai-pas---108606</t>
  </si>
  <si>
    <t>Après un début très difficile dans la souscription il  y a quelques mois, j'ai été très bien reçue par cette opératrice, enfin disponible et compétente, et surtout patiente . Merci</t>
  </si>
  <si>
    <t>nico-72327</t>
  </si>
  <si>
    <t>Assurance incompétente ne fait pas l'erreur de vous assurer chez eux c'est sur c'est pas chers me vous le regretterai j'ai risilier mon assurance auto par téléphone ma résiliation à jamais étais faite et maintenant les huisier me demande de les payer</t>
  </si>
  <si>
    <t>20/03/2019</t>
  </si>
  <si>
    <t>sb91-101352</t>
  </si>
  <si>
    <t>En litige avec cet assureur : j'assure mes trois chiennes depuis plusieurs années et n'ai pas vraiment eu besoin de l'assurance jusqu'ici. Une de mes chiennes est décédée brutalement cette semaine, suite à une collision avec une autre de mes chiennes, elle boitait et le véto a engagé des radios et ponctions car cela ne passait pas. Je n'ai pas été remboursée, la personne au téléphone a été très désagréable, mettant même en doute ma bonne foi.. Bref, aucune empathie, aucune bienveillance.. Assurance juste présente pour prendre l'argent.. J'ai mis un avis sur leur site, qui biensur n'est pas en ligne (d'où celui ci), une personne m'a laissé un message me demandant de rappeler, ce que je fais depuis, sans succès !</t>
  </si>
  <si>
    <t>12/12/2020</t>
  </si>
  <si>
    <t>michael-101922</t>
  </si>
  <si>
    <t>Idem,
Je souscris pour 2 prêt immo sur les 4 que j'ai.
A l'époque il fallait attendre la date anniversaire du contrat précédent pour pouvoir le résilier.
Ils étaient informés MAIS:
1- ils ont commencé à me prélever alors que les autres contrats d'assurances prêts immo m'engageaient pour encore quelques mois
2- ils n'ont rien résilié alors que cela aurait dû être fait par eux.
Du coup je paye auprès de deux assureurs pour ces prêts immo depuis 3 ans.
J'avoue qu'à un moment j'ai baissé les bras en ayant marre des relances et ayant eu d'autres pb plus importants à gérer.
Là je viens de procéder à de nouveaux changement sur mes prêts, je vais résilier moi même ces contrats.</t>
  </si>
  <si>
    <t>Magnolia</t>
  </si>
  <si>
    <t>28/12/2020</t>
  </si>
  <si>
    <t>georges54-77420</t>
  </si>
  <si>
    <t>Bonjour,
Vieux militant maif je suis scandalisé par la réponse qui a été faite à mon fils societaire filia maif à propos d'un accident qu'il a eu avec son véhicule. Sans aucun dialogue, il a reçu une réponse brutale du service contentieux précisant que sa déclaration n'était pas "conforme à la réalité" (quelle réalité?) et qu'il ne serait pas indemnisé des dommages. Il est en quelque sorte accusé de fraude sans qu'l puisse savoir de quoi il s'agit. on ne lui accorde aucun recours. inscrit depuis 20 ans il n'a jamais posé de probleme. Ayant vécu l'accident il n'en restera pas là. manque de dialogue, vision tranchée sans ouverture,dossier expédié,estce bien une réponse d'un assureur militant? Vieux sociétare depuis 50 ans j'ai conseillé à mes enfants de participer à ce militantisme en leur suggérant de prendre filia maif  ce qu'ils ont fait. J'espere que l'avenir me donnera raison.</t>
  </si>
  <si>
    <t>08/07/2019</t>
  </si>
  <si>
    <t>max-joel-h-133241</t>
  </si>
  <si>
    <t>Bonjour,
Je viens d'acheter ma voiture et j'ai choisi direct assurance comme assurance.
J'espère que je serai satisfait de vos services.
Merci</t>
  </si>
  <si>
    <t>guillaume-g-105200</t>
  </si>
  <si>
    <t xml:space="preserve">Rapidité de réponse en cas de besoin, service client top, à l'écoute de ses clients, site web rapide et on peut tout gérer dessus, l'application fonctionne bien également </t>
  </si>
  <si>
    <t>thierry-r-134302</t>
  </si>
  <si>
    <t>Je suis satisfait pour le moment, bon contact au téléphone, personnes polie,  correct et efficace, les prix sont bons, reste à voir dans le temps se que ça donnera</t>
  </si>
  <si>
    <t>coco-38-79452</t>
  </si>
  <si>
    <t xml:space="preserve">j'ai eut l occasion de contacter santiane sur divers sujets pour ma part j'ai été satisfaite des démarches effectuer avec comme interlocuteur GWENDAL. </t>
  </si>
  <si>
    <t>25/09/2019</t>
  </si>
  <si>
    <t>abdou-99819</t>
  </si>
  <si>
    <t xml:space="preserve">Depuis au moins 20 ans à la MAIF (agence Metz 57),aujourd’hui 07/11/20,je reçois un recommandé dans lequel la MAIF assureur militant m’informe de la résiliation de mes contrats (4 véhicules) pour une raison imaginaire ,diffamatoire et abusive « altération de notre relation commerciale « .
Le 21/09/20,mon épouse a demandé par téléphone d’assurer un nouveau véhicule C3 à la place de son  Clio qui demande des petites réparations et le passage au CT...ou de l’assurer en plus 
La personne de l’agence a refusé les 2 propositions ...donc elle est allée l’assurer à la MACIF.
Le 29/09/20 et le 13/10/20,j’ai envoyé des emails à l’agence de Metz pour demander des explications suite à ce refus.
Je me pose et pose la question concernant la réponse de la MAIF?
</t>
  </si>
  <si>
    <t>07/11/2020</t>
  </si>
  <si>
    <t>lisou-75091</t>
  </si>
  <si>
    <t xml:space="preserve">Mon véhicule a été endommagé suite à un délit de fuite. La MACIF refuse de payer la peinture d'une portière abimée, prétextant des rayures antérieures. </t>
  </si>
  <si>
    <t>15/04/2019</t>
  </si>
  <si>
    <t>alex-63653</t>
  </si>
  <si>
    <t xml:space="preserve">Nul, minable. J'ai eu une effraction de garage en septembre 2017. Direct assurance traîne en longueur toutes ses communications pour ne pas prendre en charge les réparations. Aujourd'hui (avril 2018) la porte n'est toujours pas réparée.
</t>
  </si>
  <si>
    <t>29/04/2018</t>
  </si>
  <si>
    <t>myriam-a-129627</t>
  </si>
  <si>
    <t xml:space="preserve">JE suis satisfaite du prix et de la rapidité de souscription avec la loi hamon en plus 
site facile à utiliser, je recommande .
garanties sont bien expliquées </t>
  </si>
  <si>
    <t>26/08/2021</t>
  </si>
  <si>
    <t>arno-64692</t>
  </si>
  <si>
    <t xml:space="preserve">assurance décevante client depuis 1987 pour toutes mes voitures pour un remplacement le devis par rapport à la concurrence était de 36 € plus chers ne peuvent rien faire !!!! </t>
  </si>
  <si>
    <t>12/06/2018</t>
  </si>
  <si>
    <t>mii-80000</t>
  </si>
  <si>
    <t>une honte, promettent des remnboursements mais une fois devant le fait accomplie ne payent pas. de très mauvaise foi, aucune capacité d'écoute ni d'honneteté. Ne répondent pas aux courriers</t>
  </si>
  <si>
    <t>14/10/2019</t>
  </si>
  <si>
    <t>blabla-56566</t>
  </si>
  <si>
    <t xml:space="preserve">
Sinistre no 2016 591820
Contrat automobile 1080 127 860
Ref client 012 117 9993
Objet : projet d’assignation de l’assurance l’olivier pour refus de paiement de sommes dues et résistances abusives.
Le 24 septembre 2016 au volant de mon Opel Meriva j’ai eu un accident de circulation dans lequel Madame Picut passagère a été blessée ainsi que moi-même.
D’autre part ma voiture jugée selon l’expert irrécupérable a été envoyée à la casse, je l’ai appris par un courrier de la préfecture suite à un envoi de l’expert mais mon assureur n’a pas jugé utile de m’informer de quoi que ce soit…
J’ai fourni en temps et heure tous les documents demandés.
j’ai été reconnu non responsable de l’accident comment témoigne le relevé d’information ci-joint bien que ce dernier comporte une erreur de date concernant l’accident situé selon eux en juillet et non septembre ; mais ils ne sont pas est une erreur près,…
J’ai effectivement eu de nombreux contacts et de nombreux mails d’échange avec l’olivier, mais à ce jour mon préjudice n’est absolument pas pris en compte.
J’ai reçu en tout et pour tout suite à mes pressions la somme de 7250 € le 9 décembre 2016 concernant une partie de l’indemnisation de mon Opel Meriva.
Il m’avait été répondu que je recevrai dans les 10 jours la somme complémentaire de 1000 € correspondant à la valeur de l’épave prise en charge par la casse,  somme reçue en janvier 2017…
Cependant mon préjudice reste énorme, ma voiture achetée quelques mois avant pour 14000€…
Force est de constater le manque de sérieux et de suivi de la compagnie d’assurances comme en attestent les différents mails que je vous joins.
Depuis le 24 septembre 2016 à part la somme de 7250 € et les 1000€ évoqués ci-dessus je n’ai rien perçu.
j’ai pourtant alerté dès le 16 décembre2016 la compagnie la menaçant de poursuivre en justice
je me vois donc contraint d’agir maintenant en référé
Je n’ai reçu aucun document de leur part depuis l’accident.
Je n’ai reçu aucun décompte ni aucune explication écrite malgré mes demandes réitérées.
Depuis le 24 septembre 2016 je n’ai plus de véhicule, j’ai dû faire appel à mes parents afin qu’ils me prêtent à véhicule pour me dépanner, ne serait-ce que pour honorer mes rendez-vous médicaux et de travail.
Vous trouverez en annexe d’une part les conditions particulières du contrat qui assurait mon Opel Meriva
D’autre part les conditions particulières de l’assurance du Nissan note que j’ai dû résilier compte-tenu de mon mécontentement et du manque de réactivité et de sérieux de l’olivier.
Vous trouverez les documents correspondants en pièces jointes.
J’ai fourni en temps et heure les factures correspondant  à mes demandes d’indemnisation suite au sinistre en date du 11 novembre 2016.
Pourtant je n’ai toujours rien perçu, j’ai seulement des mails disant que leur service sinistre était  débordé, qu’il conviendrait d’attendre un petit peu…
Suite à mon insistance au téléphone la compagnie l’olivier m’a expliqué
que ses collaborateurs avaient oublié de m’envoyer les documents,
mais que concernant mon téléphone, mes lunettes, ma montre mon costume je n’aurais aucune indemnité car selon eux mon contrat ne prévoirait pas de remboursement…or ce ne sont évidement pas des objets transportés comme semblait l’évoquer la personne de l’OLIVIER au téléphone…
or j’ai fait valoir qu’il s’agit de mettre en cause la responsabilité civile de mon adversaire, mais j’attends toujours la réponse…
je rappelle que mon adversaire est reconnu responsable à 100 %
logiquement l’olivier aurait dû me rembourser et se retourner contre l’assurance de mon adversaire.
Devant l’inertie de la société olivier je me vois contraint de demander réparation par voie judiciaire , je réclame donc :
1-la somme de 2000€ pour moi , ainsi que la somme de 2000€ pour madame PICUT , conformément au jugement du 12 avril 2017. 
Je précise que nous avons du avancer chacun 700€ immédiatement pour payer l’expert, conformément au jugement ci-dessus évoqué…
2-les décomptes et explications concernant les indemnisations auxquelles j’ai droit.
3-un dédommagement au titre de la privation de véhicules depuis le 24 septembre 2016 .
4-le remboursement de la somme de 577,77 euros suite à mon renoncement de l’assurance du Nissan note, renoncement accepté selon document ci-joint.
5-une indemnité au titre du pretium doloris suite à l’accident à déterminer.
6-le remboursement de mon téléphone portable hors d’usage que je tiens à votre disposition dont vous trouverez une photo pour un montant de 649 € il s’agit d’un Samsung S6 Edge acheté il y a moins d’un an.
7-le remboursement de mes lunettes selon facture ci-jointe déjà envoyée d’un montant de 973 €
8-le remboursement de ma montre connectée Gear 2 cadeau offerts par mes parents d’un montant de 198 €
9-le remboursement d’un costume déchiré lors de l’accident pour une somme de 695 € dont je fournis l’étiquette que j’ai retrouvée.
D’autre part ma passagére, madame PICUT que vous avez eu en ligne a reçu 300€ à titre provisoire…je rappelle qu’elle a été blessée (fracture des cotes et du sternum..) et qu’elle a du avancer, outre les frais d’avocat la somme de 700 euros pour l’expertise.
Elle m’a indiqué avoir répondu à votre demande concernant les dégats matériels dont elle a éte victime, et avoir fourni les justificatifs …les avez-vous perdus ?
Allez vous la contraindre à déposer plainte contre moi pour rentrer dans ses droits ?
Bien évidemment je reste à votre écoute et espère cette fois une réponse complète et rapide.
Sans réponse positive de votre part sous 48h, je saisirai 50 millions de consommateurs, le TGI de grenoble, et je publierai ce document  sur opinion assurances…il viendra rejoindre les publications des nombreux clients mécontents et abusés par l’olivier.
Je précise que j’ai eu l’OLIVIER en ligne hier après 50 min d’attente, et que cela a été impossible ce jour.
Alain GROSS tel 06 10 80 78 96
alaingross@laposte.net
</t>
  </si>
  <si>
    <t>11/08/2017</t>
  </si>
  <si>
    <t>bouyantouch76-106576</t>
  </si>
  <si>
    <t xml:space="preserve">Vous avez résilié mon contrat assurance de mon véhicule sans raisons, je paie toujours dans les temps, prudent au volant ..,  Et eh plus sans me prévenir au moins par téléphone pour la résiliation et ces causes, a cause de vous je peux plus assurer mon véhicule chez les autres assureurs, je suis contre ce que vous avais faites, un avocat et en cours pour sa, 
Bouyantouch Ayoub </t>
  </si>
  <si>
    <t>jp-104384</t>
  </si>
  <si>
    <t>personnel serieux et professionnel
contacté pour un nouveau véhicule le prix est tres élevé.
demande de proposition en assurance vie pour mon épouse rdv tel le 2mars .
la compagnie n'est pas assez moderne pas de contrat auto au kms.</t>
  </si>
  <si>
    <t>f-139080</t>
  </si>
  <si>
    <t xml:space="preserve">Assureur, très décevant .Aucune réactivité en cas de sinistre et cherche tout les moyens pour ne pas payer .Je quitte cette assurance . Refus de prise en charge dégâts des eaux conséquences d’un orage inédit avec photos à l’appui . </t>
  </si>
  <si>
    <t>11/11/2021</t>
  </si>
  <si>
    <t>laurentv-50213</t>
  </si>
  <si>
    <t xml:space="preserve"> satisfait de la MACIF en matière d'assurance et de la réactivité en cas de problèmes</t>
  </si>
  <si>
    <t>13/12/2016</t>
  </si>
  <si>
    <t>lolo-67430</t>
  </si>
  <si>
    <t>Suite à un accrochage en 2016 et un accident non responsable en 2018 qui a détruit mon véhicule (ils vont donc tt ce faire rembourser par l autre assurance), la MAAF m'informe qu'elle ne peut pas assurer ma nouvelle voiture du à une fréquence d'accident trop importante. 20 ans de MAAF  et je me retrouve jetée comme une vieille chaussette!!!!! Comportement dégradant et  inhumain alors que je dois me remettre d'un accident grave!!!!</t>
  </si>
  <si>
    <t>08/10/2018</t>
  </si>
  <si>
    <t>jeanpaul-e-128539</t>
  </si>
  <si>
    <t>je suis satisfais du prix et service mais je ne comprend pas pourquoi j'ai regler 40,19 alors qu'il n'y a pas de frais de dossier a payer merci de me dire pourquoi ?</t>
  </si>
  <si>
    <t>faustb-74588</t>
  </si>
  <si>
    <t>Equipe à l'écoute, disponible et efficace! Je recommande vivement!</t>
  </si>
  <si>
    <t>29/03/2019</t>
  </si>
  <si>
    <t>felabdio-69143</t>
  </si>
  <si>
    <t>Pratiques abusives.
Prise en compte des sinistres non responsables pour augmenter le montant des mensualités. Lorsque j'ai dit au conseillé que je n'avais jamais vu ce type de pratique dans d'autres assurances la réponse a été la suivante :
" C'est bien connu dans les assurances on paye toujours pour les autres ... ". 
Mes mensualités sont passées de 88 euros à 132 euros par mois en souscrivant chez l'olivier assurance,pour les mêmes garanties et une franchise plus élevée... 
Ne tombez surtout pas dans le piège des offres alléchantes des comparateurs qui ne reflètent en rien de prix final pratiqué par l'olivier assurance.</t>
  </si>
  <si>
    <t>04/12/2018</t>
  </si>
  <si>
    <t>williamsclau-78520</t>
  </si>
  <si>
    <t xml:space="preserve">Le seul truc a dire concernant l'ancien assureur c'est que li faut assuré un bon support concernant le service client et si il peut diminuer le prix, en reste il n'y a pas grand chose à dire. </t>
  </si>
  <si>
    <t>dardanne-j-131405</t>
  </si>
  <si>
    <t xml:space="preserve">Je suis satisfait du service proposer, c'est plutôt facile, simple, rapide et très efficace.
Je recommande vivement ce système d'assurance qui permet mettre en concurrence facilement. </t>
  </si>
  <si>
    <t>05/09/2021</t>
  </si>
  <si>
    <t>daniel87-108776</t>
  </si>
  <si>
    <t>Bonjour, je suis en arrêt maladie ALD depuis sept 2019. Jusqu'au mois d'octobre 2020, mes indemnités INTERIMAIRE PREVOYANCE étaient versées régulièrement malgré quelques déboires au début, mais depuis, et malgré de nombreuses relances téléphoniques  avec des intervenants plus ou moins corrects (le dernier en date m'a répondu que vu le nombre de dossiers en attente + de 3000 je serai payé un jour.... ) - j'ai envoyé mes documents dans les délais - je pense que ce sera le jour ou les poules auront des dents comme diraient nos anciens.... mais comment fait-on pour vivre pendant ce temps.
et si le service client AG2R prend le temps de répondre à chaque msg, c'est le même pour tout le monde et j'ai envoyé  une demande a cette adresse et à ce jour.  RIEN, pas de contact - pas d accusé de réception. Faut-il passer par un avocat pour faire avancer les choses et obtenir son dû ?.</t>
  </si>
  <si>
    <t>abdel-92201</t>
  </si>
  <si>
    <t xml:space="preserve">Je t’es satisfait du service professionnel et pratique merci cordialement je conseille vivement votre assurance  à très bientôt je suis dan l’attente de votre devis </t>
  </si>
  <si>
    <t>25/06/2020</t>
  </si>
  <si>
    <t>michemi-61005</t>
  </si>
  <si>
    <t>Mon mari est décédé, et il avait souscrit une assurance prévoyance essen'ciel.    Seulement il est décédé avant les "1 an" pour la validation du contrat.
Conformément aux conditions du contrat, je devais retoucher le montant des cotisations versées.
J'ai reçu un virement sur ma banque (qui correspond à un peu plus de la moitié du montant qui m'était du) mais je n'ai aucune explication ni courrier ni email, je ne sais absolument pas à quoi correspond cette somme.
Personne chez Axa ne comprend,mon agent me dit qu'il ne comprend et fait des démarches qui restent sans suite.
Bien évidemment je ne souhaite pas laisser cette situation en l'état.  Je crains bien de m'être fait avoir.</t>
  </si>
  <si>
    <t>02/02/2018</t>
  </si>
  <si>
    <t>karaca-y-116787</t>
  </si>
  <si>
    <t>Je suis contente. Simple et pratique. Merci pour votre aide. Je suis satisfaite de l'application. Le service client est courtois et compréhensif. Merci</t>
  </si>
  <si>
    <t>11/06/2021</t>
  </si>
  <si>
    <t>leni-97436</t>
  </si>
  <si>
    <t>prix attractif la première année mais après c'est du n'importe quoi sans aucun accidents ils vous augmente maigres vos bonus les tarifs même l'année du confinement quand toute les autres assurances baisse ! vous refaite un devis en ligne avec vos informations et vous vous apercevez qu'ils vous propose un tarif 200 euros moins cher ! bref ils prennent leur assuré pour des pigeons ! je part à la concurrence.</t>
  </si>
  <si>
    <t>15/09/2020</t>
  </si>
  <si>
    <t>senegas-t-117486</t>
  </si>
  <si>
    <t xml:space="preserve">Bien, je recommanderai l'olivier à mes proches. Je suis content des tarifs pratiqués. Bien, je recommanderai l'olivier à mes proches. Je suis content des tarifs pratiqués. </t>
  </si>
  <si>
    <t>miou-108123</t>
  </si>
  <si>
    <t>A fuir me font des prélèvements malgré ma résiliation dans les 14 jours et mes lettres recommandées  ce n'est  pas sérieux. Ils font durer le harcellement</t>
  </si>
  <si>
    <t>magali-d-117749</t>
  </si>
  <si>
    <t xml:space="preserve">je suis satisfaite du service. Rapidité de rappel suite à demande sur application.   Très Bon accueil téléphonique et bonne connaissance du produit.
bravo 
</t>
  </si>
  <si>
    <t>21/06/2021</t>
  </si>
  <si>
    <t>jc-95586</t>
  </si>
  <si>
    <t>pas de relationnel ,pas de privileges  pour clients fideles .</t>
  </si>
  <si>
    <t>29/07/2020</t>
  </si>
  <si>
    <t>scoubidou-57545</t>
  </si>
  <si>
    <t>En attente depuis 2016 pour un complément au titre Prestation complèmentaire  suite a un arret  maladie pour la pèriode du 07.07.2016 au 31.07.2016 . Ma convention collective annonce 1 ans d'ancienneté pour un complèment de 2 mois . Et l'AGR2 annonce 2 ans d'anciennetés !!! Comment peuvent ils ne pas respecter la convention collective et faire comment bon leur semble ? Plusieurs relances auprès de mon entreprise de l'èpoque ' BIOM...'mais ils sont tout aussi incompètent pour règler ce problème ! Un dossier ai en cour avec l'inspection du travail .</t>
  </si>
  <si>
    <t>23/09/2017</t>
  </si>
  <si>
    <t>gerard-f-123525</t>
  </si>
  <si>
    <t xml:space="preserve">je n'ai aucun sinistre en habitation depuis toujours , j'aurais espéré un ajustement pourquoi pas un système bonus / malus comme pour les véhicules ? </t>
  </si>
  <si>
    <t>15/07/2021</t>
  </si>
  <si>
    <t>miko-52139</t>
  </si>
  <si>
    <t>Je suis extrèmement déçue de la manière dont mon contrat va se terminer (incessament sous peu !) 
J'ai eu un accident responsable le mois dernier, ce jour-là les conseillers ont été réactifs et à l'écoute, j'étais agréablement surprise !
Par la suite on m'apprend que mon véhicule ne sera pas réparable car sa valeur inférieure au cout des réparations. On me presse pour aller céder la carte grise. 
Plus de nouvelles. 
J'appelle enfin pour savoir où en est le paiement du sinistre et j'apprends alors que mon dossier était simplement laissé dans un coin et le chèque même pas préparé !!!! De plus, on me prend de haut au téléphone. 
J'avais effectué des devis chez eux pour crédit auto et assurance auto, extrèmement déçue également des tarifs et de l'absence de prise en compte de mon passé de cliente chez eux. Sachant que mon père est un collaborateur et que toute ma famille est assurée là bas. 
La maaf c'est terminé pour moi, et avec un goût très amer.</t>
  </si>
  <si>
    <t>07/02/2017</t>
  </si>
  <si>
    <t>aarhap-68997</t>
  </si>
  <si>
    <t xml:space="preserve">Une assurance qu'on ne peut que recommander ...
</t>
  </si>
  <si>
    <t>28/11/2018</t>
  </si>
  <si>
    <t>roder-70287</t>
  </si>
  <si>
    <t xml:space="preserve">Madame, Monsieur, 
Ce jour j'ai été déranger par une TLA ? 15h sur mon 061319****qui me dis clairement quand je lui dis que j'ai déjà souscris que je suis tombée dans le panneau d un concurrent marocain je remet donc madame à  sa place en lui disant que j'ai fait mon comparatif,elle me raccroche au nez je rappelle elle refuse de me donner son nom et me dit que je n'ai qu'a  faire appel au bon dieu. 
Premièrement nous sommes en 2019 et je pense que le racisme est intolérable ! De plus Sachant que madame a l'air d'avoir un petit accent ;) 
Deuxiémement raccrocher au nez d'un client est inadmissible sachant que je ne l'ai pas insulté et je n'ai absolument pas été irrespectueuse! 
Troisièmement  concernant le bon dieu j'ai enterré mon fiancé il y a à peine une année ! 
Et pour finir je n'ai pas encore pris la mutuelle pour mon chat donc vous n'avez pas perdu une seule cliente potentielle mais toutes les personnes que je vais croiser qui recherche une mutuelle animal sachant que je suis pas mal dans le milieu ! 
Son comportement est inadmissible et j'espère qu'elle sera santionnée afin qu'elle apprenne le professionnalisme ! 
En vous souhaitant une très bonne réception 
Mlle Roder 
</t>
  </si>
  <si>
    <t>16/01/2019</t>
  </si>
  <si>
    <t>tavar-117794</t>
  </si>
  <si>
    <t>bonjour 
je n'ai rien à repprocher mon assureur sauf que je constate une grande différence de prix avec un devis que j'ai effectué sur Assurland  avec un concurrent c'est uniquement pour cette raison c'est dans la normalité des choses de chercher le moin cher surtout une différence du double !</t>
  </si>
  <si>
    <t>22/06/2021</t>
  </si>
  <si>
    <t>jld-98237</t>
  </si>
  <si>
    <t>Dégouté!!!!  Assuré depuis 30 ans. Un seul sinistre responsable en mon nom. Avant mon divorce, tous les véhicules + maison chez eux.
Assuré pour un véhicule de collection tous dommages avec une cotisation supérieure à 1300 €. Victime d' un accident de parking depuis plus d' un an, l' expertise a été réalisée par un expert stagiaire en formation n'ayant pas la connaissance du véhicule, qui a contesté la déclaration. Un an de relance, expertise contradictoire a mes frais qui confirme l' accident de parking. Mais rien ne bouge. Je n' obtiens aucune réponse et je continue de payer ma cotisation plus les frais de stockage du véhicule immobilisé depuis un an.
Je suis scandalisé par l' attitude de cet assureur qui laisse trainer afin de me décourager.</t>
  </si>
  <si>
    <t>benattabou-s-135609</t>
  </si>
  <si>
    <t>Je suis satisfait de lassurance chez qui jetais assurer dernierement, le prix est convable, les pack proposer sont bien aussi 
le plus important le prix qui est satisfaisant</t>
  </si>
  <si>
    <t>02/10/2021</t>
  </si>
  <si>
    <t>magali-88002</t>
  </si>
  <si>
    <t>Je suis tombé en panne le 26/01 en partant en vacances à 9h du matin sur l'autoroute ! Après 45 min d'attente on est pris en charge par le dépanneur qui nous conduit a son dépôt ! Après appel à l'assistante nous devions être pris en charge par celle-ci 30 min après mais rien !!! nous rappelons au total 3 fois l'assistance pour qu'enfin ils nous envois un taxi !! Au total nous avons du attendre 7h au dépôt avec ma famille (3 enfants âgées de 3 à 10 ans) et dehors sans rien à manger pour eux !! Nous avons trouvé nous même une voiture de location !! Nous avons demandé un remboursement des frais de location mais ceux-ci ont était refusé !! Nous avions 4 contrats chez eux !! Une honte pour une assurance de ne pas assumer leur faute !! Ni le fait d'avoir laisser une famille sans rien a manger pendant 7h !! A FUIR ABSOLUMENT</t>
  </si>
  <si>
    <t>05/03/2020</t>
  </si>
  <si>
    <t>djeebee-99278</t>
  </si>
  <si>
    <t>Mutuelle très réactive, le service client est efficace.
L'application pour envoyer les justificatifs est très pratique (parfois quelques bug lors d'envois répétés mais globalement OK)</t>
  </si>
  <si>
    <t>valou40-101658</t>
  </si>
  <si>
    <t xml:space="preserve">L olivier assurance, l assurance qui  vous fait un avenant de contrat, sans votre accord, juste après un renseignement de prix, et quand vous les contacter pour savoir pourquoi ils se sont permis cela, on vous prends pour des ânes.car pas de vrai réponse et on vs explique que c est a vs de refuser l'avenant,  alors que vs en avez jamais demander un....et ça se permet de vouloir prélever l assurance avec avenant, alors que pas de contrat signé et encore moins demandé. Je pense que certains derrière leur téléphone voulait leur prime ..??
</t>
  </si>
  <si>
    <t>19/12/2020</t>
  </si>
  <si>
    <t>vittorio80--98718</t>
  </si>
  <si>
    <t xml:space="preserve">Tres satisfait des offres, de la disponibilité du personnel, de la gentillesse et rapidité. 
L'attente pour parler à un opérateur est très satisfaisante </t>
  </si>
  <si>
    <t>13/10/2020</t>
  </si>
  <si>
    <t>sophie-99113</t>
  </si>
  <si>
    <t xml:space="preserve">A fuire! 
Incapable de gérer l'arrêt d'un contrat malgré plusieurs appel et courrier! Préfère ne pas s'occuper du dossier et faire recours à des société de recouvrement! </t>
  </si>
  <si>
    <t>23/10/2020</t>
  </si>
  <si>
    <t>prince-exauce-t-108882</t>
  </si>
  <si>
    <t xml:space="preserve">Je suis satisfait du prix de ce service  et je compte vraiment y aller jusqu'au bout. Les prix sont acceptables jusqu'ici et je recommande aux amis ce service </t>
  </si>
  <si>
    <t>jacki-89783</t>
  </si>
  <si>
    <t>Très satisfait de cette mutuelle depuis 2 ans. Elle est reconnu partout, les remboursements sont bien plus rapide que sur mon ancienne mutuelle et le prix est rester très bon car il n'y a pas de fortes augmentations annuel. En plus mon courtier reste très joignable que se soit au téléphone par mail ou par sms, il est toujours présent quand j'ai la moindre question. je recommande vraiment et je ne comprends pas du tout les mauvais avis que je vois sur ce site.</t>
  </si>
  <si>
    <t>20/05/2020</t>
  </si>
  <si>
    <t>familiare-y-121584</t>
  </si>
  <si>
    <t>Contrat et sepa pas très lisible avant signature, sinon je suis pour l instant satisfait du premier contact téléphonique et du tarif et garanties proposés</t>
  </si>
  <si>
    <t>29/06/2021</t>
  </si>
  <si>
    <t>jon-athan--96348</t>
  </si>
  <si>
    <t xml:space="preserve">Assure gmf Auto , 1 er jour de Vacances Panne sur autoroute de mon véhicule , je fais donc appelle à mon assistance GMF pourtant en contrat tout risque sur un véhicule très haut de gamme .
 Le Service a été pitoyable , laisse les clients en plein milieu de nulle part se demerder par leur propre moyen quand ils n’ont pas de solution . Une honte , fuyez cette assurance. </t>
  </si>
  <si>
    <t>16/08/2020</t>
  </si>
  <si>
    <t>johnmag-96520</t>
  </si>
  <si>
    <t xml:space="preserve">AXA Fleury Carentan have a preferred garage in Carentan, Garage Bourdet. By using that garage, all payments are made directly by AXA. 
My car, not 2 years old, was expensively damaged during very high winds in  December 2019. 
The incompetence of the repairers was such that it took until July 2020 for the car to be correctly repaired to original specifications.  I was not supported by AXA Fleury in my serious complaints about the original repair work done, a named manager and the repairs to the original repairs, redone again and again.
I am looking for another auto insurer and would not make a recommendation of the Garage Bourdet nor AXA Fleury for any extensive auto repair and the representation of the client in any complaint. </t>
  </si>
  <si>
    <t>20/08/2020</t>
  </si>
  <si>
    <t>nathalie-133294</t>
  </si>
  <si>
    <t>Mon père versait depuis 25 ans de l'assurance vie chez AFER et était un client de la rue de Chateaudun où il avait choisit sa domiciliation. Or depuis mi 20" OU 14, MON PÈRE A ÉTÉ DOMICILIÉ PAR L'AFER SANS SON CONSENTEMENT EN BRETAGNE À LA BNP?????? et sans qu'il n'en n'ait été avisé autrement que par le changement de l'adresse des courriers. Mon père est décédé le 10 Aout et je me suis donc rapprochée du conseiller AFER où mon père avait ouvert une assurance vie à mon compte, prés de son domicile à Paris 16 qui me dit que les remarques ou éventuels problèmes de mon dossier (il n'y en a pas car c'est tout simple et j'ai transmis tous les actes) nous serons demandés par la Bretagne (BNP). Qu'est ce que c'est que cette histoire, mon père n'a jamais consentit à cela et j'ai l'historique de tous les courriers et copie des chèques de versement. Mon père avait organisé une succession simple, pourquoi tout devient compliqué en dehors de tout consentement. Ma belle mère sa deuxième femme est dans le même cas que moi et à elle au départ une assurance vie rue de chateaudun et son assurance vie a été transfèrée à la BNP en Bretagne sans qu'elle en qi connaissance. Excusez moi mais qu'est ce que c'est que ce boxon? C'est inadmissible</t>
  </si>
  <si>
    <t>marion-65357</t>
  </si>
  <si>
    <t>Refus</t>
  </si>
  <si>
    <t>09/07/2018</t>
  </si>
  <si>
    <t>sullivan-t-108087</t>
  </si>
  <si>
    <t xml:space="preserve">nouveau dans la société je ne peux juger les compétences de l'assurance et ma satisfaction. Je me laisse un an pour pouvoir donner un 1er avis. en tout état de cause la conseillère à était très professionnelle et courtoise.  </t>
  </si>
  <si>
    <t>medo-49976</t>
  </si>
  <si>
    <t xml:space="preserve">Injoignable sauf pour souscrire augmente sans aucune raison (pour le même véhicule la simulation internet sur leur cite est 25% moins cher)  la batterie de mon tel se décharge avant que le charge de clientèle ne réponde donc au revoir et à jamais à fuir   </t>
  </si>
  <si>
    <t>06/12/2016</t>
  </si>
  <si>
    <t>ilham-o-129399</t>
  </si>
  <si>
    <t>je suis satisfait du service
JE TROUVE LES PRIX INTERESSANT 
dommage qu'il n'existe pas d'autres dates de prélevement que le 3 de chaque mois
Cordialement</t>
  </si>
  <si>
    <t>alone5628-75492</t>
  </si>
  <si>
    <t>Fuite d'eau non pris en charge par l'assurance , aucun expert ne passe j'ai du payer la facture je déconseille à tous de partir de chez eux.j'ai fait un crédit pour payer le plombier une honte.</t>
  </si>
  <si>
    <t>30/04/2019</t>
  </si>
  <si>
    <t>bruno-t-116530</t>
  </si>
  <si>
    <t xml:space="preserve">Je suis satisfait du serviceet les prix sont corrects le site est très facile pour s'inscrit 
Je vous conseille  tout simplement cette assurance 
J'espère que je ne serai pas déçu a long terme </t>
  </si>
  <si>
    <t>ronan--100417</t>
  </si>
  <si>
    <t xml:space="preserve">Assurance réactive, j’ai eu besoin d’une dépanneuse je l’ai eu dans la demie heure suite à mon appel, rien eu à avancer comme argent tout était pris en charge </t>
  </si>
  <si>
    <t>21/11/2020</t>
  </si>
  <si>
    <t>samiral-71411</t>
  </si>
  <si>
    <t>Sinistre en Juin 2018, l artisan est en attente du devis proposé il y a plus de 4 mois ! Appels sans jamais personne pour répondre et promesse de rappel non tenues.  Nous avons décidés de déposer plainte et les courrier ar vont suivre ainsi que la résiliation et la publicité qui va avec. Inadmissible de ne pas répondre de la journée au service sinistre, pour les souscriptions et collectes ya du monde mais en cas de soucis le service n'est pas rendu. A fuir avant qu'un sinistre se declare.</t>
  </si>
  <si>
    <t>18/02/2019</t>
  </si>
  <si>
    <t>01/02/2019</t>
  </si>
  <si>
    <t>gdh-67417</t>
  </si>
  <si>
    <t>augmentation des primes importante sans justificatif en fonction de la situation d'une année sur l'autre</t>
  </si>
  <si>
    <t>07/10/2018</t>
  </si>
  <si>
    <t>monsauret-a-112924</t>
  </si>
  <si>
    <t xml:space="preserve">Je doit payer l'assurance d'une voiture qui ne sers pas, cela a pourtant bien précisé lors du devis car il y a eu changement de véhicule, je suis visiblement assuré de la nouvelle voiture ainsi que de l'ancienne alors que j'avais pourtant précisé qu'elle ne roulerai plus !
</t>
  </si>
  <si>
    <t>katoun972--133679</t>
  </si>
  <si>
    <t>Conseillère très réactive, très agréable. Elle a su résoudre mes difficultés de connection et a pris le temps de m'aider afin que je puisse appréhender facilement l'application. Je recommande !!!</t>
  </si>
  <si>
    <t>isa-116616</t>
  </si>
  <si>
    <t xml:space="preserve">Merci widad
Accueil satisfaisant 
Les renseignements demandés ont bien été pris en compte 
Personne agréable au téléphone 
Pas d attente pour toutes les informations 
J espère être satisfaite car nouvelle mutuelle 
Je verrai au moment du remboursement 
Si il est conforme à ce que l on m a présenté lors de mon choix 
</t>
  </si>
  <si>
    <t>polo-103158</t>
  </si>
  <si>
    <t xml:space="preserve">Je possède  6 deux roues assurés à la mutuelle des motards, je ne peux pas piloter 2 motos en même temps, donc je pourrais espérer que mon assureur en tienne compte et ce n'est pas le cas, je roule en 2 roues depuis l'âge de 14 ans je n'ai jamais eu de sinistre et je paye 580 euros d'assurance par an (56 ans de conduite, je suis né en 1951 bientôt 70 ans) </t>
  </si>
  <si>
    <t>24/01/2021</t>
  </si>
  <si>
    <t>dominique-jorge-98598</t>
  </si>
  <si>
    <t>Les délais de remboursements sont de plus en plus long (+2 mois pour des prothèses auditives). Ils demandent des factures "acquittées" pour retarder les remboursements. Si j'ai la facture du praticien, c'est que je l'ai payée sinon je n'aurais pas la facture !
C'est intolérable.</t>
  </si>
  <si>
    <t>10/10/2020</t>
  </si>
  <si>
    <t>pierre-etienne-h-128384</t>
  </si>
  <si>
    <t>pratique de souscrire en ligne :)
Cependant, j'aurais aimé avoir une carte verte à imprimer plutôt qu'une attestation en attendant la version courrier.
Merci,</t>
  </si>
  <si>
    <t>pascal28-58453</t>
  </si>
  <si>
    <t>Démarchage téléphonique hier. Une personne s'est fait passé pour la sécurité sociale et à la fin de la conversation s'est présenté comme Neoliane. Le commercial m'a indiqué qu'avec la loi Macron, les frais d'hospitalisation ne sont plus pris en compte par la SS et la mutuelle. Ils avaient les informations me concernant, ils m'ont forcé à souscrire un contrat malgré mon refus. Cette personne était agressif et peu conciliante au dialogue. Du coup, il m'indique que je recevrais un contrat sous 15 jours et que les prélèvements commenceront le 1er novembre. Nul besoin de signature de ma part. Ma fille les a contactés pour obtenir plus d'explications. Le ton est monté. Ils ne veulent rien entendre. Comment se rétracter d'un contrat qu'on a jamais voulu sous 14 jours sans avoir ni contrat ni conditions particulières ? De plus, la loi encadre bien plus les contrats à distance et les démarchages téléphoniques avec un consommateur.</t>
  </si>
  <si>
    <t>29/10/2017</t>
  </si>
  <si>
    <t>iguercha-s-131392</t>
  </si>
  <si>
    <t xml:space="preserve">Je viens de souscrire à l’olivier suite à recommandation, pour le moment tout se passe bien l’offre correspondant à mes attentes à voir au court de l’année </t>
  </si>
  <si>
    <t>puente-cosmes-m-137912</t>
  </si>
  <si>
    <t>Le service est satisfaisants, par contre, les prix sont un peu élevés. La personne que j'ai eu au bout du fil était réactive et a su m'expliquer en détail.</t>
  </si>
  <si>
    <t>anja-d-107709</t>
  </si>
  <si>
    <t>Très satisfait de tout ce qui concerne mon assurance. 
Prix correct, 
Prise en charge en cas de problème rapide et efficace.
Si je me rachète une voiture je reviens surement chez vous.</t>
  </si>
  <si>
    <t>blechet-a-127962</t>
  </si>
  <si>
    <t>Je suis satisfait des prix et de l'assistance téléphonique. Néanmoins le site internet de l'Olivier assurance est instable :des erreurs récurrentes apparaissent et obligent à recharger la page.</t>
  </si>
  <si>
    <t>didier-l-113135</t>
  </si>
  <si>
    <t>Le service est efficace, l'ensemble des démarches est très rapides 
 tout est réalisé en quelques minutes
Le niveau de prix est compétitif.
Je suis donc satisfait</t>
  </si>
  <si>
    <t>cheron-e-121389</t>
  </si>
  <si>
    <t>Joignable par téléphone pour plus d'information et suivi des demandes.
L'ensemble est satisfaisant. 
Accès au site facile et intuitif.
Bien placé niveau tarif</t>
  </si>
  <si>
    <t>28/06/2021</t>
  </si>
  <si>
    <t>patrick--116956</t>
  </si>
  <si>
    <t xml:space="preserve">Satisfait de la patience de mon interlocuteur 
Dossier bien mené avec un très bon suivi et bienveillance 
Il fallait être persévérant pour me convaincre et il a su trouver les mots
Bravo </t>
  </si>
  <si>
    <t>babanini-f-128773</t>
  </si>
  <si>
    <t>Venant de l'etranger, je suis oblige d'etre considere comme un nouveau conducteur ce qui bien sure coute plus cher. Le service client telephonique ce matin etait tres bien. Merci</t>
  </si>
  <si>
    <t>20/08/2021</t>
  </si>
  <si>
    <t>sonia98-70803</t>
  </si>
  <si>
    <t xml:space="preserve">Ayant plusieurs contrats à la Macif, j'ai demander de revoir mes contrats à la baisse, ils m'ont répondu d'aller voir ailleurs  pas du tout sympathique , qu'ils ne feraient rien, super belle réponse, j'ai mes contrats depuis 1976, de voir comment ils répondent sans rien faire hallucinant, j'espère  que ses personnes réfléchissent un peu car des clients de 43 ans qui n'ont jamais eu d'accident ou dégât pour l'habitation et qu'on les reçois de cette façon, c'est une honte !!!!! 
Hallucinant, ils ne travaillent pas par mail "de nos jours ca fait rire".
</t>
  </si>
  <si>
    <t>31/01/2019</t>
  </si>
  <si>
    <t>laurent69-69791</t>
  </si>
  <si>
    <t>Assuré chez eux depuis 1986..... Je viens d'assurer une vieille voiture et comme je trouvais le prix très élevé, j'ai pris le temps de faire une comparaison..... ouah la douche froide, j'ai des prix moitiés voir 2/3 moins chers chez Eurofil By Aviva. 5 voitures, 2 motos + maison etc..... je vous laisse comprendre qu'en fin d'année l'écart de prix est tout juste énorme....
Et pourtant j'ai pris l'espèce de compte bancaire du 19eme siècle qu'ils proposent pour avoir moins 10%.... Je l'ai refilé à mon épouse, moi je suis habitué à N26 et MAX qui sont eux des comptes du 21eme siècle !!!!</t>
  </si>
  <si>
    <t>31/12/2018</t>
  </si>
  <si>
    <t>jean-marc-g-107755</t>
  </si>
  <si>
    <t>tout par internet est toujours complique malgres plusieurs contrats les prix augmentent du coup les concurrents sont parfois moins chers et on a un contact avec les assurances du coin il ne faudrait pas avoir des prix plus eleves puisque vous dites qu'il y a des differences allant jusqu' 200euros selon vos pub</t>
  </si>
  <si>
    <t>durandal2010-51559</t>
  </si>
  <si>
    <t>j'ai souscrit en ligne, avec en support un conseiller.Prélèvement de 400 € immédiat.Je reçois par la suite un contrat ainsi qu'une carte verte provisoire validité 30 jrs.Je renvois le contrat , et plus de nouvelles, malgré pls appels, sans suite avec une attente de plus de 30mn à chaque fois.Je suis actuellement en ligne ( et en attente depuis xxxx minutes) .En fait erreur d'interprétation à la souscription sur les termes , mon dossier est bloqué, sans que l'on ait cherché à communiquer avec moi.
Désolant et à suivre</t>
  </si>
  <si>
    <t>23/01/2017</t>
  </si>
  <si>
    <t>pascal-l-124157</t>
  </si>
  <si>
    <t>le prix me convient , mais lorsque on rajoute des options(prix de glace sans franchise/dépannage 0km/) qui était dans mon ancien contrat auto la Reduction n'est plus aussi importante au finale.</t>
  </si>
  <si>
    <t>dparis-76558</t>
  </si>
  <si>
    <t>J'ai une assurance vie chez CARDIF depuis 2006.
Depuis juillet 2018 je ne peux plus accéder à mon compte. Je ne sais plus où est passé mon épargne.
J'ai fait des arbitrages en janvier 2019, aucune nouvelle.
Impossible d'accéder à mon compte.
Que dois-je faire pour obtenir des réponses.</t>
  </si>
  <si>
    <t>07/06/2019</t>
  </si>
  <si>
    <t>rv972-102956</t>
  </si>
  <si>
    <t>Client AMV depuis de nombreuses années et n'ayant jamais rien eu a leur reprocher je considère qu'a la vue de leurs tarifs et garanties et des relations que nous avons pus échanger , ma satisfaction est totale et je recommanderai très volontiers leurs services .</t>
  </si>
  <si>
    <t>flo30-77791</t>
  </si>
  <si>
    <t>Honteux. Procédure et vice de procédure... Manque un logo sur le RIB, manque un courrier qui mentionne le souhait de retrait, manque le courrier officiel qui demande un changement de RIB...ils font tout pour retenir et ne pas réaliser les demandes de rachat partiel ! 3 mois après ma demande initiale, ils jouent sur tous les tuyaux pour ne pas m'envoyer mon argent !! Argent disponible !!</t>
  </si>
  <si>
    <t>20/07/2019</t>
  </si>
  <si>
    <t>est56-60551</t>
  </si>
  <si>
    <t>Mauvaise gestion des dossiers de portabilité. Mutuelle obligatoire employeur. Déçue ! Toujours obligé de les appeler pour des réponses pas fondées. Me voilà depuis 2 semaines sans droits comme ça, du jour au lendemain et dans l'attente de traitement de mon dossier ??</t>
  </si>
  <si>
    <t>16/01/2018</t>
  </si>
  <si>
    <t>eil-77104</t>
  </si>
  <si>
    <t>Je suis assuré tous risques. Alors que j'étais en stationnement je me suis aperçu le lendemain matin qu'un autre véhicule a rayé ma voiture. Direct assurance n'a rien pris en charge sous prétexte qu'il n'y a aucune preuve que ce soit pas moi qui ait causé ces rayures et m'a mis un malus alors qu'un autre véhicule dans le même cas au même endroit a été pris en charge par son assurance.</t>
  </si>
  <si>
    <t>25/06/2019</t>
  </si>
  <si>
    <t>isa-80988</t>
  </si>
  <si>
    <t>je suis adhérente de harmonie mutuelle depuis de nombreuse année suite a un changement d adresse harmonie ne ma jamais demander mon attestation sécu moi je pensais que cela se faisais automatiquement  .résultat un an et demi de cotisation sans etre affilier a la bonne caisse puisque le changement d adresse a j uste ete pris en compte pour m envoyer ma nouvelle carte mais encore une fois aucune demande d attestation .réponse de leur part le titulaire et responsable de sont contrat donc nous devons savoir que il faut une attestation meme si ont ne sais pas .</t>
  </si>
  <si>
    <t>14/11/2019</t>
  </si>
  <si>
    <t>w657-106365</t>
  </si>
  <si>
    <t>Je viens de recevoir mon avis d'échéance et là franchement j'ai bien du mal à  digérer une telle augmentation (17%). Je vais donc prospecter pour trouver un assureur moins gourmand.</t>
  </si>
  <si>
    <t>12/03/2021</t>
  </si>
  <si>
    <t>celine-104880</t>
  </si>
  <si>
    <t>Neoliane à évite pas de réponse quand vous envoyer des mails j attends un remboursement depuis un mois facture envoyée par mail et courrier toujours pas de repobse</t>
  </si>
  <si>
    <t>27/02/2021</t>
  </si>
  <si>
    <t>james-102774</t>
  </si>
  <si>
    <t>Bonjour, je me vois réclamer des remboursements suite à des indemnités perçus par La Mondiale du fait d'arrêts de travail et me vois obligé de régler mes cotisations mutuelle santé sans pouvoir bénéficier de remboursement de frais médicaux.
Si quelqu'un est dans une situation identique je suis preneur d'information pour me défendre.
Bien cdt
DB</t>
  </si>
  <si>
    <t>17/01/2021</t>
  </si>
  <si>
    <t>webm-66369</t>
  </si>
  <si>
    <t>Assurance en dessous de tout, quant à la qualité des "conseillers", qui ne comprennent rien aux demandes clients et "tirent à côté" de manière systématique (ou volontaire). Aucun suivi de dossier. Très fort pour vendre le produit, beaucoup moins pour faire leur métier : ASSURER.
DEans mon cas, une pseudo "conseillère" a décrété que lorsque je dis être passé au vert, j'aurais du m'arrêter parce que la signalisation au sol indique que je dois laisser le passage, ce qui, confirmé par une auto-école, est totalement faux : La signalisation n'est prise en compte que lorsque les feux sont éteints ou orange clignotants.Mais, du coup, avec cet avis si tranché, on me colle 100% de responsabilité, la où même la police considérait qu'il y avait 50/50. N'importe quoi !</t>
  </si>
  <si>
    <t>Euro-Assurance</t>
  </si>
  <si>
    <t>chauarre-67955</t>
  </si>
  <si>
    <t>La gestion de mon sinistre auto est désastreuse, ils accusent réception de mail mais font comme si ils ne l'avaient reçu, ne tiennent pas compte des remarques clients et ont des experts pathétiques, l'expert qui a fait l'expertise de mon véhicule m'a envoyé des annonces de véhicule sur lesquelles il s'est basé et elle ne correspondent en rien à mon véhicule, plus du double de kilométrage, pas du tout les mêmes gammes de véhicules et annonces de voitures franchement louches.
Je n'ai jamais vu cela avant c'est vraiment une assurance à éviter</t>
  </si>
  <si>
    <t>sophie-f-108038</t>
  </si>
  <si>
    <t>Je commence à peine avec direct assurance. Donc je ne sais pas encore. Mais il me semble correct. Les commerciaux sont très à l'écoute. J'attends pour me faire mon avis.</t>
  </si>
  <si>
    <t>arnaud-l-137218</t>
  </si>
  <si>
    <t>Je pense avoir fait un bon choix, l'avenir le dira. Le tarif de l'assurance est correct pour ma petite voiture de loisir. L'accueil téléphonique est agréable et réactif.</t>
  </si>
  <si>
    <t>didier-55794</t>
  </si>
  <si>
    <t>L'assurance emprunteur Cardif a été souscrite pour un prêt automobile. Suite à une incapacité de travail, la demande de prise en charge reste sans réponse après 5 mois de la part de Cardif auprès du courtier an assurance en charge du dossier. Lorsque je souhaite contacter directement Cardif ce dernier me renvoie vers le courtier qui reste sans réponse. 
Restant sans solution à l’heure actuelle j’espère que se message aura une suite. Je ne connais pas la durée légale de réponse à une demande de prise en charge dans ce cas. Toutefois, il me semble que Cardif est certifié ISO9001, je suis donc en tant que client droit de demander le manuel qualité dans lequel devrait être stipulé le processus de prise en charge de demande d’indemnisation si ce dernier ne peut m’être fournis je me ferai un plaisir de rédiger une réclamation auprès de l’afnor</t>
  </si>
  <si>
    <t>04/07/2017</t>
  </si>
  <si>
    <t>lameche-81321</t>
  </si>
  <si>
    <t>Le service est médiocre, les conseiller te raccroche au nez avec une impolitesse déconcertante!!! 
J attend un chèque de versement depuis le 9 avril 2019 suite à une erreur de leur part j'attend toujours après. Leur délais de traitement sont trop long plus de 1mois et demis pour traiter un courrier postale et les mail 70jours même la caf est plus rapide !! 
Très dessus une honte vue l'es cotisation que nos patrons paye pour ce service pitoyable !!!</t>
  </si>
  <si>
    <t>25/11/2019</t>
  </si>
  <si>
    <t>laurence-l-131202</t>
  </si>
  <si>
    <t>je suis satisfaite du service
je reçois toujours mes documents en temps et en heure
le prix me convient
les employés sont toujours cordiaux, aimables et disponibles</t>
  </si>
  <si>
    <t>04/09/2021</t>
  </si>
  <si>
    <t>annie-50026</t>
  </si>
  <si>
    <t xml:space="preserve"> Connexion impossible avec mon compte, encore mieux ,carrémment il n'existe pas, c'est pénible, je souhaite accéder à mes nouveaux devis,  car je souhaite changer de garanties! Et surtout une grosse incompétence au niveau des employés, J'ai téléphoné pour m'assurer  du remboursement d'un médicament non remboursé par la SS la personne m'affirme qu'il est inutile d'envoyer la facture c'est non! Je relis mon contrat et j'envoie  malgré tout la facture, le médicament m' a été remboursé,  je précise que mon contrat prévoit 70 euros de remboursements pour certaines médications   ! La personne qui répond, a bien notre contrat sous les yeux,  c'est malhonnète  c'est bien  dommage et ça donne à réfléchir, est ce  que je vais rester chez AG2R?</t>
  </si>
  <si>
    <t>14/09/2017</t>
  </si>
  <si>
    <t>storkriri-72105</t>
  </si>
  <si>
    <t xml:space="preserve">J'ai envoyé un courrier le 19 novembre 2018 par lettre suivie pour une demande de complément de congé maternité, nous sommes le 13 mars 2019, je n'ai toujours rien. Dès que j'appelle le service client, on me bassine avec des histoires, ect..  je trouve cela inadmissible qu'on maltraite les gens ainsi. sérieusement. Nous avons des droits et c'est tout à fait normal que nous les demandions, nous avons cotisé pour. </t>
  </si>
  <si>
    <t>13/03/2019</t>
  </si>
  <si>
    <t>emmap-133763</t>
  </si>
  <si>
    <t>Décevant.
Après une dizaine d'années de conduite sans accident, un chauffard me percute.
Il est en tort mais ment sur son constat. Une expertise peut le démontrer. Mais direct assurance a préféré diviser les torts en 2 et augmenter par la même mom malus. Une véritable injustice !</t>
  </si>
  <si>
    <t>laroche01-97212</t>
  </si>
  <si>
    <t>En terme de suivi ils ne sont pas compétent ! Le prix est même trop élevé par rapport au compétences de cette assurance.                               .</t>
  </si>
  <si>
    <t>09/09/2020</t>
  </si>
  <si>
    <t>mavril-74902</t>
  </si>
  <si>
    <t>depuis 2015, bon contact avec les personnels
par contre les demande de prise en charge pour hospitalisation sont très longues a parvenir aux hopitaux</t>
  </si>
  <si>
    <t>pseb50-56785</t>
  </si>
  <si>
    <t>GMF  est une bonne assurance complète et competitive</t>
  </si>
  <si>
    <t>21/08/2017</t>
  </si>
  <si>
    <t>fram-85414</t>
  </si>
  <si>
    <t>Accueil telephonique cata.on vous repond que si c'est pour obtenir un devis ou nouveau client; sinon allez vous brosser</t>
  </si>
  <si>
    <t>02/01/2020</t>
  </si>
  <si>
    <t>voile-86653</t>
  </si>
  <si>
    <t>J'ai passé mon permis à 17ans et demi grace à la conduite accompagnée. J'ai donc un certificat de 8 mois. Je viens d'avoir 18 ans et souhaite trouver une assurance pour la voiture que mon père va me céder. Je contacte active assurance, la moins chère sur les comparateurs, et on me dit que l'on ne peut pas m'assurer car mon document a plus de 2 mois. Comment pourrait il en etre autrement puisque j'ai le permis depuis 8 mois. Bref la conduite accompagnée n'est pas un plus pour eux. Ils m,ont dit de revenir avec le permis definitif, au bon vouloir de l'administration. Conclusion : Active assurance devrait s'améliorer en tenant compte des bienfaits de la conduite accompagnée. Vraiment déçu.</t>
  </si>
  <si>
    <t>03/02/2020</t>
  </si>
  <si>
    <t>eddy-b-138602</t>
  </si>
  <si>
    <t xml:space="preserve">Satis fait du service pour l'instant mais j'attends de voir le temps ,la réactivité de ce nouveau assureur.
Je suis déjà assuré chez pacifica pour un autre vehicule donc je ferai la comparaison.
</t>
  </si>
  <si>
    <t>30/10/2021</t>
  </si>
  <si>
    <t>bruno07-103121</t>
  </si>
  <si>
    <t xml:space="preserve">Beaucoup trop chère pour le minimum assuré et sans option ne rembourse rien
Je change de compagnie
Malgres 23 ans de cotisations 
En espère ne pas regretter mon chiix
</t>
  </si>
  <si>
    <t>beninard-100167</t>
  </si>
  <si>
    <t>Normalement, le prix est élevé, et il ne me semble pas raisonnable de payer autant pour cette assurance ?? Parce que la vie n'est pas facile avec cette situation que nous traversons avec le kovid-19.</t>
  </si>
  <si>
    <t>16/11/2020</t>
  </si>
  <si>
    <t>lea-f-131809</t>
  </si>
  <si>
    <t xml:space="preserve">Tres efficace et une bonne prestation.
Je recommande Direct Assurance et le code parrainage pour les famille est très avantageux. Très bon accueil téléphonique.
</t>
  </si>
  <si>
    <t>coquet-t-122343</t>
  </si>
  <si>
    <t>satistfait mais tarifs legerement elevee par rapport au concurrent 
service telephonique rapide 
je possede 2 vehicules 
une fois je suis tomber en panne et le depannage etait compris dans mon contrat ca ma sauvée.</t>
  </si>
  <si>
    <t>luc38-94238</t>
  </si>
  <si>
    <t xml:space="preserve">Après un sinistre responsable, j'ai pu subir leur démarches qui sont loins d'etre claires auprès de leur client.
Passage de l'expert dans un garage ou il n'y avais pas de réparation possible = Inutile et frais de gardiennage payés de ma poche
Passage d'un deuxième expert, décision de vente de la moto (RIV), sauf que c'est un sous traitant qui s'occupe des démarches, AMV ne maitrise pas les délais ni le sous traitant, c'est le client qui doit rappeler les personnes concernées (garage, expert, sous traitant qui fait les papiers...) pour faire avancer le dossier !
Très fastidieux et usant ! surtout quand on donne des délais optimisites "oui oui ça va vite , vous pourrez avoir le remboursement d'ici deux semaines", un mois plus tard ça traine encore...
Le paiement est au service compta ...
Pfff
</t>
  </si>
  <si>
    <t>alex-81562</t>
  </si>
  <si>
    <t>j'ai résilié mon assurance auto en octobre 2018.
je viens de recevoir ma nouvelle vignette....
je me suis déplacer dans mon agence maaf pour déposer ma plainte pour vol en main propre ...
et j'en ai ensuite informer par mail la MAAF.
Malgré sa ma facturation ne s'est pas arrêtée.
bien sur, impossible d'avoir quelqu'un au telephone, et les mails sont traités sous 24h.
pour des services d'urgence il y à mieux ....
je deconseille fortement cette assurance de pacotille</t>
  </si>
  <si>
    <t>03/12/2019</t>
  </si>
  <si>
    <t>xame83-75586</t>
  </si>
  <si>
    <t xml:space="preserve">J'ai été radié par PACIFICA de l'assurance auto prétextant 3 sinistres ( à tort ou raison ), alors que j'avais plusieurs contrat chez eux (mobile, habitation et auto), Un crédit immobilier avec assurance crédit agricole etc.. et après renseignement auprès de ma conseillère banque, elle m'a précisé un peu gêné que je n'etais pas le seul client à me plaindre de ces pratiques PACIFICA auto. Donc peu importe que l'on soit un bon client avec plusieurs contrat PACIFICA ou pas,... PACIFICA veut empocher l'argent des clients et ne supporte surtout pas quelques sinistres sous peine d'être exclut. Et ensuite c'est la galère pour se faire accepter ailleurs.. on passe pour un mauvais client fiché qui passerait son temps à créer des accidents. J'aurai préféré partir par moi-même en sachant qu'il ne souhaite plus m assurer afin d'être assuré sans difficulté ailleurs . Il est hors de question de continuer à donner de l'argent à cette assurance avec mes autres contrats chez eux).  Je suis encore assuré PACIFICA pour mon mobile et je suis sur le point de résilier pour la fin de cette année, chose que j'ai déjà faite pour mon assurance PACIFICA habitation. Là encore j'ai trouvé mieux ailleurs .... </t>
  </si>
  <si>
    <t>bruno-g-131909</t>
  </si>
  <si>
    <t>Franchise trop élevée à mon sens en point négatif, formulaire internet très efficace pour faire la demande de devis et la validation, dommage cependant que l'historique client ne soit pas repris automatiquement (exemple bonus du dernier contrat)</t>
  </si>
  <si>
    <t>seb0038-64170</t>
  </si>
  <si>
    <t>Assuré depuis 20 ans à la MAIF et ayant eu plusieurs sinistres, que ce soit pour mon habitation ou mes véhicules je suis totalement satisfait des prestations de cet assureur.</t>
  </si>
  <si>
    <t>24/05/2018</t>
  </si>
  <si>
    <t>valery-d-130479</t>
  </si>
  <si>
    <t>rien à redire, tout se passe bien, les tarifs sont à la hauteur de notre attente. l'agence est accessible localement et avec des interlocuteurs locaux et "non expatriés dans divers pays...."</t>
  </si>
  <si>
    <t>malekassambo-j-129281</t>
  </si>
  <si>
    <t xml:space="preserve">Je suis assez satisfait
le prix est intéressant pour une jeune conducteur comme moi
j'espère pouvoir rouler en toute tranquillité sur la route dés a présent 
</t>
  </si>
  <si>
    <t>krim84-64897</t>
  </si>
  <si>
    <t xml:space="preserve">A FUIR !!! Surtout ne pas se laisser tenter par les quelques Euros d'économie qui paraitrait dans un comparatif d'assurance .
je suis chez Direct assurances depuis des années et quand j'ai eu un sinistre, plus précisément un incendie qui a ravagé 3 vehicule ,le premiere interlocuteur ,qui devait etre l'unique soit dit en passant ,m'a confirmé que le siège auto de mon enfant devait etre prise en compte ,le lendemain changement de la personne qui s'occupe de mon dossier.
j'ai donc suivi mon sinistre comme toute personne jusqu'à la proposition de l'expert ,je me suis vu remboursé la valeur de mon vehicule ce qui est normale ,puis vient la franchise et la ça se complique ,franchise +10%.Aujourd'hui je me trouve avec une somme dérisoire comparé a la valeur de mon véhicule qui ne me permet pas l'achat d'un véhicule convenable et bien entendu la poussette du bébé et le siège auto n'ont pas été pris en compte .
avant ça je me suis vu augmenter ma cotisations quand j'ai appelé on m'a répondu simplement et sans accro dans la voix c'est une régularisation parce que l'an passé nous avons enregistré beaucoup de sinistre dans notre compagnie d'assurance ,c'est tout de meme magnifique ,on doit payer pour ceux qui ont des sinistres et en plus on doit faire attention de ne pas avoir d'accident pour ne pas perdre notre bonus ,alors qu'à la base on est sensé payé moins cher chaque année .
Merci à vous mais aujourd'hui on propose presque les meme garanties dans d'autres assurances ,Vous n'tes plus les moins chères et je me passerais a la foulée du ton condescendant qu'emploi les conseillers téléphoniques situé à l'étranger 
</t>
  </si>
  <si>
    <t>20/10/2020</t>
  </si>
  <si>
    <t>zupiens61-80485</t>
  </si>
  <si>
    <t>Super assurance pas cher et prise en charge rapide en cas d'accident ou bris de glace.
Ou toujours su répondre à mes demandes .....................................................................................................................................................,</t>
  </si>
  <si>
    <t>28/10/2019</t>
  </si>
  <si>
    <t>frenoi-j-139097</t>
  </si>
  <si>
    <t xml:space="preserve">Client depuis bientôt 5 ans, satisfait des prestations
tarifs
Jamais de litige ou d'accident, à voir quant au garanties mais je pense que l'olivier sera à les côtés </t>
  </si>
  <si>
    <t>06/11/2021</t>
  </si>
  <si>
    <t>jordan-n-105455</t>
  </si>
  <si>
    <t>Je suis satisfait du service,or je ne peux pas modifier le numéro de confirmation de sms pour confirmer la signature du contrat.
Sinon les prix sont abordables.</t>
  </si>
  <si>
    <t>04/03/2021</t>
  </si>
  <si>
    <t>hacene-60107</t>
  </si>
  <si>
    <t>J'ai été client chez Direct assurance. J'ai eu un retard de payement de ma cotisation suite à des problèmes de comptabilité, j'ai versé un accompte de 3OO euros sur la cotisation annuelle qui est de 757 euros . 2 mois après je me suis vu résilier mon contrat malgrès l'envoie du reste de la cotisation soit 457 euros. J'ai beau expliquer et rééxpliquer la situation mais ils n'ont rien voulu comprendre, mais ils ont pris le soins de s'inquiéter de ma situation en me recommandant à l'un de leur partenaire. Situation un peu burlesque quand même. J'avais recommandé Direct assurance à mes deux enfants mais j'avoue que je ne recommanderai plus jamais cette société à personne.</t>
  </si>
  <si>
    <t>02/01/2018</t>
  </si>
  <si>
    <t>joe-61783</t>
  </si>
  <si>
    <t>Client depuis 30 ans sans sinistre je n'apprécie pas qu'ils prennent 17euros pour changement d'adresse</t>
  </si>
  <si>
    <t>26/02/2018</t>
  </si>
  <si>
    <t>david-p-114948</t>
  </si>
  <si>
    <t>Je suis très satisfait de la relation client et de l'accompagnement humain et de la fluidité des échanges.
Je recommanderais donc vos services. Bonne continuation</t>
  </si>
  <si>
    <t>tania-51776</t>
  </si>
  <si>
    <t xml:space="preserve">Sinistre survenu il y a 2 mois environ où le tiers est 100 prcent responsable.Constat amiable,attestation du tiers. Aucunes avancées, aucunes information. Direct assurance me dit être en attente d une soi disante expertise de leur expert. À ne plus rien comprendre, car la partie adverse a reconnu totalement sa responsabilité. C'est lors de sinistre qu'on constate l efficacité ou non d un assureur. </t>
  </si>
  <si>
    <t>28/01/2017</t>
  </si>
  <si>
    <t>adrien-a-121420</t>
  </si>
  <si>
    <t xml:space="preserve">Cette assurance est très rapide, elle aussi pas très chère. En 10 minute mon inscription étais faite, aucune difficulté pour remplir les documents et cela en plus sans me ruiné. </t>
  </si>
  <si>
    <t>npl-138440</t>
  </si>
  <si>
    <t>Pas encore de recul pour noter. Mais je remercie le conseiller Balde pour son amabilité ,  son écoute et sa rapidité d action. Il mérite un 5/5. La réponse teleph
téléphonique est rapide.</t>
  </si>
  <si>
    <t>28/10/2021</t>
  </si>
  <si>
    <t>sirroco-85391</t>
  </si>
  <si>
    <t>il vaut mieux ne pas avoir de sinistre....même sans responsabilité, sinon ils augmentent la franchise, et si vous ne répondez pas, ils vous virent</t>
  </si>
  <si>
    <t>emilien206-56713</t>
  </si>
  <si>
    <t xml:space="preserve">Je suis un client fidèle 10ans dans le groupe ALLIANZ aujourd'hui je suis confronté de devoir changer d'assurance. Ma compagne a eu deux accrochages sur un parking Elle n'était pas stipulé sur le contrat. L'agence a décidé de nous mettre du malus à tous les deux suite à une demande de relever informations ??????? 
Deuxièmement malgré l'envoi email, recommandé. du papier de session de véhicules l'agence continue de prélever les mensualités ????
Bien sûr nous repartons avec les membres de notre famille pour éviter tout soucis futur
</t>
  </si>
  <si>
    <t>17/08/2017</t>
  </si>
  <si>
    <t>saber-d-116891</t>
  </si>
  <si>
    <t>je suis satisfait de la souscription de mon contrat un  très bon accueil téléphonique j'espère que tout se passera bien avec olivier assurance .cordialement</t>
  </si>
  <si>
    <t>13/06/2021</t>
  </si>
  <si>
    <t>davy-f-101557</t>
  </si>
  <si>
    <t>Rien à declarer de particulier, tarif correct, je n'ai pas eu de sinistre et je touche du bois pour que ca n'arrive pas, mais je fais confiance à direct assurance qui, je le pense, n'a plus à prouver une réputation positive.</t>
  </si>
  <si>
    <t>17/12/2020</t>
  </si>
  <si>
    <t>elmanowsky-t-137414</t>
  </si>
  <si>
    <t xml:space="preserve">Je suis très satisfait de vos service. Conseillère au téléphone très bon service. Répond à toutes vos question sans hésitation. 
Une très agréable ambiance au téléphone 
Merci </t>
  </si>
  <si>
    <t>david-f-137674</t>
  </si>
  <si>
    <t>Ok pour le service prix compétitif j espère que tout va se faire rapidement et avoir ma carte verte le plus vite Possible je vous ai connu par rapport à ma petite sœur qui est assuré chez vous</t>
  </si>
  <si>
    <t>simon-j-111611</t>
  </si>
  <si>
    <t>Bonjour,
Je suis satisfait du service pour le moment par contre je ne comprends pas pourquoi je passe de 46,26€ mensuel à mon arrivé à 49,50 euros. 
Pour autant j'ai plus de bonus qu'a mon arrivé et n'ai pas eu d'accident, je ne comprends donc pas.</t>
  </si>
  <si>
    <t>arlette-59759</t>
  </si>
  <si>
    <t>trop chère , pour des remboursements qui ne sont pas totalement pris en charge</t>
  </si>
  <si>
    <t>18/12/2017</t>
  </si>
  <si>
    <t>gilme-136197</t>
  </si>
  <si>
    <t>mon contrat commence au 1er novembre, impossible de me connecter sur mon compte client afin d'envoyer des documents. La conseillère Ramata m'a bien conseillée et suivi dans ma demande. maintenant en attente de mon identifiant et code .</t>
  </si>
  <si>
    <t>nancy-h-105853</t>
  </si>
  <si>
    <t xml:space="preserve">je suis satisfaite de mon assurance voiture. L'application est SimplE à utiliser. Prix super interessant, personnel tres professionnel, et a l'ecoute. </t>
  </si>
  <si>
    <t>jmv-111399</t>
  </si>
  <si>
    <t>le qualité de s prestations a terriblement baissé. il n est plus utile de prendre une assistance juridique puisqu ils font tout pour ne pas la mettre en marche et que l on est obligé de se débrouiller seul pour poursuivre en justice c est lamentable. 38 ans de Maif et basta  faut arreter le prendre les adhérents pour des pigeons</t>
  </si>
  <si>
    <t>miyabi-kamya-52585</t>
  </si>
  <si>
    <t>J'ai souscris en ligne il y a 1 mois, aucunes nouvelles et quand j'appelle le service client, personne ne me trouve dans leurs fichiers! Ils trouvent meme une autre personne avec mon numéro de sécu! totalement n'importe quoi. 
Personne ne peut m'aider ni me renseigner. J'ai engagé des frais médicaux et je suis dans le flou total!</t>
  </si>
  <si>
    <t>20/02/2017</t>
  </si>
  <si>
    <t>maud1011-117073</t>
  </si>
  <si>
    <t xml:space="preserve">A fuir ! Injoignable, des délais de traitements affligeants et des erreurs ! 
Des réponses qui sont inacceptables du type "vous devriez changer de professionnels de santé et privilégiez un tiers payant total", des refus de répondre sur une simple question de base de remboursement (lorsqu'on arrive à les joindre bien sur). 
Il s'agit dans mon cas d'un contrat employeur, je n'ose pas imaginé la désastre sur un contrat individuel. </t>
  </si>
  <si>
    <t>christine-101285</t>
  </si>
  <si>
    <t>ils ne remboursent jamais . j'ai ouvert le tickets 4 fois . ca fait deux mois, ile me répondent au téléphone , on va vous rembourser et puis , ils cloturent le ticket en ligne
les délais sont ridicules
ils clôturent les tickets sont nous répondre 
je vais les amener à la justice  .</t>
  </si>
  <si>
    <t>11/12/2020</t>
  </si>
  <si>
    <t>alexk-102387</t>
  </si>
  <si>
    <t>L'assurance décennale couverte par SMA laisse a désiré....Saretec un groupe d'expert rigolos .Un expert de chez Saretec passe chez moi pour verifie l'étanchéité d'une fenetre(appartement neuf achete avec Bouygues immobilier depuis 2 ans),effectivement la fenêtre n'est pas étanche(air et eau...on voit le jour entre les 2 ouvrant...)mais il considère que ça nous empêche pas de vivre dans l'appartement....on voit la lumière dehors??(c'est n'est pas un désordre pour lui????).Qu'est-que vous me conseille ?</t>
  </si>
  <si>
    <t>Sma</t>
  </si>
  <si>
    <t>garantie-decennale</t>
  </si>
  <si>
    <t>08/01/2021</t>
  </si>
  <si>
    <t>alex-87562</t>
  </si>
  <si>
    <t>Il faudrait avoir la possibilité de ne pas mettre d'étoiles pour noter cette mutuelle tant le service est déplorable autant que le gestion des dossiers.
J'ai résilié mon contrat avec cette mutuelle par 2 lettres recommandées : j'ai appris à cette occasion que le centre auquel j'étais en principe rattaché (en entête des documents reçus) depuis 7 ans n'était pas mon centre de gestion !!!
Maintenant, 2 mois après cette résiliation qui à été reconnue par eux, je continue à recevoir des mises en demeure de payer ma cotisation pour l'année 2020...on croit rêver...</t>
  </si>
  <si>
    <t>cruche-61098</t>
  </si>
  <si>
    <t>J'ai résilié mon contrat par 3 courriers RAR en 2017 et malgré ces Courriers il a été prélevé le 01/01/2018 960 € sur mon compte. Ce jour le 06/02/2018 je n'ai toujours pas été remboursé. Vous refusez mes commentaires ? j'ai 91 ans n'est ce pas profiter de la faiblesse des gens ?</t>
  </si>
  <si>
    <t>06/02/2018</t>
  </si>
  <si>
    <t>rouge-100202</t>
  </si>
  <si>
    <t>Il y a peu d'attente au téléphone pour avoir un renseignement, ce qui est un grand avantage,  les informations sont de qualité et les interlocuteurs sympathiques.</t>
  </si>
  <si>
    <t>17/11/2020</t>
  </si>
  <si>
    <t>jfabien-d-117459</t>
  </si>
  <si>
    <t>TARIF x2 pour un meme véhicule sans sinsitres depuis ma conduite accompagnée ! Bcp de mal à comprendre cette approche mais après tout je suis libre de me faire assurer ailleurs, dommage.</t>
  </si>
  <si>
    <t>sylvie-55640</t>
  </si>
  <si>
    <t>Complémentaire à déconseiller fortement. Ne respecte pas son contrat et les remboursements annoncés. service client injoignable ou ne réponds pas aux réclamations.</t>
  </si>
  <si>
    <t>26/06/2017</t>
  </si>
  <si>
    <t>fayard-d-137515</t>
  </si>
  <si>
    <t>À chaque fois qu'on appelle pour le même problème on a un conseiller différent qui vous donne une réponse différente vous ne savez jamais ce que vous disais</t>
  </si>
  <si>
    <t>15/10/2021</t>
  </si>
  <si>
    <t>sarah-110618</t>
  </si>
  <si>
    <t>concernant les prix, je ne peux donner mon avis (contrat salarié au nom de mon conjoint). Par contre sur la qualité de service téléphonique, je peux vous dire qu'ils sont d'une efficacité impeccable. Délais de réponse très rapide et qualité de la réponse très satisfaisante.</t>
  </si>
  <si>
    <t>16/04/2021</t>
  </si>
  <si>
    <t>rachid-b-126185</t>
  </si>
  <si>
    <t>Je suis satisfait du prix et le service et très pratique .
Le formulaire est simple et rapide à remplir.
Les informations sont utiles et compréhensible.</t>
  </si>
  <si>
    <t>fatiha-126188</t>
  </si>
  <si>
    <t>Voilà plus de 15 ans que je suis chez la Maaf pour mon assurance automobile. Plus de 10 ans que j’ai un bonus 0,5. Il m’a fallu 2 accidents dans la même année 2020 (j’étais malheureusement malade et ma vigilance moindre de fait...). D’une part le bonus à vie est un énorme mensonge car c’est la voiture qui a le bonus et non le conducteur, car comme chacun sait c’est la voiture qui conduit et non le conducteur ! Et d’autre part, j’apprends avec stupeur qu’à la fin de l’année 2021, la Maaf procédera à la résiliation de mon contrat auto au prétexte de mes 2 accidents de l’année 2020. Alors qu’ils m’ont assurée jusque là. C’est incompréhensible. En bref, vous comprendrez aisément que la publicité est plus que mensongère et que ce n’est pas la Maaf que je préfère !!!</t>
  </si>
  <si>
    <t>karine-l-109890</t>
  </si>
  <si>
    <t>bonjour 
satisfaite du service mais decu de ne pas avoir fait plusieurs devis avant car j avais trouvé moins chèr ds mon ancienne assurance! dommage je suis un peu decu car avant vous etiez les moins chèr</t>
  </si>
  <si>
    <t>10/04/2021</t>
  </si>
  <si>
    <t>lyne-49899</t>
  </si>
  <si>
    <t>Je suis au chômage suite à un licenciement économique.
Cardif a pris le relais depuis 15 mars 2016, ils ont mis du temps pour traiter le dossier, au mois de juin ils traînent pour rembourser mon crédit avec diverses raisons. Aujourd'hui, ils ont un retard de 3 semaines!!!!!!!!!!!!!!!!!!!!!!!!!!!! Excuse diverses, manque de personnel, trop de dossier à traiter et là la dernière et attention Monsieurs et Mesdames, IL N'Y AURAIT PLUS DE SOUS DANS LES CAISSES!!!!!!!!!!!!!!!!!!!!!!!!
Je vais faire le nécessaire pour faire valoir mes droits.
Une chose est sûre, le prochain crédit je refuse Cardif. Et oui, je suis entrain de faire le nécessaire pour faire valoir mes droits et nous pouvons choisir l'assurance que nous voulons même si votre banque travail avec eux.</t>
  </si>
  <si>
    <t>05/12/2016</t>
  </si>
  <si>
    <t>laura-102080</t>
  </si>
  <si>
    <t>J'ai souscrit la formule de base, qui me coûte 49€ par mois, et à ce prix là je pensais avoir les garanties que javais eues chez d'autres assurances (taxi, hôtel, dépannage ...) Je suis tombée en panne pendant les vacances : et là surprise, j'apprends que la taxi est pris en charge jusqu'à 50€ seulement (ça m'a coûté 500€ pour rentrer!!!) Hôtel pas pris en charge! Et dépannage pas pris en charge entièrement car c'était sur l'autoroute! Tout est dans le contrat me dit on (ha je bien oui, je pensais qu'à ce prix là c'était compris, quelle naive). Avec un bébé qui hurlait et la ruine du taxi, j'ai demandé un geste commercial pour rentrer en taxi mais non... l'hôtel m'a été propose mais c'était trop compliqué et impossible avec un bébé et toutes les affaires et je souhaitais un geste pour le taxi. Je suis scandalisée et vous conseille de bien lire votre contrat, je n'ai jamais vu de telles "garanties" où l'on vous laisse dans la nature, sans aucun recours. A FUIR</t>
  </si>
  <si>
    <t>patrice-j-122105</t>
  </si>
  <si>
    <t xml:space="preserve"> contact ,demande de renseignements,rdv, pas simple du tout.manque de reconnaissance pour les bons conducteurs .prévoir un bonus pour plusieurs contrats à la gmf.cordialement</t>
  </si>
  <si>
    <t>rousselet-v-137752</t>
  </si>
  <si>
    <t xml:space="preserve">Très satisfait de l accueil de votre agent, de la tarification et je vous recommanderais. Le parrainage et tres intéressant. Merciii pour votre accueil </t>
  </si>
  <si>
    <t>19/10/2021</t>
  </si>
  <si>
    <t>phil-60442</t>
  </si>
  <si>
    <t>SCANDALEUX.MAUVAISE FOI.RES MAUVAISE ASSURANCE QUI NE VOUS COUVRE PAS SUR DEGATS INHERENTS A U  ORAGE</t>
  </si>
  <si>
    <t>12/01/2018</t>
  </si>
  <si>
    <t>samu91-55756</t>
  </si>
  <si>
    <t>7 ans d'assurance habitation chez eux, aucun sinistre déclaré.
le jour ou j'ai voulu résilier pour un changement de situation et parce qu’ils étaient plus cher, il ne veulent pas résilier mon contrat malgré tout mes justificatifs.
Aussi c'était la première fois de ma vie que je vais les contacter par téléphone et j'ai eu le droit d’être traiter d’ignorant et arriéré par la conseillère au bout de la ligne, aucun respect du client.
Je croyais faire du bien en s'assurant chez soit disant le groupe Crédit Agricole ... mais c'était une grosse erreur, il n'y a que le nom, à fuiiiiiiiiiir</t>
  </si>
  <si>
    <t>pozer12-137900</t>
  </si>
  <si>
    <t>Eurofil by AVIVA..... assurance à fuir de tout urgence... radié pour avoir eu un bris de glace? résultat j'enlève mes 2 voitures assurées chez eux.... Good job ??</t>
  </si>
  <si>
    <t>dafrajas-103072</t>
  </si>
  <si>
    <t>Globalement satisfait de la MGP (qualité de l'accueil téléphonique, disponibilité, amabilité ...) le service santéclair est apprécié. Les prestations peuvent toujours être améliorées (remboursements) ayant eu besoin ces derniers temps de la mutuelle pour la vue, le dentaire et opération chirurgicale avec dépassement, la mutuelle a répondu présent, limitant ainsi notre reste à charge.
Très ancien adhérent depuis 1968, je conseille la MGP à mes proches.</t>
  </si>
  <si>
    <t>achilles-64836</t>
  </si>
  <si>
    <t xml:space="preserve">Ayant souscrit à votre assurance auto par internet début mai 2018, je suis  toujours dans l’attente de mon attestation et du certificat définitif 
Paiement déjà effectué à l’inscription de 120 euros plus premier prélèvement de 50 euros le 23 juin 2018.
Cordialement, dans l’attente de régularisation de ma situation.
</t>
  </si>
  <si>
    <t>17/06/2018</t>
  </si>
  <si>
    <t>nath-107967</t>
  </si>
  <si>
    <t xml:space="preserve">Très satisfaite, après des hésitations, j'ai regroupé assurance auto et assurance habitation auprès de L'olivier assurances. Une équipe réactive, responsable, un accueil chaleureux, une écoute attentive aux besoins et un prix compétitif.... Le top, je recommande.... </t>
  </si>
  <si>
    <t>emmanuel-wilfried-a-135167</t>
  </si>
  <si>
    <t>Très satisfait de la vitesse à laquelle j’ai souscris 
J’ai été recommandé par un ami et je n’hésiterai pas a à faire cette publicité d’assurance fiable</t>
  </si>
  <si>
    <t>peggy-87551</t>
  </si>
  <si>
    <t>Comme je l'avais prédit en novembre lorsque j'ai envoyé ma lettre de résiliation ( avis déjà déposé sur ce site) néoliane ne m'a jamais répondu alors qu'ils ont reçu la lettre (recipissés faisant foi). Je reçois aujourd'hui un courrier qui s'étonne de mon opposition au prélèvement. Et néoliane me demande  une majoration. Heureusement que j'avais anticipé et tout transmis à mon avocat qui s'occupera dès demain du dossier . Le monde à l'envers mais des pratiques tellement courantes.</t>
  </si>
  <si>
    <t>nicole-d-114043</t>
  </si>
  <si>
    <t>Très satisfait de la personne que j ai eu au téléphone. 
Tarif ,fait partie des moins chère 
Seul bémol ,est de devoir tout faire par internet.(et oui il y a des gens qui n'ont pas internet)</t>
  </si>
  <si>
    <t>akheit-114972</t>
  </si>
  <si>
    <t>-Indemnisation toujours pas faite plus de 2 mois après le sinistre 
-conseillers qui appellent sans laisser de messages vocaux 
-pas de réponse de à nombreux mails</t>
  </si>
  <si>
    <t>al-95906</t>
  </si>
  <si>
    <t>Bonjour, Client depuis l'obtention de mon permis chez l'olivier assurance, soit plus de 5 ans j'ai déclaré 1 seul et unique sinistre pour le vol de mon véhicule en janvier 2020... et depuis c'est la catastrophe !! Cela fait plus de 6 mois que je suis dans une situation CRITIQUE à devoir emprunter auprès d'amis dans l'attente de mon remboursement...
Malgré un échange courtois et pleins de bonnes volontés avec le service qualité il y a plus de 2 mois, les démarches n'avancent pas et pour moi les mois deviennent de plus en plus difficiles à devoir jongler de dettes en dettes pour pouvoir subvenir à mes besoins.
Ps : Le rapport d'expertise du véhicule a été envoyé il y a plus de 5 mois...
Si vous souhaitez une assurance réactive, passez votre chemin.</t>
  </si>
  <si>
    <t>04/08/2020</t>
  </si>
  <si>
    <t>flo-104704</t>
  </si>
  <si>
    <t>Très satisfaite des relations avec les différents interlocuteurs.
Bonne compréhension des demandes faites.
Rapidité d'exécution.
Une tarification assez intéressante.</t>
  </si>
  <si>
    <t>stupefaction--135453</t>
  </si>
  <si>
    <t xml:space="preserve">+10% sur ma prime d'assurance entre 2020 et 2021 sans autre explication que celle normale de l'augmentation tarifaire de l'assureur, ce qui est juste impossible ! Facturation aléatoire et renseignements opaques. J'enlève dès ce jour tout ce qui me lie à eux. </t>
  </si>
  <si>
    <t>julesd-75939</t>
  </si>
  <si>
    <t>Direct assurance attire les clients pas des prix bas la première année, et ensuite augmente considérablement  les cotisations chaque année sans aucune justification même si vous n'avez aucun sinistre !! Mon assurance est passée de 425€ en 2016 à 643€ en 2020 soit plus de 50% d'augmentation alors que je n'ai eu aucun sinistre !!Ces méthodes sont inadmissibles elles trompent et abusent des consommateurs , je pense qu'il faut les attaquer par une action de groupe pour les dénoncer publiquement.</t>
  </si>
  <si>
    <t>30/04/2020</t>
  </si>
  <si>
    <t>prud'homme-w-121222</t>
  </si>
  <si>
    <t>Les prix me conviennent, maintenant il faut voir en cas de sinistre. Le service client est au top pour avoir des renseignements.
Je recommanderai l'olivier assurance dans mon entourage.</t>
  </si>
  <si>
    <t>25/06/2021</t>
  </si>
  <si>
    <t>jjoseamigo-72028</t>
  </si>
  <si>
    <t xml:space="preserve">je suis en conge de longue maladie de la fonction publique hospitaliere cardif a arrete le remboursement de mes prets au bout des trois j'ai passe une expertise si on peut appeler cela ainsi . avec un medecin qui ne savait pas pourquoi je venais on est restte debout 20 secondes aucune auscultation rien  de rien et pourtant je suis declare travailleur handicape et ce mr ce permet de dedire que je suis consolidé alors que l'administration m'expertise tous les 6 mois et me declare inapte....
</t>
  </si>
  <si>
    <t>10/03/2019</t>
  </si>
  <si>
    <t>guillaume-d-128352</t>
  </si>
  <si>
    <t>L'équipe Zen-Up est juste géniale (aimable, très bon suivi, conseil,...)
Les prix sont competitifs
Le site est bien fait
Les démarches simples et les réponses reactives</t>
  </si>
  <si>
    <t>dieudonne-b-128827</t>
  </si>
  <si>
    <t>je suis satisfait du service bonnes conditions garanties usuelles bonne relation client bon contact commercial Olivia garanties  mettre en place 
bruno dieudonné</t>
  </si>
  <si>
    <t>thomas-j-139311</t>
  </si>
  <si>
    <t>Je suis satisfaite du service.
Les prix me conviennent pour ce que je veux.
C'est vraiment simple et pratique d'accès pour la souscription et le suivi du contrat.</t>
  </si>
  <si>
    <t>09/11/2021</t>
  </si>
  <si>
    <t>yao-p-125830</t>
  </si>
  <si>
    <t>Lex prix sont corrects par rapport aux autres assureurs.
Par contre, c'est que le début! Il faudrait attendre un peu pour pouvoir évaluer le niveau de satisfaction.</t>
  </si>
  <si>
    <t>matthieu-g-106063</t>
  </si>
  <si>
    <t xml:space="preserve">Je ne comprends pas comment DIRECT ASSURANCE peut soutenir que mon véhicule fait 7CV alors que sa carte grise atteste que c'est 5CV. Les démarches pour réussir à obtenir gain de cause sur une évidence me semble en outre dissuasives...
</t>
  </si>
  <si>
    <t>10/03/2021</t>
  </si>
  <si>
    <t>faikr-49570</t>
  </si>
  <si>
    <t>topissime, toujours le souci de bien faire et surtout c'est rapide, même quand la situation est difficile</t>
  </si>
  <si>
    <t>25/11/2016</t>
  </si>
  <si>
    <t>01/11/2016</t>
  </si>
  <si>
    <t>raphael-95232</t>
  </si>
  <si>
    <t>Le prix me parait cher sachant que je suis déja client chez vous, et que j'ai déjà une autre voiture chez vous.
J'attends un geste commercial, et fais réaliser des devis comparatifs chez d'autres assureurs dans l'attente.</t>
  </si>
  <si>
    <t>26/07/2020</t>
  </si>
  <si>
    <t>agnes-122086</t>
  </si>
  <si>
    <t xml:space="preserve">Terrible! D'erreurs en erreurs, de jours en jours, si ce n'est des conseillers sympathiques qui prodiguent de rassurantes paroles et qui ne peuvent finalement pas pouvoir y faire grand chose...quand il est possible de communiquer via le 09.... et rien ne bouge. Il y a quelques semaines, c'était télé travail. Dans cette expression, il y a le mot travail quand même.
Là on attend le mot "congés". Si encore il fallait en rire pour expliquer le simple "je m'en fous" d'un organisme, qui pourtant essaie désespérément de faire croire en quelques valeurs pour lesquelles il n'a aucun respect. </t>
  </si>
  <si>
    <t>gillou--103972</t>
  </si>
  <si>
    <t xml:space="preserve">Toujours à l’écoute et service très satisfaisant, service réactif et agent très compétent qui répond toujours à nos demandes. Très satisfait des échanges téléphoniques et de la prise en compte des informations qui sont traitées rapidement. </t>
  </si>
  <si>
    <t>10/02/2021</t>
  </si>
  <si>
    <t>vadamanikon-m-117891</t>
  </si>
  <si>
    <t>Bravo pas cher et super, bonne assurance, rapide et efficace
C'est une très bonne assurance continué comme ça, très arrangeant, qualité de service impeccable</t>
  </si>
  <si>
    <t>danielle-53032</t>
  </si>
  <si>
    <t xml:space="preserve">Je trouve inadmissible de devoir réclamer nos décompte de remboursement et ils refusent de nous les envoyer sous prétexte qu'il les envois une fois tous les trimestres quant nous devons changer de lunettes qui sont très mal remboursées nous devons avancés le complément qui pourrais être remboursé par une autre mutuelle que nous avons été obligés de prendre mais nous devons attendre plus de trois mois pour avoir le complément mais April s'en fiche complètement nous sommes que des pions si nous travaillons ce n'est pas pour la gloire mais pour vivre nous avons besoin rapidement de notre argent depuis le mois dernier j'attends mes descomptes </t>
  </si>
  <si>
    <t>06/03/2017</t>
  </si>
  <si>
    <t>kada-54881</t>
  </si>
  <si>
    <t>Bonjour je recommande l'assureur parmi les meilleurs compagnies d'assurances niveau rapport qualité/ prix.bonne continuation</t>
  </si>
  <si>
    <t>23/05/2017</t>
  </si>
  <si>
    <t>iloa-66619</t>
  </si>
  <si>
    <t>9ans d'assurance sans incident sur deux contrats auto/moto et au premier sinistre le contrat est résilié. Par mail personne vous répond. Par téléphone on vous balade et on ne vous donne aucune réponse claire, que des "je penses"...
Fuyez Matmut !!</t>
  </si>
  <si>
    <t>05/09/2018</t>
  </si>
  <si>
    <t>gantz-j-138348</t>
  </si>
  <si>
    <t>J'ai acheté un véhicule, qui vient remplacer l'actuel. Je n'ai pas réussi à modifier le contrat actuel pour "remplacer" le véhicule dans le contrat. A chaque essais, le site internet plante et me renvoie à la page de connexion. J'ai donc crée un deuxième contrat, afin de pouvoir assurer le nouveau véhicule. Je vais demander la suppression du véhicule qui sera vendu demain. Dommage de devoir faire toutes ses manipulations...</t>
  </si>
  <si>
    <t>tof42-89888</t>
  </si>
  <si>
    <t>Lamentable ! impossible de joindre un conseiller; depuis une semaine on est censé me rappeler et toujours rien, alors que la demande est urgente</t>
  </si>
  <si>
    <t>24/05/2020</t>
  </si>
  <si>
    <t>said-a-128778</t>
  </si>
  <si>
    <t>Les Agents sont très réactif sans oublier les tarifs défiant toute concurrence.
je recommande l'olivier sans hésiter les contrats sont adapté a la demande du client.</t>
  </si>
  <si>
    <t>annick-124119</t>
  </si>
  <si>
    <t xml:space="preserve">0 pointé depuis le 1er mars aucun remboursements ne répond pas aux mails courriers téléphone Quand je lis les commentaires ça fait peur.Le courtier absent </t>
  </si>
  <si>
    <t>said-a-132530</t>
  </si>
  <si>
    <t xml:space="preserve">Satisfait du service . Heureux detre assurer chez directe assurance 
Personnel professionnel ponctuel et a lecoute . Je suis assurer chez eux depuis plus de deux ans
</t>
  </si>
  <si>
    <t>insatisfait-54242</t>
  </si>
  <si>
    <t>Cette assureur est d'une mauvaise foie incroyable. On leur envoie un rib qu'ils soutiennent en avoir pris en compte en ligne à chaque prelevement on se retrouve avec des frais de rejets de prelevements alors qu en realité le nouveau rib n a pas été prise en compte! On se retrouve pendant des mois à payer plus cher alors que depuis la souscription du contrat ils n ont pas été capable d envoyer la carte verte! Aprés mainte et mainte appel un coup on vous dit qu on va vous rappeler pour enlever les frais de rejet indumement infligé et un coup on vous dit qu au faite que non que vous n avez pas envoyer de rib! 
Resiliez si vous voulez je vous attends pour un contentieux judiciaire! Mais je ne payerai plus rien!</t>
  </si>
  <si>
    <t>24/04/2017</t>
  </si>
  <si>
    <t>lagarde-s-117622</t>
  </si>
  <si>
    <t>Plus de 100euros ont été ajoutés : "taxes"
125e demandés en tant que acomptes mais c'est juste un prélèvement de taxes.
Donc oui mensualité correctes tous les mois, mais première mensualité de 125e non prévue.</t>
  </si>
  <si>
    <t>19/06/2021</t>
  </si>
  <si>
    <t>sabrina-n-129992</t>
  </si>
  <si>
    <t xml:space="preserve">Aucune communication 
Seul le tarif a confirmé le choix de ma compagnie d’assurance 
Et l’offre actuelle deux mois offert pour souscription habitation </t>
  </si>
  <si>
    <t>neajeriam-80229</t>
  </si>
  <si>
    <t xml:space="preserve">je viens de souscrire une assurance auto chez Direct Assurances et ai déjà déclaré un petit sinistre (phare cassé, tôle froissée) </t>
  </si>
  <si>
    <t>12/11/2019</t>
  </si>
  <si>
    <t>mariam-e-131162</t>
  </si>
  <si>
    <t xml:space="preserve">Je trouve ça très simple de remplir, et c'est assez rapide. Et niveau prix, pour une nouvelle conductrice comme moi, je pourrais pas mieux trouver. J'ai été parrainé donc je gagne 20€ et mon parrain 20€ aussi (c'est trop bien)
</t>
  </si>
  <si>
    <t>martin-f-109768</t>
  </si>
  <si>
    <t>je suis satisfait du service ainsi que du prix de l'assurance. Je recommande généralement votre compagnie à mes amis, qui en sont généralement satisfaits.</t>
  </si>
  <si>
    <t>09/04/2021</t>
  </si>
  <si>
    <t>lena-100732</t>
  </si>
  <si>
    <t>Étant profession indépendante, j’avais souscrit 4 ans avant d’avoir un souci de santé un contrat invalidité ( en 2013 ) J’ai malheureusement eu  un arrêt de travail de plus d’un an en 2017 reconnu en invalidité à 63 ans par ma Caisse obligatoire après 37 ans d’exercice d’infirmière libérale et 6 ans de travail à l’hôpital. La compagnie d’assurance AXA a mis 18 mois pour me répondre près plusieurs courriers recommandés. La visite chez le médecin conseil d’AXA a été très difficile, le médecin mettant en doute mes paroles et étant extrêmement désagréable et agressif. Je l’ai signalé au directeur d’AXA par courrier R avec AR. Je n’ai jamais eu de réponse. Au bout de 18 mois après ma mise en invalidité par ma caisse obligatoire, après de nombreux courriers et interrogatoires, j’ai reçu une somme dont le montant était le tiers du montant que j’avais souscrit sur le contrat. je n’ai pas eu le courage de poursuivre et de me battre pour obtenir mes droits. J’ai abandonné , mais suis extrêmement insatisfaite de la compagnie AXA.</t>
  </si>
  <si>
    <t>28/11/2020</t>
  </si>
  <si>
    <t>ds-110306</t>
  </si>
  <si>
    <t>Chez April moto depuis 10 ans tout risque sans sinistre 54€ /mois
Première déclaration tentative de vol .dégradation du neyman  franchise 450€ pénalité absence de gravage alors que j ai toujours ma moto 450€. Resultat 0 remboursement
Traitement du dossier par courtier privé sans état d ame son rôle ne pas rembourser  Fuyez !! aller ailleurs vérifier conditions et service à l l'assurer</t>
  </si>
  <si>
    <t>bla-90150</t>
  </si>
  <si>
    <t xml:space="preserve">Si on pouvait mettre 0 sans hesitation je le ferrais.
</t>
  </si>
  <si>
    <t>03/06/2020</t>
  </si>
  <si>
    <t>jbckr-61585</t>
  </si>
  <si>
    <t>Très satisfait de ma conseillère et de ses explications détaillées. Economie réalisée de plus de 6 000 euros sur la totalité de mon pret immobilier.</t>
  </si>
  <si>
    <t>20/02/2018</t>
  </si>
  <si>
    <t>idraki--97559</t>
  </si>
  <si>
    <t xml:space="preserve">Les conseillers (es) ont toujours étaient à l'écoute et toujours trouvés des solutions à mes problématiques. 
Ce jour 18/09, la conseillère m'as bien expliqué et dirigé vers le bon chemin concernant mon premier rendez-vous pour le port de lunettes de vue en m'envoyant par mail les opticiens partenaires de ma ville.
Aussi pour le changement de mon assurance grâce à eux j'ai pu m'engager chez GMF vu qu'il existe un partenariat entre les 2 parties, maintenant je paye moins cher. 
Je recommande tout à fait MGP.
</t>
  </si>
  <si>
    <t>18/09/2020</t>
  </si>
  <si>
    <t>loulourider-111332</t>
  </si>
  <si>
    <t xml:space="preserve">Une très bonne satisfaction de mon assurance AMV. Très professionnelle. Très réactive. Juste pour mon ancienneté un tarif attractif serait le bienvenu. </t>
  </si>
  <si>
    <t>adriano-65200</t>
  </si>
  <si>
    <t>Scandaleux 
Sociétaire depuis plus de 40 ans, un dégât des eaux n'a toujours pas été pris en charge depuis plus de 2 ans...
je ne peux pas utiliser mon local, aucune réponse à mes LRAR, j'envisage une action en justice</t>
  </si>
  <si>
    <t>handsky-78084</t>
  </si>
  <si>
    <t xml:space="preserve">demande de prise en charge le 22/02/2019, depuis 8 demandes de pièces et toujours un dossier en cours alors que toutes les demandes ont été satisfaites.
Tout ceci pour un dossier simple :  un accident de scooter !
Une honte, est ce une strategie pour gagner du temps ? </t>
  </si>
  <si>
    <t>31/07/2019</t>
  </si>
  <si>
    <t>mickael-m-132935</t>
  </si>
  <si>
    <t xml:space="preserve">Trop rapide !! Tarifs attractifs  je recommande 
Vraiment bien 
Essayais ce jour et déjà  près assuré ….. 
beaucoup de choix d’options… on prend ce qui nous intéresse </t>
  </si>
  <si>
    <t>murielle-57071</t>
  </si>
  <si>
    <t>Je tante de quitter cette assurance avec beaucoup d'effort. On me sort une facture que personne n'ai en mesure de m'expliquer le montant et ce a quoi ça correspond. J’appelle le service, on me raccroche au nez (3X). On me dit que l'on va me rappeler.... Il n'en ai rien. Assurance à fuir dont le service client n'est pas du tout à l'écoute bien au contraire fait tout pour vous éviter. Sans mesure vous raccroche au nez et même se permettent de limite vous crier dessus.</t>
  </si>
  <si>
    <t>04/09/2017</t>
  </si>
  <si>
    <t>patrick-t-109442</t>
  </si>
  <si>
    <t>Je ne suis absolument pas satisfait de vos services et de vos augmentation de tarifs annuel (surtout cette année) , au plaisir de ne plus vous avoir  pour assureur.</t>
  </si>
  <si>
    <t>07/04/2021</t>
  </si>
  <si>
    <t>fidji-103665</t>
  </si>
  <si>
    <t>Très cher aucun dialogue possible  .je ne recommanderais pas cette compagnie ? 70%de hausse en 5 ans sans aucune raison ?seul compte les prélèvements.</t>
  </si>
  <si>
    <t>04/02/2021</t>
  </si>
  <si>
    <t>rsa-75726</t>
  </si>
  <si>
    <t>Je crois, je suis même sur : la pire mutuelle que j'ai vu. 3 mois pour l'enregistrer suite à un bug : pas d'excuse, pas de geste. Ensuite télétransmission qui ne fonctionne pas + transmission des facture et preuve de remboursement secu ne fonctionne pas non plus. Actuellement je paie une mutuelle sans en avoir les avantages. Très compliqué de les avoir : 2h d'attente (non je n'exagère pas malheureusement). Et biensure aucune prise en compte du problème... peut même qu'il sera nécessaire d'aller en justice pour obtenir un remboursement... on est loin de la simplicité.</t>
  </si>
  <si>
    <t>08/05/2019</t>
  </si>
  <si>
    <t>ninja-59138</t>
  </si>
  <si>
    <t>Assuree depuis 40 ans a la MAIF scandalisee quant a l'indemnisation suite a une intrusion cambriolage de mon domicile et vol de mon vehicule.</t>
  </si>
  <si>
    <t>27/11/2017</t>
  </si>
  <si>
    <t>jeanphikhors-86625</t>
  </si>
  <si>
    <t>A fuir... Tout va bien tant qu'on paye, les problèmes arrivent pour récupérer les sous, commerciaux incompétent, ne se déplace plus, toujours en train d'attendre des réponses de leurs hiérarchies. Il n'y a aucun service client réel sauf pour vendre. Les délais sont très long pour récupérer les fonds mais c'est surtout que personne vous dit rien: 'votre demande est transmise au service concerné'. Après plusieurs appels et mail au commercial sa réponse à une demande de rendez-vous: 'si c'est pour des demandes de rachat, passez par le site, je me déplace pas pour ça!!!' Surtout que dans notre cas, ils ont fait une grosse erreur sur le contrat et là, 0 conseil.</t>
  </si>
  <si>
    <t>02/02/2020</t>
  </si>
  <si>
    <t>am-54158</t>
  </si>
  <si>
    <t xml:space="preserve">J'ai souscrit mon 1er contrat d'assurance pour ma nouvelle moto. Je tiens à souligner mon excellente impression suite à mon entretien avec mon interlocuteur (Aude) lors de la souscription de mon contrat. Je la remercie vivement pour ses précieux conseils et la clarté de ses explications. Dans le suivi de la souscription, le service après vente est également très efficace. Décrochage rapide à chaque appel et réponse également rapide lors des échanges de mails. Réception de la carte verte en moins d'1 semaine. 
Tous les ingrédients sont réunis pour être rassurer dès la souscription selon moi. </t>
  </si>
  <si>
    <t>19/04/2017</t>
  </si>
  <si>
    <t>mibe-99258</t>
  </si>
  <si>
    <t>Niveau de remboursement conforme au contrat - rapidité de traitement des demandes et des remboursement - courrier de renouvellement envoyé longtemps avant la date de renouvellement - animal assuré jusqu'à la fin de sa vie</t>
  </si>
  <si>
    <t>26/10/2020</t>
  </si>
  <si>
    <t>tokyo-101892</t>
  </si>
  <si>
    <t>Si vous voulez avoir tous les problèmes possibles et inimaginables, un service client archi nul, qui ne comprennent rien et ne souhaitent pas vous aider!!
J’ai arrêté l’assurance car j’ avais vendu la voiture, je n’ai jamais reçu le trop perçu..
J’a du attendre des mois pour recevoir la carte verte, j’ai dû aller à la Préfecture !!
Pour demander un devis ils vous demandent un Rib !!! 
La cerise sur la gâteau c’est service téléphonique payant !!
FUYEZ !!!</t>
  </si>
  <si>
    <t>lilalila76-56999</t>
  </si>
  <si>
    <t>Très difficilement joignable (genre attente 8 minutes annoncées et au bout de 20 mn on vous dit d'essayer une autre fois, mais l'autre fois, c'est encore saturé d'après la réponse automatique, réessayer plus tard...)</t>
  </si>
  <si>
    <t>31/08/2017</t>
  </si>
  <si>
    <t>caro59-79816</t>
  </si>
  <si>
    <t>cambriolé le 27 septembre 2019 par deux jeunes qui ont escaladés ma toiture pour passer par une fenetre sur le toit  mise en oscillant battant contact de police venue de la scientifique je ne peux pas être indemnisé car pas d'effraction je suis chez eux depuis 20 ans toute mes assurances sont là et bien je vais vous quitter payer pour rien cela ne me convient pas et mon fils ira ailleurs bien entendu</t>
  </si>
  <si>
    <t>08/10/2019</t>
  </si>
  <si>
    <t>edlamenace-56845</t>
  </si>
  <si>
    <t>Bonjour à tous - Salut Motards !
AMV m'assure un scooter 50cc... 
Ma fille a été dégommé "propre" par une camionnette 100% responsable. Pas de séquelles physiques ! juste de nombreuses plaies et le casque HS, le jean, les gants rapés bref que du matériel - MERCI à sa bonne étoile !!!). Il lui en reste une grosse frayeur qui l'a conduite a arrêter et ne pas poursuivre avec moi (1100 zzr) une future aventure motarde sans accident ! 
Bref, le Vespa à 4 ans - 5450 kms, acheté neuf 3490 € le 02 mai 2013 et valorisé indemnisé "minablement" 1600 € (Véhicule économiquement irréparable V.E.I.) 
L'accident date du 11 juillet et je suis à mon cinquième courrier.
Il leur manque toujours un document.
- l'attente car le témoin ne s'est pas manifesté... (ce qui n'est pas vrai.. preuve à l'appui)
- le document de "non accident corporel", dûment remplit et attestant que tout est OK. Je leur ai fait un mail préalablement après la visite du médecin leur disant que ce dernier m'avait rassuré en m'indiquant qu'il ne s'agissait que de contusions impliquant seulement un arrêt de sport pendant 30 jours.
- les certificats médicaux - de radiologie, les notes du médecin - 
mais aussi et cela date d'hier !!!
- une demande à l'assuré (ma fille) lui demandant confirmation que le propriétaire du véhicule (moi) est bien la personne à indemniser du véhicule en épave ! (on croit réver) - avec attestation écrite et copie de la pièce d'identité
Bref minable pour un accident non responsable ! 
Sur les forums, on voit bien que AMV et les assureurs traînent des pieds, ALORS QUE NOUS NE SOMMES PAS RESPONSABLES D'AVOIR ETE FAUCHE par un irresponsable, probablement au portable de sa camionnette (cette rmq n'engage que moi).
Je pense que l'assureur devrait nous aider, non il perd du temps, il cherche le document qui manque pour retarder son paiement... 
FUYEZ AMV, mais les autres aussi... Je suis chef d'une TPE et je suis amer car ces gens là n'ont pas besoin de clients, l'assurance est obligatoire, alors ils nous traitent comme un numéro... Personne ne les aime mais peu importe pour eux...
Tristes assureurs !</t>
  </si>
  <si>
    <t>24/08/2017</t>
  </si>
  <si>
    <t>pas-de-pseudo-que-la-verite-99200</t>
  </si>
  <si>
    <t>Accident de moto non responsable en septembre 2017 avec 14 jours d’hôpital et quatre moi d’arrêt de travail
Toujours pas résolu à ce jour je pense et j'espere par le je-m’en-foutisme de la première personne qui s'est occupé du dossier a mon sortir de l’hôpital chez Macif
depuis c'est avocat,expert et attente 
donc la Macif a de très bon tarif mais c'est comme la camelote qui vient de chine on n'en n'as que pour son argent
Je suis donc assuré que pour être en règle avec la législation</t>
  </si>
  <si>
    <t>25/10/2020</t>
  </si>
  <si>
    <t>nicolas-b-129318</t>
  </si>
  <si>
    <t>Je suis satisfais de la rapidité du service, je recommande Direct Assurance pour assurer votre véhicule. Des prix attractifs et des conseillers à l’écoute.</t>
  </si>
  <si>
    <t>f5lqg-102042</t>
  </si>
  <si>
    <t>A la retraite depuis 20 ans ,je n'ai jamais eu de différent avec la MGP. Apres analyse complète ,je pense que nous sommes très très loin d'être les plus mauvais... Nous gardons cet esprit mutualiste et de solidarité, qui, en cette période difficile, est important. Merci de m'avoir lu.</t>
  </si>
  <si>
    <t>31/12/2020</t>
  </si>
  <si>
    <t>doudthedude-98834</t>
  </si>
  <si>
    <t>Bonjour, je n'ai pas pour habitude de laisser des commentaires ou avis mais là, je suis profondément déçu. Sociétaire à la maif depuis 1998 j'ai toujours souscrit à leur contrat raqvam, praxis et autre. La raison en est que le conseiller m'avait assuré que le moindre souci du quotidien serait pris en charge. J'ai 2 enfants et voulant minimiser les risques, cette garantie me rassurait. Il y' à 1 semaine, suite à un entraînement de foot je me romps le tendon d'Achille. Me souvenant que j'avais contracté une assurance auprès de la maif, je déclare le sinistre en précisant bien qu'il s'agissait d'une rupture du tendon d'Achille. Plus tard, un courrier m'invite à rédiger une lettre circonstanciée ainsi qu'à fournir les documents médicaux afin qu'ils puissent se prononcer. Je m'exécute et le soir même reçoit une reponse m'annonçant que les ruptures tendineuses étaient exclues de la garantie mais alors pourquoi m'avoir fait espérer en me demandant une lettre circonstanciée. De plus ayant toute confiance en la maif "l'assureur militant",  "l'assureur solidaire", je ne me suis pas amusé à lire toutes les clauses de la garantie car mon assureur m'affirmait que la moindre blessure serait indemnisée.... Immobilisé pour 6 semaines, n'ayant droit à rien je ne peux que mettre en garde contre cette mutuelle qui en fait se comporte comme n'importe quelle assurance privée, mentant et cherchant tous les moyens pour vous exclure de leur garantie. Le pire dans cette histoire c'est que dans leur grande bonté, ils me délivrent un conseil m'enjoignant à me tourner vers la cpam puis vers ma mutuelle. Pardonnez moi l'expression mais non content de m'avoir fait croire des choses, il me prennent en plus pour un débile. Foutage de gueule. 1000€ de cotisations annuelles en tout (voiture scooter, appartements) pour ne rien avoir en cas de besoin. Ciao je quitte le navire.
M diarra</t>
  </si>
  <si>
    <t>16/10/2020</t>
  </si>
  <si>
    <t>batlol06-93902</t>
  </si>
  <si>
    <t>Je compare les prix pour ma prochaine voiture, je ne n'ai pas encore pris de décision Je ne connais pas le service direct assurance. et ces avis sont trop longs.</t>
  </si>
  <si>
    <t>12/07/2020</t>
  </si>
  <si>
    <t>loulou-115481</t>
  </si>
  <si>
    <t xml:space="preserve">Suite à un accident  de voiture eux le 03/08/2020 je me suis trouver résilié  très rapidement appel très long et ne comprenne pas ma demande j ai demander à parler à un responsable ont ma raccrocher au nez . Quand je rappeler sa ne répondez pas ou quand je disait mon nom sa me raccrocher directement 
J étais à cette assurance depuis l age de mais 18 ans . Pour prélever tous va bien mais une fois que long n a un problème il y a plus personne vraiment dégueulasses </t>
  </si>
  <si>
    <t>31/05/2021</t>
  </si>
  <si>
    <t>choukri-a-106872</t>
  </si>
  <si>
    <t xml:space="preserve">A un click, très satisfaisant le prix en comparaison de ma banque est de moitiè prix il n'y a pas à dire je souscrie sans réflèchir.
Je recommande vraiment Direct Assurance pour toute les personnes qui sont de longue date avec leur asurance banque
</t>
  </si>
  <si>
    <t>jp-96488</t>
  </si>
  <si>
    <t>Depuis une quarantaine d'années à la GMF sans le moindre accrochages ses tarifs restent les plus élevés  sur les comparatifs .
 Une conseillère  n'a pu me donner le montant de cotisation pour mes 3000 km que je fais par an avec mon véhicule lors  d'un appel téléphonique.</t>
  </si>
  <si>
    <t>19/08/2020</t>
  </si>
  <si>
    <t>verite87-89253</t>
  </si>
  <si>
    <t xml:space="preserve">Tout à refaire . tres mauvaise logistique. Tout à commencé avec la garantie mécanique plus que la macif me prélevait chaque mois, pour au final me dire le jour où j'ai eu des réparations à faire que je ne l'avais pas ( bien quils me prélevaient chaque mois) et au moment où je demande qu'on me rembourse ce que j'ai payé , on me dit que c'est impossible (175€ environ).
Je suis passée en agence j'ai fait des courriers au siège.Impossible de se faire rembourser.
J'ai également eu un accident avec le véhicule de mon pere en 2016. J'ai fourni tous les documents en temps et en heure , ils ont volontairement égaré les documents les plus importants pour l'expert (afin de réduire les frais d'indemnisation bien que ce soit mon assureur il n'allait pas du tout dans mon sens , le litige n'est toujours pas réglé) 
Quand on appele le service client , on ne tombe que sur des incompétents incapables de gérer vos problèmes (bien que ce soit leur métier ), et qui parfois raccrochent au nez quand ils ne savent apporter de reponse .
ca fait plus d'une semaine que j'attends le fiche de renseignement de bonus de ma mere (dans une agence normale ca prendrait 1h voir max 1 journee) en une semaine j'ai appelé 3 fois , tout le monde se rejette la faute mais personne ne l'envoie (pourtant ma nouvelle assurance à envoyé le recommander et ils savent que je veux changer d'assurance, on dirait qu'ils traînent des pieds volontairement afin d'empecher les gens d'aller chez la concurrence)
et pour finir les prix exhorbitants ne sont vraiment pas justifiés bi légitimes
ex: pour les meme prestations j'étais à 72€/mois pour le tiers plus chez la macif , contre seulement 49€/mois chez mon nouvel assureur. 
Vraiment fuyez car leur mauvaise réputation est tout à fait justifiée. 
J'espère que ça en aidera plus d'un , j'étais chez eux parce que j'ai suivi le papa (qui lui est âgé et ne sait pas forcément qu'il y a mieux ailleurs) mais pour le coup , toute ma famille va changer car ma soeur aussi a eu un litige qu'il ne voulait pas rembourser (vol de voiture et ils ont essayé par tous les moyens d'inventer des clauses pas présentes à la signature du contrat pour éviter le remboursement) 
en fait c'est une assurance qui vous rembourse que lorsque vous prenez un avocat contre elle 
c'est marrant parce que moi je pensais naïve que je suis que le principe d'une assurance etait de faire aux mieux pour ses sociétaires ! 
Ce n'est vraiment pas ce que vous aurez chez eux 
</t>
  </si>
  <si>
    <t>29/04/2020</t>
  </si>
  <si>
    <t>christelle-k-109298</t>
  </si>
  <si>
    <t>Pas satisfaite du services administratif. , mauvais contact avec les interlocuteurs, aussi chers qu'une autre assurance.  , Par contre une bonne assistance en cas d'accident ..</t>
  </si>
  <si>
    <t>m-129387</t>
  </si>
  <si>
    <t xml:space="preserve">Tout se passe bien tant que vous ne demandez rien.  A chaque demande on vous facture, y compris lorsque vous indiquez avoir déménagé et indiquez votre nouvelle adresse  : changement d'adresse : +15€. Et c'est sans compter le surcoût de l'assurance bien évidemment superieure de 100 € ! Ils ne connaissent que la touche plus. 
Quand l'assureur doit prendre en charge c'est une autre histoire ...
Bref c'est décidé je change d'assureur.  Cela fait 3y ans que je suis assurée pour 1 véhicule  et c'est la 1ère  fois que je rencontre cette façon de faire.
</t>
  </si>
  <si>
    <t>david-c-130752</t>
  </si>
  <si>
    <t>Toujours satisfait de  l'assurance GMF, malgré une petite hause des prix sur l'assurance voiture, 1ère fois sur internet pour une demande d'attestation scolaire pour mon fils, simple.</t>
  </si>
  <si>
    <t>laurenmileva-81098</t>
  </si>
  <si>
    <t>Excellente assurance, moins chère que mon assurance précédente. En tous risques' à noter ne ce serait-ce que le bris de glace sans franchise, le dépannage et remorquage rapides, le taxi qui assure le retour au domicile ainsi que le trajet pour aller chercher le vehicule au garage. Très bonne coordination avec les services de réparation, et personnel compétent et réactif. Merci!</t>
  </si>
  <si>
    <t>18/11/2019</t>
  </si>
  <si>
    <t>herve-54811</t>
  </si>
  <si>
    <t xml:space="preserve">Assuré depuis février 2016, j'ai voulu faire jouer la Loi Hamon.
Une première fois la demande de  résiliation émamant De L'olivier Assurance a été rejetée car cela faisait moins  d'un an que j'étais assuré Direct Assurance : je reconnais cela sans problème.
Cependant le 6 mars l'Olivier Assurance a émis de nouveau une demande de résiliation avec accusé réception le 8 mars ( que j'ai en copie) mais comme par hasard, le service client de Direct ne l'a jamais reçu.
Il est impossible de parler à un responsable ou de quelqu'un de compétent et le personnel de Direct Assurance refuse même de donner  le mail professionnel du service résiliation aux collègues de L'Olivier.
</t>
  </si>
  <si>
    <t>19/05/2017</t>
  </si>
  <si>
    <t>bertrand-94233</t>
  </si>
  <si>
    <t>Le 18 mai 2020, je demande un rachat partiel sur un art 82. Je demande le 20 mai si mon dossier est complet. Non, votre demande doit être faite par courrier possibilité d'envoi par mail.
Le 27 mai je demande si mon dossier est complet, non il faut votre RIB. RIB envoyé sur le champ.
Le 3 juin je demande si mon dossier est complet, non le rib envoyé n'a pas le logo de votre banque. Rib envoyé.
Toutes les semaines je téléphone sans que mon dossier n'évolue.
Le 7 juillet je reçois un mail sans pièce jointe me demandant de renseigner le formulaire fiscal. Relance de ma part le même jour je reçois ce formulaire que je renseigne sur le champ.
Le 16 juillet toujours rien. 
Le client n'est pas au cœur de leurs préoccupations.
J'ai décidé de vider chaque année cet article car Arial CNP n'est pas une structure respectueuse !
Et Arial est certifié ISO mais je ne vois pas dans quel domaine, pas celui de la qualité de service.
2 mois sans réponse…. Bravo
Pour conclure, un dirigeant qui se respecte devrait réagir en dénombrant le nombre d'avis négatifs  ressortant sur le net.</t>
  </si>
  <si>
    <t>lali83-59216</t>
  </si>
  <si>
    <t>RESILIATION pour non envoi des photos du véhicule que j'ai envoyé à 5 reprises par recommandé et l'application qui m'a bien validé les photos.
INDAMNISSIBLE
Srevice client incompétent</t>
  </si>
  <si>
    <t>29/11/2017</t>
  </si>
  <si>
    <t>babou-badr-60940</t>
  </si>
  <si>
    <t xml:space="preserve">Très pratique! Toujours à l’écoute, je n’hésite pas à rappeler le service suivi client pour refaire un point et voir si on peut revoir mon contrat ou juste moduler mes garanties.
Le concept est top, et les explications tres claires! </t>
  </si>
  <si>
    <t>29/01/2018</t>
  </si>
  <si>
    <t>verolilian-57939</t>
  </si>
  <si>
    <t>quelle incompétence, erreur de dossier de leur part facturée 15€ en plus
 changement de coordonées bacncaires non prises en compte au bout de 3 mois, prélèvement forcement refusé après FERMETURE DU COMPTE 
 HARCELEMENT PENDANT 5 JOURS  ENSUITE MALGRÉ APPEL TÉLÉPHONIQUE POUR GÉRER LA SITUATION MENACE DE FRAIS DE 20€ SUPPLEMENTAIRES SI PAS REGLER DE SUITE</t>
  </si>
  <si>
    <t>10/10/2017</t>
  </si>
  <si>
    <t>steve0808-67672</t>
  </si>
  <si>
    <t>Ayant eu un sinistre de type incendie  de  mon véhicule bmw depuis le mois de janvier je n ai toujours pas été indemnisés  mon dossier passe de main en main tout un tas de document me son demande alors que ce n est pas justifier comme comment j ai eu les fonds pour payer mon véhicule avec des preuves à leurs Fournir ensuite de justifier dans mon cas c etait une donnation de ma mere apres il a fallut que je justifie comment ma mère à pu gagner son argent pour me faire la donation tt les éléments l on été fourni à la matmut hors.je ne suis toujours pas indemniser ce jour le 14/10/2018.  Après les  avoir une 100 ene  fois depuis on me raccroche au nez ou on me dit qu il attendent toujours des éléments etc...de plus mon assurance été encore prélever jusqu au mois d aout 2018 alors que mon véhicule n étais plus assurable 88.6 par mois et on me rembourse que 345 euros chose qui n est pas logique normalement ce qui fait plus de 620 euros. La matmut elle assure le temps qu il n y a pas de soucis</t>
  </si>
  <si>
    <t>14/10/2018</t>
  </si>
  <si>
    <t>nectoux-m-105318</t>
  </si>
  <si>
    <t>Vous ne répondez que trop rarement au téléphone (là ça fait une heure de j'appelle sans succès). Vous encaissez rapidement mais ça fait 1 an que je cours après un remboursement.. toujours sans succès. Et au niveau des tarifs, certes c'est bas mais pour des garanties toutes aussi basses.</t>
  </si>
  <si>
    <t>emeu-71558</t>
  </si>
  <si>
    <t xml:space="preserve">Attention cette assurance Rembourse très peu et oblige un engagement d'un an minimum!! Quand il s'agit d'un remboursement important ils ne remboursent plus!!! Au départ ils sont censés prendre en charge tous les accidents et là ils m'annoncent que même en cas d'accident pour les ligaments croises ils ne prendront pas en charge pourtant la date de l'opération est bien postérieure aux 6 mois après signature mais comme la date des premiers symptômes est 10 jours avant ils ne remboursent pas!!! Méfiez vous car ensuite aucune négociation est possible aucun geste n'est envisageable....
</t>
  </si>
  <si>
    <t>22/02/2019</t>
  </si>
  <si>
    <t>barissa-69643</t>
  </si>
  <si>
    <t>J'ai subi un dégât des eaux cela fait plus 2 mois toujours en attente du rapport de l'expert.  La visite  de lexpert se fait en 5 minutes  grand max un marchand de tapis pour la proposition d'indemnisation. Les entreprises partenaires pas du tout sérieux 3 semaines en attente de leur coup fil. Pas d'accord avec les matériaux proposés pour la remise en état, bas de gamme du premier prix. Les interlocuteurs à part vous écouter aucune réponse  concrète. Hâte  que mon engagement se finissent . Cliente fidèle depuis plus de 10 ans le prix facturé  de ma cotisation est de 200 euros plus cher si j etais nouvelle adhérente. SACHANT QUE JAI MES 2 VEHICULES CHEZ EUX</t>
  </si>
  <si>
    <t>24/12/2018</t>
  </si>
  <si>
    <t>ouioui76-89070</t>
  </si>
  <si>
    <t>Assureur a fuir</t>
  </si>
  <si>
    <t>22/04/2020</t>
  </si>
  <si>
    <t>valerie-69997</t>
  </si>
  <si>
    <t>Bonjour, 
Depuis la fusion de la MGET avec la MGEN effective au 1 er janvier 2016, mon capital décès souscrit avec la MGET a disparu. Où est passé mon capital décès ? A l époque avec la MGET je recevais chaque fin d année 1 relevé du capital décès  précisant le montant dont je disposais. Depuis le 1er janvier 2016 je demande à la mgen où est passé cet argent, ils me renvoient vers alptis. Alptis m'informe ne pas savoir où se trouve ce capital et me renvoie vers la cnp. La cnp n étant pas plus au courant me renvoie vers alptis. J AIMERAIS SAVOIR OÙ EST PASSÉ MON CAPITAL??? lors d une fusion forcément l'entreprise prend l'actif et le passif. DEPUIS LE 2 JANVIER 2016 je réclame des informations  à  ce sujet et personne n'est au courant, personne ne répond à mes questions . Y'a t il eu des magouilles pour me laisser volotairement dans le flou ?  Nous sommes le 8 janvier 2019 ça fait 3 ans que je réclame je sonne à toutes les portes ,AUCUNE REPONSE. J'espère que mon capital DÉCÈS  n'a pas fait faillite avec la MGET!</t>
  </si>
  <si>
    <t>08/01/2019</t>
  </si>
  <si>
    <t>jean-christophe-r-130544</t>
  </si>
  <si>
    <t>la démarche en ligne est simple et rapide. le site est ergonomique et compréhensible. les prestations sont claires. rien à redire. rapport qualité/prix un peu haut</t>
  </si>
  <si>
    <t>jean-christian-s-110271</t>
  </si>
  <si>
    <t>JE SUIS SATISFAIT DU TARIF ET DE LA RAPIDITE ET LE PROFESSIONNALISME DE LA PERSONNE AU TEL ET DE SES CONSEILS. LE TARIF EST CONFORME A MES ATTENTES. MERCI.</t>
  </si>
  <si>
    <t>farid-c-126529</t>
  </si>
  <si>
    <t>Je suis satisfait du tarif et des garanties proposées par votre société et vous remercie grandement cordialement monsieur chouikine farid
A très bientot</t>
  </si>
  <si>
    <t>cyril-103294</t>
  </si>
  <si>
    <t>Je suis entièrement satisfait des services proposés par l’Olivier assurance. Il serait bien de pouvoir ajouter l'option : Défense et recours suite à une mauvaise intervention réalisée par le professionnel lors d'une réparation. Mon véhicule à été abîmé au cours d'un remplacement de pare brise. Malheureusement mon assureur n'a pas pu m'aider dans mes démarches. C'est compliqué d'avoir gain de cause quand le professionnel refuse de reconnaître sa responsabilité.</t>
  </si>
  <si>
    <t>stantrz-96828</t>
  </si>
  <si>
    <t>Très mauvais assureur et service client, la satisfaction de leur clientèle est le dernier de leur soucis. Impossible à joindre au téléphone sans se faire raccrocher au nez par le serveur vocale qui te dis vas sur ton espace en ligne. Chose qui paraît simple pour peu que cet espace soit accessible ce qui n'est pas le cas pour moi. Du coup le site me dis d'appeler le serveur vocal et la boucle est bouclée. Dès le début ils n'étaient pas clair, et ça c'est pas arrangé. Si vous cherchez un vrai assureur n'allez pas chez eux. Attention car la maison mère Aviva a plusieurs assurances, toutes d'aussi bas niveau. A fuir comme la fusion de la peste et du Covid.</t>
  </si>
  <si>
    <t>allan-63486</t>
  </si>
  <si>
    <t xml:space="preserve">Bonjour (RCC : YC 50508552 ) après une lettre avec AR, deux relances par mail et un contact via Messenger sur la page Allianz France sur Facebook, je n'ai toujours pas été résilié, je n'ai toujours pas été remboursé pour le trop perçu qu'ils me doivent. Une conseillère m'a recontacté pour me demander des éléments supplémentaire notamment un autre CERFA car il n'était apparemment pas lisible ?!?! Je suis loin d'écrire comme un pied. Quel intérêt avez vous à gratter du temps comme cela ? Merci de faire quelque chose, cela fait maintenant 1 mois que ce cinéma dur. </t>
  </si>
  <si>
    <t>29/01/2019</t>
  </si>
  <si>
    <t>demazeux-s-139482</t>
  </si>
  <si>
    <t>Un tarif très concurrentiel et une souscription rapide, le service commercial est disponible est agréable. A voir à l'usage mais la première impression est très positive.</t>
  </si>
  <si>
    <t>12/11/2021</t>
  </si>
  <si>
    <t>nighter31-66183</t>
  </si>
  <si>
    <t>gros problèmes avec cette assurance auto.Impossible de pouvoir récupérer ma carte verte définitive.Cela fait maintenant 2 mois que j'ai signé chez eux et le service téléphonique me dit que cela a été envoyé par courrier.Je les ai contacté à plusieurs reprises mais cela ne change rien à la situation.bref, un seul mot: FUYEZ</t>
  </si>
  <si>
    <t>14/08/2018</t>
  </si>
  <si>
    <t>stam2912-64020</t>
  </si>
  <si>
    <t>Satisfait de se rendez vous téléphonique,
Le televendeur été aimable et lymphatique sa change des autres compagnies ...........</t>
  </si>
  <si>
    <t>15/05/2018</t>
  </si>
  <si>
    <t>jimo51-60102</t>
  </si>
  <si>
    <t>Assureur très réactif par rapport à un sinistre ; service client agréable et professionnel.</t>
  </si>
  <si>
    <t>frederic-a-115562</t>
  </si>
  <si>
    <t>Je suis satisfait du prix et des prestations qui me sont proposées, le délais de réponse est très rapide et la souscription sur le site est très simple</t>
  </si>
  <si>
    <t>romainb-86761</t>
  </si>
  <si>
    <t>pas du tout pro, fait perdre mon temps pour obtenir une assurance qui n'est pas arrivée dans les temps pour la résiliation chez la banque, ils sont là surtout pour encaisser des contrats et s'en fichent des détails. A fuir !</t>
  </si>
  <si>
    <t>brunot-89138</t>
  </si>
  <si>
    <t>Double les tarifs du jour au lendemain sans prévenir, n'envoie pas l'attestation d'assurance avant l'échéance (ça fait 4 semaines que j'attends) et impossible à joindre pour obtenir satisfaction. Bilan à fuir à tout prix ! Mieux vaut payer un peu plus cher chez un vrai assureur qui ne se contente pas de pomper votre compte en banque !</t>
  </si>
  <si>
    <t>24/04/2020</t>
  </si>
  <si>
    <t>steeve-m-127338</t>
  </si>
  <si>
    <t>Déjà client avec aucun sinistre donc satisfait, c'est quand il y a un sinistre que l'on voit les compétences de son assureur.
Maintenant reste à voir comment va être mis en place la promo MULTIDAYS.</t>
  </si>
  <si>
    <t>leslie-m-105312</t>
  </si>
  <si>
    <t xml:space="preserve">je suis satisfaite de la demande en ligne et des économies que je pourrai éventuellement réaliser.
Première échéance un peu élevée.
Mais satisfaite en générale </t>
  </si>
  <si>
    <t>gladiateur--105653</t>
  </si>
  <si>
    <t xml:space="preserve">Direct Assurance est très long à réparer la voiture et surtout l’expert ne prend pas en charge touts les dégâts causés par un accident, pour moi c’est pas une assurance à qui on peut compte. Je ne conseille pas cette assurance </t>
  </si>
  <si>
    <t>calimero83-46944</t>
  </si>
  <si>
    <t xml:space="preserve">pour rectifier le devis faut pas le nr de devis mais la carte grise. pour assurer la voiture le 4 à minuit  faut appeler le 4 après midi .... envoyer un mail pas de réponse... tout est dit , c'est pas sérieux. </t>
  </si>
  <si>
    <t>11/09/2019</t>
  </si>
  <si>
    <t>bertrand-g-126318</t>
  </si>
  <si>
    <t>beaucoup moins cher et facile que d'autres assureurs. soit une économie de plus de 300 euros pour l'année.
je recommande vivement direct assurances. et c'est facile en 2 clics</t>
  </si>
  <si>
    <t>pascal-l-123070</t>
  </si>
  <si>
    <t>Accident en Belgique 700métres de la frontière française.
Appel à 10h15 j'ai eu 5 intervenants ils me disent on vous prend en charge.
12h je rappel encore pour faire évacuer la voiture 3 intervenants.
13h rappel heureusement qui avait pas de corporel la Direct Assurance pas à la hauteur...
13h40 arrive enfin le plateau?</t>
  </si>
  <si>
    <t>10/07/2021</t>
  </si>
  <si>
    <t>lg-87159</t>
  </si>
  <si>
    <t xml:space="preserve">Comme chez la SFAM (dont s'est séparé la FNAC maintenant qu'elle a un procès aux fesses - et encore, l'amende est de 10 millions sur un chiffre d'affaire de plus de 700 millions, peanuts) il est quasi impossible de résilier un contrat (ma mère a du faire opposition après plus de 300 euros de prélèvements par la SFAM post-demande de résiliation) Quant à Pacifica, j'y ai souscrit chez LCL, résultat après trois mois d'appels chez ces gens qui renvoient lachement vers les banquiers, puis inversement une fois à la banque. On m'a dit de faire certains trucs (attestation écrite par mail que je n'avais plus besoin de ce contrat); une fois fait, on me dit que ça ne se résilie pas comme ça, et qu'ils doivent avoir le contrat d'assurance habitation de mon colloc (qui assure la maison) et une preuve me liant à son contrat. Ayant été pris pour un imbécile, je n'ai pas suivi ces instructions, n'ayant pas envie d'alimenter ce processusou quelqu'un viendra ensuite me demander pour la next step d'aller quérir sa signature au roi du maroc pour finaliser la résiliation. Comme ma mère, j'ai fait opposition aux virements, la banquière m'ayant dit que l'assurance résilierait le contrat une fois cela fait. Résultat, me conseillère me dit en fait ensuite que moi et ma mère nous exposons à recevoir d'ici quelque mois (années?) des sommes abusées à payer, c'est à dire tous les prélèvements précédents auxquels nous aurons fait opposition. Elles fonctionnent toutes pareil, c'est triste et ce qui est le plus triste est que cela soit légal. Le patron de la SFAM est d'ailleurs un tunisien anciennement spécialisé dans les appels surtaxés... Oupsi </t>
  </si>
  <si>
    <t>14/02/2020</t>
  </si>
  <si>
    <t>glev-90912</t>
  </si>
  <si>
    <t>Je viens de passer 45 minutes au téléphone pour déclarer un sinistre, sans internet c'est moins facile de déclarer en ligne, lorsque j'ai réussi à avoir un opérateur elle a raccroché, elle n'entendait pas... bien sur on ne m'a pas rappelé....
Heureusement le second appel 30 minutes d'attente, j'ai eu une charmante personne...</t>
  </si>
  <si>
    <t>yamh77-124172</t>
  </si>
  <si>
    <t>Tarif abordable, service client zéro. Faite attention quand vous avez des sinistres y compris quand vous n'est pas en tort. Appeler l'assurance constamment si vous voulez que le dossier avance.</t>
  </si>
  <si>
    <t>toussaint-s-110493</t>
  </si>
  <si>
    <t xml:space="preserve">satisfait de l'accueil et du service rendu lors de mon appel à l'Olivier.  information claire et bonne disponibilité des personnes. cordialement,
M.Toussaint
</t>
  </si>
  <si>
    <t>15/04/2021</t>
  </si>
  <si>
    <t>isa-92308</t>
  </si>
  <si>
    <t>j'attends de voir le montant définitif et si il correspond à mes besoins. Satisfaite de la rapidité pour recevoir les infos c'est très très pratique merci</t>
  </si>
  <si>
    <t>taxi11-116195</t>
  </si>
  <si>
    <t>Suite à mon appel téléphonique, je suis satisfait de cet échange avec Emeline.
Courtoise, claire dans ses propos.
Très bonne interlocutrice, ce qui n'est hélas pas toujours le cas.</t>
  </si>
  <si>
    <t>bennkaba-63920</t>
  </si>
  <si>
    <t>Compagnie à éviter absolument car j'ai eu un dégât des eaux non responsable depuis octobre 2017 et je n'ai toujours été dédommagé. C'est moi qui appelle toujours la compagnie et non l'inverse</t>
  </si>
  <si>
    <t>11/05/2018</t>
  </si>
  <si>
    <t>sixto-60698</t>
  </si>
  <si>
    <t>Beneficiaires de l assurance de notre grand mere, cet etablissement a quasiment mis un an a nous payer. Ils n ont jamais entrepris de nous retrouver, sinon cela aurait mis encore plus de temps.</t>
  </si>
  <si>
    <t>22/01/2018</t>
  </si>
  <si>
    <t>clientdecu-c-110531</t>
  </si>
  <si>
    <t xml:space="preserve">Ma mère est très âgée  "Surprise" son contrat a changé avec Via Santé. Ce nouveau contrat aujourd'hui ne reprends pas l'aide à domicile qui aurait pu faire relai avec assistance du conseil départemental. 
 Elle a été récemment hospitalisé avec une période d'impotence à sa sortie de rééducation. 
Assurée depuis la création de force Sud et bien plus en amont (ancienne infirmière) Je trouve regrettable ce mépris du service à la personne et le non respect de la continuation du contrat   </t>
  </si>
  <si>
    <t>pollux-99626</t>
  </si>
  <si>
    <t xml:space="preserve">Catastrophe! Enfer! Juste horrible!
9 mois après le sinistre dont j’en étais pas responsable et après le remboursement du véhicule j’ai reçu un courrier de leur part comme quoi je dois 6000e de frais de gardiennage car mon véhicule est toujours dans le garage...
Personnel tellement incompétent qu’en moment donné vous comprenez qu’ils se foutent ouvertement de votre guele...
Ils m’ont fait vivre un enfer sur terre!
</t>
  </si>
  <si>
    <t>luca-62470</t>
  </si>
  <si>
    <t>debut fevrier 2018,j'ai arrèté  mon assurance auto conformément ,a l'article L113,15-2 du code des assurances par LRA. tous les jours je reçois un mail avec frais de retard ,mensualités non réglés etc..;alors que je suis a jour.ils se foutent de nous!!!je transmets le dossier au médiateur des assurances</t>
  </si>
  <si>
    <t>19/03/2018</t>
  </si>
  <si>
    <t>mouchard-m-113792</t>
  </si>
  <si>
    <t>je suis satisfait du service rendu par téléphone conseiller compétant et à l'écoute 
répondu à toutes mes questions 
pour la signature électronique trés simple également</t>
  </si>
  <si>
    <t>15/05/2021</t>
  </si>
  <si>
    <t>dalila-96782</t>
  </si>
  <si>
    <t xml:space="preserve">Allianz de Pontoise a été très réactif à ma demande et est le moins cher en formule tous risques jeunes conducteurs de la commune de Pontoise (banques comprises). </t>
  </si>
  <si>
    <t>28/08/2020</t>
  </si>
  <si>
    <t>y-a-89659</t>
  </si>
  <si>
    <t>Service client non rendu malgré plusieurs relance</t>
  </si>
  <si>
    <t>15/05/2020</t>
  </si>
  <si>
    <t>berdai-81390</t>
  </si>
  <si>
    <t>Suite à une demande de remboursement, j'ai eu un excellent accueil téléphonique de la part de Caroline avec une réponse immédiate, adaptée à ma demande</t>
  </si>
  <si>
    <t>27/11/2019</t>
  </si>
  <si>
    <t>maxime--104720</t>
  </si>
  <si>
    <t xml:space="preserve">Bonjour je viens de prendre une souscription pour ma moto neuve une KTM 390cc,j’ai 22€ de plus par mois!!!par rapport à un ami motard, qui est assuré aussi chez Axa, pour les mêmes conditions les mêmes options, nous avons également la même ancienneté,50% de bonus, une autre moto assurée chez eux...la sienne a une valeur supérieure à la mienne, c’est une Suzuki 1000cc.
Soit disant que les Ktm sont plus volées...plus accidentées!!!!
Comparer les assurances avant de prendre une souscription chez EUX.
Cordialement 
</t>
  </si>
  <si>
    <t>lilian-b-112719</t>
  </si>
  <si>
    <t xml:space="preserve">Le service est très rapide, et connaissant April je fait entièrement confiance pour l’assurance de mon 2 roues, le seul petit bémol reste le prix qui a mon goût est un peut élevée </t>
  </si>
  <si>
    <t>sougtani-i-138118</t>
  </si>
  <si>
    <t>Je suis satisfait du contrat cela a etais très simple et rapide, les prix sont beaucoup moins chère que mon ancienne assurance 
Les prix me conviennent 
Simple et efficace</t>
  </si>
  <si>
    <t>23/10/2021</t>
  </si>
  <si>
    <t>nicolas-b-122233</t>
  </si>
  <si>
    <t>Vous nous imposez des démarches par téléphone alors que ces mêmes démarches se font par courrier ou courriel.
Merci de ne pas nous faire perdre du temps et de l'argent.</t>
  </si>
  <si>
    <t>worldnews-101057</t>
  </si>
  <si>
    <t>UN PRESTATAIRE A EVITER
Nous sommes assures chez l'olivier depuis 4 ans pour un premier véhicule et 2 ans pour un second vehicule. Nous avons essuyé un accident non responsable, la gestion du sinistre a été calamiteuse sur pres de 9 mois. Les tarifs sur 2020 ont augmenté de plus de 20% alors que la profession a enregistré une baisse des sinistres (confinement) et une baisse des primes d'assurance de la part des concurrents. Mais chez l'olivier c tout le contraire..Une assurance qui prefere utiliser le telephone a son avantage plutot que le courrier...Nous ne recommandons pas cette assurance au risque de vous faire perdre du temps et de l'argent</t>
  </si>
  <si>
    <t>ingrid-p-127921</t>
  </si>
  <si>
    <t xml:space="preserve">Bien pour le moment. Niveau prix une baisse serait bien pour les jeunes permis et les conseillers sont à l’écoute. A voir par la suite .
Cordialement , </t>
  </si>
  <si>
    <t>jenysmile-85759</t>
  </si>
  <si>
    <t>Bonjour
En ce qui me concerne j'ai eu un accident non responsable et tout s est bien passé je n'ai rien au à régler et ma voiture a été réparée alors que je suis assurée seulement en tiers confort
Par contre je constate aujourd hui en recevant mon avis d echeance que le tarif a beaucoup augmenté
J ai payé 311.59 euros en 2018 puis 344.37 euros en 2019 et là il m'annonce un tarif de 412.89 euros alors que mon bonus a augmenté de 28 pourcent à 36 pourcent
INCOMPRÉHENSIBLE !!! 
Je cherche dès aujourd hui un nouvel assureur !!</t>
  </si>
  <si>
    <t>syldu33-77182</t>
  </si>
  <si>
    <t>Client pour moto et auto. Très satisfait de mon assureur. Je recommande vivement AMV.</t>
  </si>
  <si>
    <t>27/06/2019</t>
  </si>
  <si>
    <t>juluis733-49900</t>
  </si>
  <si>
    <t xml:space="preserve"> 40 ans de fidélité sans le moindre problème :il y a 6 mois on ma voler beaucoup de chose dans mon camping-car </t>
  </si>
  <si>
    <t>dejaeghere-l-137651</t>
  </si>
  <si>
    <t>Pour le moment tout va bien
A voir dans le futur et surtout quand il y aura un problème à régler .
Le prix est très compétitif j’attend de voir le service!</t>
  </si>
  <si>
    <t>cathy93-127818</t>
  </si>
  <si>
    <t xml:space="preserve">ATTENTION!!!!!!
Assurance pas chère mais qui coûte chère lors d'un sinistre
Lisez toutes les lignes sur votre contrat, même les plus petites
Si vous posez des questions à l'opératrice, relisez bien le contrat des conditions générales de l'assurance, 66 pages c'est long mais important. Elle ne vous dit pas tout, même en lui posant les bonnes questions
J'ai eu un accrochage récemment, en tort, je m'assois sur une franchise 1500 €, je n'ai jamais vu une franchise aussi chère. Bref, je n'avais qu'à bien lire mon contrat;
</t>
  </si>
  <si>
    <t>jose-f-127315</t>
  </si>
  <si>
    <t xml:space="preserve">Très bien. J ai demandé un devis via Facebook une personne très gentille à pris en charge mon dossier.
Bonne relation avec les clients.
Rien à redire. </t>
  </si>
  <si>
    <t>peyo-71596</t>
  </si>
  <si>
    <t>Démarchage téléphonique arrogant... Juste poli pour obtenir le RIB afin de finaliser la proposition sans délai de réflexion et depuis début novembre....toujours pas rembourser d'une consultation médecin....leur service me demande une facture du médecin....juste pour me faire tourner en rond... Fuyez cette mutuelle!!!!!</t>
  </si>
  <si>
    <t>23/02/2019</t>
  </si>
  <si>
    <t>m-vatrinet-85422</t>
  </si>
  <si>
    <t>Bonne prise en charge lors d'une panne, choix du garage. Rien à redire. Choix horaire du rapatriement par taxi.</t>
  </si>
  <si>
    <t>05/01/2020</t>
  </si>
  <si>
    <t>kalikali-80116</t>
  </si>
  <si>
    <t xml:space="preserve">Bonjour à tous,
Je tiens juste à dire merci à Madame Caroline qui a su répondre à mes questions en seulement quelques minutes après avoir passer quasiment 48h de recherches, d'appels par ci par la sans réponse mais Caroline a su y répondre Encore merci à elle. </t>
  </si>
  <si>
    <t>kawa-57-137628</t>
  </si>
  <si>
    <t xml:space="preserve">Amv tout comme amv passion, permettent d'être très compétitifs côté tarif, pas encore d'avis sur la prise en charge sinistre mais pas de surprise pour la prise en charge client assez rapidement ,je recommande pour conducteur avec quelques années surtout pour véhicule de collection ! </t>
  </si>
  <si>
    <t>17/10/2021</t>
  </si>
  <si>
    <t>myriam-94440</t>
  </si>
  <si>
    <t xml:space="preserve">C est clair rapide et précis mais pas d offre commerciale pour les nouveaux clients c est dommage des offres commerciales et promo seraient les bienvenues </t>
  </si>
  <si>
    <t>fatima-s-122347</t>
  </si>
  <si>
    <t xml:space="preserve">Je suis satisfaite du service, le fait que tout se fasse en ligne est un vrai plus. Concernant le prix, celui ci est plus intéressant par rapport à l'assurance proposé par ma Banque. À voir pour la suite. </t>
  </si>
  <si>
    <t>mehdi-b-113766</t>
  </si>
  <si>
    <t>les prix sont interessant, souvent parmi les moins cher, une légère flexibilité est constaté également. cette assurance m'a été recommandé par ami, et je n'hésite pas à la recommander à mon tour</t>
  </si>
  <si>
    <t>nicole-56304</t>
  </si>
  <si>
    <t>ils ont renouveler le contrat habitation a ma fille alors qu'on avait signer que pour 1 an.j'ai envoyée un simple courrier à la macif de montaigu,il a passer a la poubelle.En plus il prélève sur sur mon compte.la macif ne veux pas résilier le contrat n'13842459</t>
  </si>
  <si>
    <t>26/07/2017</t>
  </si>
  <si>
    <t>florette-135097</t>
  </si>
  <si>
    <t xml:space="preserve">allianz trouve systématiquement une parade pour ne pas avoir à rembourser . independamment d'un formalisme et d'un accueil très germanique c'est à dire désagréable.
on a l'impression d'etre coupable et de faire une déposition devant la police.
A éviter absolument
</t>
  </si>
  <si>
    <t>bruno-d-123672</t>
  </si>
  <si>
    <t>Tres bon service 
Sousription facile a faire en ligne pour mon assurance Habitation.
A souhaiter que les services futurs soient de la même qualité.
Bruno D.</t>
  </si>
  <si>
    <t>17/07/2021</t>
  </si>
  <si>
    <t>julia-r-125032</t>
  </si>
  <si>
    <t xml:space="preserve">Simple et efficace, je n'ai jamais eu de soucis avec direct assurance, même si je n'ai jamais eu d'accident ni de pannes, cependant le service client a répondu présent quand j'en ai eu besoin. </t>
  </si>
  <si>
    <t>annie-m-110285</t>
  </si>
  <si>
    <t>Pas de souci, le contrat se déroule bien et le service est rendu, qualité/prix correct, pas de reproche à vous faire (donc pas besoin de 150 caractères pour écrire cet avis)</t>
  </si>
  <si>
    <t>louis-philippe-s-117270</t>
  </si>
  <si>
    <t>Je suis satisfait du service
Je service téléphonique est agréable et efficace
Les informations fournies sont claires et précises
Il faudrait revoir la signature du document qui n'est pas très clair</t>
  </si>
  <si>
    <t>abdenour-i-112770</t>
  </si>
  <si>
    <t>Satisfait des prix et des outils comme l'application, je déplore hélas un manque de réactivité suite à demande à être contacté par un conseillé qui m'a par exemple laissé en attente de plus d'un mois en l’occurrence :s</t>
  </si>
  <si>
    <t>haudebert-59575</t>
  </si>
  <si>
    <t>le 13 /11 /17 j envoyai par courier un document date signer poue le versement de 150 euros suite a un sinistre datant du 25/2/17. un mois apres je suis toujours sans nouvelles malgres plusieurs mails et courrier vriment navrant j etais pres a souscrire un nouveau contrat mais la je vais aller voir ailleur sinistre no 20117349709</t>
  </si>
  <si>
    <t>11/12/2017</t>
  </si>
  <si>
    <t>fj-98948</t>
  </si>
  <si>
    <t xml:space="preserve">Je suis extrêmement satisfait de mon assurance AXA Auto. Ce qui fait la différence, c'est que j'ai souscrit mon contrat dans une agence et non pas en ligne. L'agence fait toute la différence (Agence de Locmiquelic 56 - au top). J'ai déménagé mais je reste chez eux.  J'ai assuré 2 voitures et ai subi un vol. Traitement rapide et efficace. Valeur a dire d'expert supérieure à mes attentes. RAS. </t>
  </si>
  <si>
    <t>caridade-barroso-c-122577</t>
  </si>
  <si>
    <t xml:space="preserve">je suit tres satisfait du service de la qualite de ce service et aussi du prix et l acconpagnement que j ai eu au telephone avec l olivier assurance   </t>
  </si>
  <si>
    <t>06/07/2021</t>
  </si>
  <si>
    <t>lkpkev-91718</t>
  </si>
  <si>
    <t xml:space="preserve">Les prix et l'offre me conviennent, je souhaite percevoir un devis en ligne avant de prendre ma décision et de souscrire définitivement à l'offre d'assurance. </t>
  </si>
  <si>
    <t>james-70694</t>
  </si>
  <si>
    <t xml:space="preserve">Bonjour 
Je reconnais que la MAAF ce n est Pas vraiment l assurance que je préfère sauf avis contraire apres comparaison 
Je recherche des conditions générales auto de 1997 car je voudrais les comparer à maintenant
si quelqu un les as je suis preneur 
Merci à tous </t>
  </si>
  <si>
    <t>28/01/2019</t>
  </si>
  <si>
    <t>4mean-123902</t>
  </si>
  <si>
    <t>Ne vous fiez pas aux commentaires comme je l'ai fait il y a de cela quelques mois. Magnolia m'a proposé un contrat n'ayant pas les mêmes garanties que mon assureur actuel (assurance emprunteur). Ils ont commencé à me prélever sans m'informer et sans avoir eu un retour positif de la part de mon assureur acceptant leur proposition. Cela fait des mois que j'essaye d'annuler le contrat. Ils m'obligent à aller vers une procédure longue de réclamation, tout en continuant à me prélever. 
A cause de Magnolia, j'ai perdu mon temps, je n'ai pas pu changer d'assurance et enfin je paye cette assurance en double!!
J'ai jamais vu un tel comportement envers des clients. Je ne recommande absolument pas Magnolia.</t>
  </si>
  <si>
    <t>bernard-r-112866</t>
  </si>
  <si>
    <t xml:space="preserve">Je suis globalement satisfait, mais je ne trouve pas les conditions générales de l'assurance auto, les demandes sont surprenantes - 5 photos du véhicule -
Le conseiller est très sympathique et d'une aide précieuse. </t>
  </si>
  <si>
    <t>buisson-55768</t>
  </si>
  <si>
    <t>On a été cambriolé dans un camping car de location assuré par la Macif, en plus du matériel volé et le préjudice moral on nous réclame une franchise de 1 200€ !</t>
  </si>
  <si>
    <t>03/07/2017</t>
  </si>
  <si>
    <t>arthus-71812</t>
  </si>
  <si>
    <t xml:space="preserve">Metlive refuse de me rembourser les sommes de 1895.49  et 854.57  payées en 2010 au titre d'avance de 1 an pour l'assurance de mon crédit immobilier. Prélèvements sans contrat ni accord. Des clauses d'exclusion abusive. </t>
  </si>
  <si>
    <t>02/03/2019</t>
  </si>
  <si>
    <t>jeremy-a-126484</t>
  </si>
  <si>
    <t>Je suis satisfait de facilité de souscriptions votre assurance et du prix de votre assurance qui est très attractif sur le marché des assurances en ligne</t>
  </si>
  <si>
    <t>bilou-66702</t>
  </si>
  <si>
    <t>Encore du démarchage mensonger, par le courtier Mutuali, toujours les mêmes techniques employées.
une présentation comme un organisme étant soit disant mandaté par l'état, Néoliane fait appel à des sociétés de courtage qui font du démarchage téléphonique agressif, en essayant de conclure le contrat par téléphone</t>
  </si>
  <si>
    <t>08/09/2018</t>
  </si>
  <si>
    <t>daga-50131</t>
  </si>
  <si>
    <t>Aucun service - obtenir une réponse quand on est client est une lutte incessante</t>
  </si>
  <si>
    <t>10/12/2016</t>
  </si>
  <si>
    <t>pauline-96220</t>
  </si>
  <si>
    <t>Je suis assez déçu de mon assurance car à la réception de mon nouvel echeancier, ma mensualité a été augmenté de 5€ alors que je n'ai pas eu de sinistre et que mon bonus a augmenté...
Je recherche une autre assurance</t>
  </si>
  <si>
    <t>12/08/2020</t>
  </si>
  <si>
    <t>laulau4729-65809</t>
  </si>
  <si>
    <t>J ai soucrit l assurance vie allianz il y a quelqies annees suite a un heritage. J ai place une ceraine somme . Il se trouve qu aujoyrd hui he voudais retirer 500 euros mais je ne peux pas car je n ai que 4400 euros dessus</t>
  </si>
  <si>
    <t>27/07/2018</t>
  </si>
  <si>
    <t>lionel-g-124020</t>
  </si>
  <si>
    <t>excellent service et accueil
les conseillers sont au top  très compétents et accueillants 
les prix et les services sont très bien
je suis très content de la GMF</t>
  </si>
  <si>
    <t>carpediem49-75740</t>
  </si>
  <si>
    <t>En premier il convient d' établir que Santiane n est pas un assureur, mais un CABINET DE COURTAGES. J' ai eu au téléphone un excellent accueil, un vendeur très aimable, se laissant  le
temps de m' expliquer en détails un devis qui paraissait convenir. J' aurais pu me laisser séduire par l' offre, MAIS...je suis d' un naturel méfiant et à la fin de notre conversation il m' a été demandé mes coordonnées bancaires... pour le devis... je dois dire que là j' ai  fait marche arrière  et demandé à être rappelée ultérieurement ! Je me suis également rendue compte que ce contrat prévoyait une assurance décès accident dont je
n' ai nul besoin (double emploi). J' ai donc à ce jour refusé l' offre qui m' a été faite et effectuerai mes recherches seule sans comparateur !</t>
  </si>
  <si>
    <t>09/05/2019</t>
  </si>
  <si>
    <t>sandrine28-69717</t>
  </si>
  <si>
    <t>Je suivais un camion avec mon automobile et ce dernier a projeté pleins de cailloux sur mon véhicule car on passait à proximité d'un chantier...
Résultat : les deux optiques de phares avants cassés, le pare-choc avant et le capot rayés.
Je suis assuré "tous risques" à la Maaf depuis des années et j'ai assuré plusieurs véhicules chez eux, AUCUN SINISTRE CHEZ EUX.
Mon véhicule est passé chez Mondial Pare brise pour voir les réparations à faire et la Maaf refuse d'indemniser. 
L'expert est venu et il était tellement agressif que l'on aurait dit qu'il travaillait pour la Maaf, je ne vous cache pas qu'il a refusé de faire les réparations.
Les conditions générales de la Maaf stipulent bien que en formule tous risques les optiques de phares avant sont pris en charge.
Si la Maaf m'adresse une réponse négative en finale, je n'hésiterai pas à saisir men avocate et faire une contre-expertise avec un expert de mon choix. Je demanderai des dommages et intérêts car le véhicule était immobilisé.</t>
  </si>
  <si>
    <t>27/12/2018</t>
  </si>
  <si>
    <t>jean-claude-m-128201</t>
  </si>
  <si>
    <t>prix compétitifs informations simples et site est convivial pas de surprise transparence des informations bonne réputation de la compagnie d'assurance</t>
  </si>
  <si>
    <t>16/08/2021</t>
  </si>
  <si>
    <t>fil-124417</t>
  </si>
  <si>
    <t>Mon unique dégât des eaux (2000€ de dommages) en 20 ans d'affiliation n'a pas été indemnisé, malgré mon absence totale de responsabilité et une procédure de réclamation (j'ai tout essayé sauf le procès).
Comptez sur Groupama pour trouver tous les stratagèmes et diversions possibles afin de laisser pourrir et ne jamais indemniser ni assister l'assuré.</t>
  </si>
  <si>
    <t>Groupama</t>
  </si>
  <si>
    <t>alainbobi01--101692</t>
  </si>
  <si>
    <t xml:space="preserve">Toujours disponible pour les moindres détails et renseignements très aimable au téléphone comme à l accueil une fois ils ont fait une erreur et il l on reconnu aussitôt </t>
  </si>
  <si>
    <t>20/12/2020</t>
  </si>
  <si>
    <t>jean-129472</t>
  </si>
  <si>
    <t>J'ai toujours obtenu une réponse de qualité.
Les documents sont fournis en temps et en heure.
Une bonne qualité d'écoute et une recherche de résolution de problèmes ou explication.</t>
  </si>
  <si>
    <t>lilou-71045</t>
  </si>
  <si>
    <t xml:space="preserve">Depuis mon premier appartement, je choisis Allianz comme assureur habitation et je n'ai jamais été déçue.  </t>
  </si>
  <si>
    <t>07/02/2019</t>
  </si>
  <si>
    <t>koubabi-k-127425</t>
  </si>
  <si>
    <t>L'Olivier Assurance possède des prix raisonnable et un service client disponible et super sympa. Je recommande.. 
Les démarches sont rapides et efficaces</t>
  </si>
  <si>
    <t>alexfrz-59173</t>
  </si>
  <si>
    <t>Cela fait presque un an que je suis assuré pour mon scooter Satelis. J'ai eu malheureusement un accident (je suis à 0% en tord). J'amène donc mon scooter dans un garage afin qu'il soit expertisé. Il y a (d'après le garage) un peu plus de 400 euros de dégâts. L'assurance envoie donc un "expert" (BCA Expertise pour les plus curieux) afin d'étudier le cas. SURPRISE!!!! Le mec repart du garage pour dire qu'il y a seulement 250 euros pris en charge....
Je suis donc actuellement en train de rouler avec un scooter dont le carénage peut tomber à tous moment. Il m'ont seulement rembourser (d'après eux le nécessaire) à savoir un rétroviseur, une écope (Satelis K15), et quelques petites pièces.
Par contre pour vous prendre de l'argent, je crois que je n'ai jamais vu plus rapide qu'eux. 
Donc, pour tous ce qui est sinistre, aller voir ailleurs vous aurez mille fois mieux.</t>
  </si>
  <si>
    <t>28/11/2017</t>
  </si>
  <si>
    <t>barbaral-101040</t>
  </si>
  <si>
    <t xml:space="preserve">j'ai été assurée pendant quelques années chez l'Olivier, sur plusieurs véhicules, et j'étais satisfaite jusqu'à mon dernier contrat. Conseillers téléphoniques disponibles et agréables, prix corrects. Cependant j'ai déchanté sur mon dernier contrat. Mauvaise communication entre les différents services de l'Olivier (souscription, fichier client, comptabilité...) qui m'a créé de nombreux soucis sur mon dernier contrat. Augmentation de mon contrat d'une centaine d'euros à l'année car les données communiquées par tel à la souscription n'étaient pas exactes (Mon contrat a été augmenté lorsque j'ai envoyé mon relevé d'info provenant de l'Olivier. Les infos étaient donc en leur possession. J'ai souscrit par tel justement en pensant que la conseillère se baserait sur son fichier client pour me donner d'emblée le bon prix avec les bonnes infos. Les seules infos que l'Olivier n'avait pas étaient un accident non responsable de mon conjoint, que j'ai fait assurer comme 2ème conducteur), puis  quelques mois plus tard, résiliation sous 10 jours car j'ai eu le malheur de demander un nouveau devis pour le même véhicule pour être assurée lors de tournées à domicile en tant qu'auxiliaire de vie. Ces tournées augmentaient mon risque de sinistre... Bref, une assurance que l'on souscrit pour le prix, mais dont on revient vite. De plus, je suis assurée depuis plus de 10 ans chez ce genre d'assureur low cost et je me rends compte que malgré le fait de n'avoir jamais déclaré un seul sinistre, mon bonus n'évolue que très lentement et quand je demande des explications sur la politique de l'Olivier, je n'ai jamais de réponse. Je soupçonne donc que les bris de glace soient considérés comme un sinistre chez ce genre d'assureur puisque ce sont les seuls sinistres que j'ai déclaré depuis 2007 et pourtant je n'ai que 0,60 de bonus à ce jour. Dorénavant je payerai mon assurance un peu plus cher, mais pour plus de transparence et un service qui couvre vraiment tous mes besoins. </t>
  </si>
  <si>
    <t>nicolas-a-115342</t>
  </si>
  <si>
    <t>parfait pour mon utilisation tres limitée avec les garanties minimum 
en esperant ne pas avoir a les utiliser dans l'avenir comme toutes les assurances !!!</t>
  </si>
  <si>
    <t>alexandra-99886</t>
  </si>
  <si>
    <t xml:space="preserve">Avis positif; un bon contact J'ai eu des réponses à toutes mes questions voir plus, rien à dire de plus.
 </t>
  </si>
  <si>
    <t>09/11/2020</t>
  </si>
  <si>
    <t>liv-114290</t>
  </si>
  <si>
    <t>la pire des assurances en cas de sinistres remboursement à peine de 50 pourcent des dommages après 18 mois de procédure accompagné d'un expert indépendant  sans parler des contrats sur la perte d'exploitation axa la plus grande absente sauf au tribunal avec des condamnations à répétitions pendant qu'ils distribuent plus de 3.5 milliards aux actionnaires axa une assurance qui ne respecte pas ses contrats sauf au tribunal surtout qui en a strictement rien à faire  du client après 25 ans de fidélité vous êtes uniquement un numéro pour engorger plus de bénéfice au détriment des sinistres non indemnise il vous suffit de constater les procédures judiciaire contre axa avec les 15000 contrats souscrits</t>
  </si>
  <si>
    <t>cat-86515</t>
  </si>
  <si>
    <t>Je mets une étoile car je ne peux pas mettre en dessous ce que j'aurai fait. Même avec la protection juridique sérénité à 22 euros par mois (qui ne concerne pas la voiture, là il faut encore payer en plus) cette assurance ne gère pas correctement les litiges. Je déconseille la Maif, actuellement je prospecte pour une autre assurance, le CA a l'air pas mal. Chaque fois à la maif on doit raconter et raconter encore le problème qui nous concerne car on n'a jamais le même interlocuteur. Quand on demande un rendez vous on a affaire à un fantôme, en mai j'avais un rendez vous à Saint Quentin en Yvelines mais personne pour me recevoir. LAMENTABLE !</t>
  </si>
  <si>
    <t>30/01/2020</t>
  </si>
  <si>
    <t>jousset-g-113685</t>
  </si>
  <si>
    <t>Les prix sont attractifs, je ne peux donner un avis plus global sur les prestations complémentaires pour le moment, le contrat étant trop récent. Mais je compte rapatrier d'autres véhicules chez L'Olivier.</t>
  </si>
  <si>
    <t>14/05/2021</t>
  </si>
  <si>
    <t>gh59--91769</t>
  </si>
  <si>
    <t>Neoliane et FFA appartient aussi à generali donc toujours prendre garde à tout ce qu’on fait j’ai fait des devis de mutuelle le courtier a voulu me berner en me disant pas la vérité par mes recherches j’ai trouvé</t>
  </si>
  <si>
    <t>02/08/2020</t>
  </si>
  <si>
    <t>jn-60749</t>
  </si>
  <si>
    <t>Très mauvais, injoignables ni par telephone ("rappelez ulterieurement"), ni par mail (pas de réponse), ni par fax.
Mutuelle imposée par l'entreprise, au bout de trois semaines toujours pas de carte, pas de codes internet, aucune communication possible</t>
  </si>
  <si>
    <t>23/01/2018</t>
  </si>
  <si>
    <t>annie-108397</t>
  </si>
  <si>
    <t>Bonjour j'ai contacté le service client concernant mon nouveau contrat 
accueilli au téléphone par Pape :un très bon contact ,des renseignements pertinents et très réactif
J'espère être aussi satisfaite lors de mes remboursements
Cdlt</t>
  </si>
  <si>
    <t>mounir--g-128251</t>
  </si>
  <si>
    <t>Je suis satisfait du service les prix me conviennent dommage que le vandalisme ne soit pas en option. Merci pour le service lllllllllllllllllllllllllllll</t>
  </si>
  <si>
    <t>meline-r-127586</t>
  </si>
  <si>
    <t xml:space="preserve">Très bon accompagnement des conseillers, simple et rapide. De plus, des prix très attractifs pour les couvertures adéquates à mes besoins. Assureur à recommander. </t>
  </si>
  <si>
    <t>fabien-c-116955</t>
  </si>
  <si>
    <t xml:space="preserve">je sui très satisfait de mon assurance auto, niveau prix cela est correct et niveau relation client il est présent je n'ai jamais eu aucun problème avec eux </t>
  </si>
  <si>
    <t>14/06/2021</t>
  </si>
  <si>
    <t>devie-c-128281</t>
  </si>
  <si>
    <t>Bon prix et assez simple a effectué , bon accueil , très courtois ! Je recommanderai facilement a des amis ou a la famille , le cas échéant ! Je compte prochainement y assurer d'autres véhicules !</t>
  </si>
  <si>
    <t>aucun-101591</t>
  </si>
  <si>
    <t xml:space="preserve">Le bureau de limoges en haute vienne dont je dépends est très accueillant .J'ai eu affaire à un monsieur très gentil et  compétant.
J'ai eu aussi une  responsable le de l'agence de Blois très sympathique et arrangeantes. arrangeantes
  </t>
  </si>
  <si>
    <t>daniel-f-117951</t>
  </si>
  <si>
    <t>Je ne peux pas donner d'avis concernant l'assurance en elle-même, car je viens juste de souscrire, mais, je suis satisfait des tarifs par rapport au contrat. J'ai déjà était chez direct assurance dans le passé pour mon assurance voiture et je n'avais pas été déçu.</t>
  </si>
  <si>
    <t>23/06/2021</t>
  </si>
  <si>
    <t>barbouille95-72215</t>
  </si>
  <si>
    <t>une assurance à éviter à tout prix. problèmes sur les remboursements, tarifs chers je ne recommande absolument pas cette assurance</t>
  </si>
  <si>
    <t>16/03/2019</t>
  </si>
  <si>
    <t>benji64121--110481</t>
  </si>
  <si>
    <t>Victime de leur part pour sois disant fausse declaration, obligée de régler  quand meme l'année en cours malgré la résiliation du contrat et pour compléter irradiés de toutes assurances ,très mal saint. Je pense que les autorités competente seront êtres aussi impartial media compris .</t>
  </si>
  <si>
    <t>john-a-124755</t>
  </si>
  <si>
    <t xml:space="preserve">RAPIDE ET CLAIR LES TARIFS SONT CORRECTS ; je valide ma demande de souscription aupres de votre service. Gestion en ligne simplet et rapide pour une demande </t>
  </si>
  <si>
    <t>patrice-n-109962</t>
  </si>
  <si>
    <t>très satisfait des services- pratique et simple d'utilisation- contact rapide aimable et tres professionel meme par téléphone pour tout renseignements.</t>
  </si>
  <si>
    <t>calou-75314</t>
  </si>
  <si>
    <t>En octobre 2018 je demande la liquidation de mon contrat , arrivant à l'âge de la retraite au 1er décembre. Etant averti que les versements se font par trimestres, j'attends tranquillement... Mi mars je reçois un dossier de demande de liquidation... donc plus de 4 mois après ma première demande, dossier réexpédié le jour même par voie postale, La Mondiale ne prenant pas en charge les documents numériques... A ce jour pas de nouvelles et c'est pas faute de tenter de les joindre ! Un premier versement aurait du se produire au 1er avril (ce n'est pas un poisson) à ce jour RAS !
Donc, si vous souhaitez choisir une société qui à la lenteur d'un escargot, ne répond pas aux mails, donne des réponses téléphoniques évasives, choisissez La Mondiale !
J'y pense, ils n'ont pas une équipe cycliste qui va participer au tour de France ? Va falloir doubler la capacité de la voiture balai si elle est le reflet de son sponsor !</t>
  </si>
  <si>
    <t>24/04/2019</t>
  </si>
  <si>
    <t>irridia-86871</t>
  </si>
  <si>
    <t>Dans le cadre d'une succession il est quasi impossible de récupérer les fonds par les bénéficiaires dans les délais légaux de 30 jours mentionnés dans le contrat une fois toutes les pièces nécessaires envoyées.
L'envoi de 3 courriers RAR est resté sans réponses. Sur les courriers de demande des pièces à fournir est mentionné un minimum d'informations mais surtout ne figure aucun nom de personne à contacter, aucune adresse mail et aucun numéro de téléphone. A croire que Generali n'a pas de service relations clients. 
La seule solution pour recevoir les fonds finit par être une demande d'intervention du médiateur des assurances pour demander l'application de l'article L 132-23-1 du code des assurances pour obtenir le versement du capital accompagné des pénalités de retard prévues par la loi. C'est l'étape où nous sommes arrivés.
Vu la situation je ne peux recommander de mettre fin à tout contrat d'assurance vie Genérali si vous voulez que vos enfants n'aient pas à galérer pour récupérer ce qui leur est du après votre décès. Il y a des assurances vie beaucoup mieux organisées pour répondre aux demandes après décès.</t>
  </si>
  <si>
    <t>08/02/2020</t>
  </si>
  <si>
    <t>bolo62970-65571</t>
  </si>
  <si>
    <t>pour l instant tout est parfait je recommande sans modération,</t>
  </si>
  <si>
    <t>18/07/2018</t>
  </si>
  <si>
    <t>michael75-49617</t>
  </si>
  <si>
    <t>J'ai lu les différents commentaires. Soit j'ai eu un peu de chance de ne pas avoir les problèmes listés dessous, soit l'entreprise à revu sa politique. Mon courtier ma conseillé cette entreprise, et le prix était intéressant. J'ai du appeler leur service 3 fois, avec une moyenne 3 à 5 minutes d'attente. Donc je pense qu'ils peuvent améliorer ce point, sinon RAS, je suis content. Je suis toujours sous contrat, donc je ne saurais dire si la résiliation est facile ou non.</t>
  </si>
  <si>
    <t>27/11/2016</t>
  </si>
  <si>
    <t>gio93300-117582</t>
  </si>
  <si>
    <t xml:space="preserve">Efficacité rapidité conseillère professionnelle et sympathique prix raisonnable 
Très satisfait je recommande sans hésiter pour une assurance auto ou autre </t>
  </si>
  <si>
    <t>bouche-r-115981</t>
  </si>
  <si>
    <t>Kilian a été très efficace et agréable pendant la gestion du contrat. Il a bien suivi les demandes adressés sur mon dossier "compliqué" (résiliation - création - transfet etc....).</t>
  </si>
  <si>
    <t>panda-104528</t>
  </si>
  <si>
    <t xml:space="preserve">matmut ne tient pas compte de preuves apportées par ses propres clients lors d'accident et préfère cautionner mensonge de la partie adversaire plutôt que de mener enquête et juger honnêtement. Fait l'aveugle malgré. MATMUT n'est plus l'assurance de confiance, juste et intègre. Nous Venons de résilier 3 contrats.
</t>
  </si>
  <si>
    <t>20/02/2021</t>
  </si>
  <si>
    <t>ancien26-85507</t>
  </si>
  <si>
    <t>Bonjour,
En février 2018, j'ai déclaré un accident de vélo pour mon fils impliquant un de ses camarades. Depuis cette date, la macif ma balade en me racontant tout et n'importe quoi pour gagner du temps. pire encore, l'une de leurs responsables a osé m'envoyer un courriel discourtois m'invitant de manière à peine voilée à aller me faire voir ailleurs?!!!.. .
Pour faire court et succinct, après plusieurs décennies de fidélité à cette assurance, je me rends compte qu'elle n'a plus rien à voir avec celle de l'époque.
Conseillers téléphoniques pour certains irrespectueux ou du moins un peu trop familiers, dossiers qui n'aboutissent jamais ou qui traînent en longueur, courriels et informations contradictoires, etc.. .
Je m'attends à ce que Pauline ou François viennent à ma rescousse pour m'expliquer ce que je sais déjà. Méthode Cauet dans toute sa splendeur.
Je leur ai posé un ultimatum au 20 janvier auquel cas, je résilierai tous mes contrats. Ma famille suivra.
Je ne ma fais aucune illusion à ce propos car ils n'ont cure des problèmes de leurs sociétaires et il n'y a qu'à consulter les nombreux avis déposés pour s'en convaincre.
Cordialement.</t>
  </si>
  <si>
    <t>mecheblonde-77210</t>
  </si>
  <si>
    <t xml:space="preserve">La CNP a perdu 5 dossiers d'héritiers adressés le 4 juin 2019. Il a été receptionné mais pas enregistré. Du jamais vu ! Tout est fait pour ne pas versé ce qui est du aux héritiers. </t>
  </si>
  <si>
    <t>28/06/2019</t>
  </si>
  <si>
    <t>senga-62508</t>
  </si>
  <si>
    <t>Vol de mon véhicule le 19 déc 2017. Retrouvé le 5  janvier 2018.  On est le 20 mars tjrs pas indemniser.  On est passé par tout avec la macif. Un cabinet privé  est venu à la maison pour ns poser des questions sur le vol de mon véhicule. Car la macif ne mettait en position de voleur. Honteux</t>
  </si>
  <si>
    <t>20/03/2018</t>
  </si>
  <si>
    <t>abdelouahab-z-125125</t>
  </si>
  <si>
    <t>Très surpris des tarifs et garanties..
je n'ai pas trouvé mieux!
j'éspere ne pas etre déçu comme je l'ai été avec mon assureur précédant après 10années de contrat.</t>
  </si>
  <si>
    <t>frida-55628</t>
  </si>
  <si>
    <t>Tant qu'il n'y a pas de problème tout va bien MAIS  si un conducteur MAIF casse (puis s enfui) la voiture d'un autre conducteur MAIF, la MAIF ne reconnaît pas les faits (casse et delit de fuite) pour ne pas dédommager la personne lésée</t>
  </si>
  <si>
    <t>valois-111867</t>
  </si>
  <si>
    <t xml:space="preserve">cliente depuis 1995 100 euros d 'augmentation sur mon assurance voiture? sans accidents les 3 dernieres années
après des  appels a l agence  baisse du prix si je prenais l'assurance maison !!du forcing
alors après 26 ans  je change  ainsi que ma famille  
</t>
  </si>
  <si>
    <t>cedric-a-112993</t>
  </si>
  <si>
    <t xml:space="preserve">je suis moynnement satisfait , tarif un peu cher pour un vehicule de 1999 , de plus pas moyen d'avoir une vignette provisoire rapidement pour le diposé sur le véhicule pour etre en regle </t>
  </si>
  <si>
    <t>mp-92856</t>
  </si>
  <si>
    <t>Plus de 7 mois nécessaires pour résilier un contrat alors que les justificatifs étaient fournis dès le début...Puis erreur de remboursement et à nouveau nécessité d'un contact téléphonique en haussant le ton pour régler le problème. Personnel en agence incompétent.</t>
  </si>
  <si>
    <t>christophe-h-131844</t>
  </si>
  <si>
    <t>UN RAPPORT QUALITE PRIX TRES CORRECT, A VOIR POUR LA QUALITE DES SERVICES ET DE LA RELATION EN FONCTION DES CAS ET BESOIN POUR DES QUESTIONS OU DECLARATION DE SINISTRE</t>
  </si>
  <si>
    <t>vrignaud-113961</t>
  </si>
  <si>
    <t>Je suis vraiment satisfait du service. Très professionnel. Toutes mes questions ont trouvé une réponse et je recommanderai votre établissement à l'avenir.</t>
  </si>
  <si>
    <t>17/05/2021</t>
  </si>
  <si>
    <t>jaco-63749</t>
  </si>
  <si>
    <t>Impossible de faire un remplacement de véhicule, il faut résilier et refaire un contrat(en donnant 80 euros au passage pour résiliation).On me répond qu'ils ne font pas de remplacement alors que c'est écrit sur leur site et leur réponse est que le site n'est pas a jour!!!!!MDR ne répond même pas aux mails qu'on leur envoie.</t>
  </si>
  <si>
    <t>matt03-123708</t>
  </si>
  <si>
    <t>ASSURANCE OU L'ON VOUS CARESSE LA PREMIERE ANNEE POUR MIEUX VOUS APPATER,  APRES AUGMENTATION ENORME et CELA MALGRE VOTRE BONUS 0.50 DEPUIS PLUS DE 10 ANS. 4 VEHICULES ASSURES SUR LE MEME CONTRAT; ( AUCUN SINISTRE ) augmentation DE LA PRIME LA 2ème ANNEE DE 25% SUR TOUT MES VEHICULES .... DONC RESILIATION DE 3 VEHICULES CETTE ANNEE DIRECTION ( GMF ET CLAVEL ASSURANCE) UN VEHICULE EST RESTE CHEZ EUX APRES NEGOCIATION ET RETOUR AU TARIF 1ère ANNEE......... 
ATTENTION AUX Prélèvements AUTOMATIQUES APRES RESILIATION.... SYSTEME DE GESTION D'OLIVIER ASSURANCE TRES MAUVAIS, PREVOIR LE MONTANT TOTAL DE VOTRE ASSURANCE SUR VOTRE COMPTE BANCAIRE ,  REMBOURSEMENT à 30 JOURS.  L'OLIVIER N'AIME PAS QUE VOUS LES QUITIEZ ...... DOMMAGE POUR EUX ILS PERDENT 800 EURO DE MA PART SUR CE CONTRAT et encore plus L'ANNEE PROCHAINE CAR UNE DERNIERE VOITURE EST ASSUREE..........</t>
  </si>
  <si>
    <t>butin-c-109458</t>
  </si>
  <si>
    <t>Je suis satisfaite du service en tant que nouvelle cliente. C'est simple et rapide. Etant donné que je n'ai pas été assurée depuis des années, je trouve que le tarif du "nouveau conducteur" reste encore très cher mais c'est le jeu !</t>
  </si>
  <si>
    <t>sam-76586</t>
  </si>
  <si>
    <t xml:space="preserve">Assurance chère qui propose un forfait hospitalisation mais les courtiers ne vous expliquent pas en quoi consiste ce forfait qui est indépendant de l autre contrat santé.   Donc je viens de résilier mon contrat santé en pensant que le forfait hospitalier serait fait aussi et bien non 3 mois de prélèvement effectués.  Quand j appel pour demander la résiliation on me dit que c est par rdv telephonique bien sûre le rdv n est pas pour tout de suite pour bien finir le mois et qu il puisse encore prélever un mois de plus. A fuir cette mutuelle attention . Ne vous faite pas avoir . La logique voudrait que si je résilié le contrat santé le forfait hospitalier soit résilier avec logique. Et de plus l hospitalisation doit être faite pour maladie donc si je suis transporte d urgence ça ne marche pas je paie pour rien.
Je ne recommande pas du tout
Je </t>
  </si>
  <si>
    <t>15/11/2021</t>
  </si>
  <si>
    <t>infirnuit-74899</t>
  </si>
  <si>
    <t>Très contente d'avoir pu résilier mon contrat rapidement</t>
  </si>
  <si>
    <t>yerima-m-136588</t>
  </si>
  <si>
    <t>simple et pratique pour l'instant
accueil et explications corrects
le tarif est correct par rapport aux prestations proposées
reste à voir comment ce passeront les chose en cas de problèmes</t>
  </si>
  <si>
    <t>08/10/2021</t>
  </si>
  <si>
    <t>jeremy-f-139323</t>
  </si>
  <si>
    <t>Je recommande
Le prix reste responsable
La satisfaction client je ne peux pas dire je n'en ai pas encore eu besoin
Mais filiale de Allianz
Satisfait pour le moment</t>
  </si>
  <si>
    <t>10/11/2021</t>
  </si>
  <si>
    <t>amanda-l-127540</t>
  </si>
  <si>
    <t xml:space="preserve">Conseillère réactive, claire, efficace et à l'écoute
Bon premier échange
A voir sur la continuité (après la phase de souscription)
Tarif intéressant
</t>
  </si>
  <si>
    <t>nathalie-58434</t>
  </si>
  <si>
    <t>Assurance 0 qui jette ses clients qui ont des constats déclarés non responsables car ils n"assument pas leur rôle d'assureur. Ça devrait être interdit  de jeter les gens surtout quand on n'est pas responsable. A quand une loi?</t>
  </si>
  <si>
    <t>28/10/2017</t>
  </si>
  <si>
    <t>thomas-v-114987</t>
  </si>
  <si>
    <t>Je suis satisfait de la rapidité de la souscription, ainsi que du prix de l'offre, cela a été simple et efficace. Je recommande vivement pour les assurances habitations.</t>
  </si>
  <si>
    <t>27/05/2021</t>
  </si>
  <si>
    <t>roro-66311</t>
  </si>
  <si>
    <t>augmentation de tarif de 40%à la première échéance,sans sinistre et avec amélioration du bonus</t>
  </si>
  <si>
    <t>21/08/2018</t>
  </si>
  <si>
    <t>goth312-79987</t>
  </si>
  <si>
    <t>Trés déçu de cette Assurance,  ma femme était inscrite chez eux , sont pére aussi puis moi, 3 véhicules ça fait 2 jours je suis allé chez eux pour changé de véhicule j'avais un fourgon et j'avais acheter une voiture range rover 190 cv et la ils refusent carrément d'assurer le véhicule en me sortant des excuses ( voiture sportif elle a dit mdr ) une voiture de 190 cv est une voiture sportif ? c'est méme pas une version sport, à chaque fois que je donné une réponse ils sortaient une autre excuse en plus ils savent que j'ai jamais eu de souci avec eux néant sur mon relevé d'informations voila ils m'ont mis à la porte je me retrouve sans assurance mais bon vous avez perdu un client et si ça continue comme ça vous allez perdre beaucoup de clients je met ce commentaire comme ça les gens qui veulent changé de véhicule vers un véhicule plus puissant ils savent qu'ils vont perdre leur temps avec cette assurance qui met à la porte facilement ses clients fidéles.</t>
  </si>
  <si>
    <t>13/10/2019</t>
  </si>
  <si>
    <t>serhane-f-137952</t>
  </si>
  <si>
    <t xml:space="preserve">Je suis satisfaite du service 
Le prix qui m'a été proposé est raisonnable 
La qualité du service rien à signalé, il était à l'écoute et a su répondre à mes questions </t>
  </si>
  <si>
    <t>21/10/2021</t>
  </si>
  <si>
    <t>benjamin-d-122155</t>
  </si>
  <si>
    <t>Prix le moins cher que j'ai pu avoir pour une assurance moto tous risque optimal, concernant la satisfaction j'y répondrais une fois que j'en aurais eu besoin :)</t>
  </si>
  <si>
    <t>deraz-71091</t>
  </si>
  <si>
    <t xml:space="preserve">cet assureur est tout sauf assureur, le seul à vous prendre 3 mois d'avances en prélèvement et ne vous remboursera jamais quand vous résiliez, deux numéros pour les joindre, un pour s'inscrire l'autre pour les sinistres, mais aucun pour se faire rembourser, une adresse mail qui ne vous répond jamais, je conseil à tout le monde de fuir, y'en a qui sont moins chers et plus honnêtes. </t>
  </si>
  <si>
    <t>08/02/2019</t>
  </si>
  <si>
    <t>aucun-104199</t>
  </si>
  <si>
    <t xml:space="preserve">Très bonne Mutuelle,  depuis 33 ans pour moi et rien à dire. 
Renseignement téléphonique encore ce matin : rapide, sympathique et compétent...
Site internet très satisfaisant. 
Je n ai jamais eu aucun problème avec ma mutuelle. </t>
  </si>
  <si>
    <t>15/02/2021</t>
  </si>
  <si>
    <t>moutarde-110699</t>
  </si>
  <si>
    <t>satisfait de mon assurance qui ma fait cadeau d'un mois pendant le covid 19 et qui n'augmentera pas cette année donc je pense rester chez eux pour l'instant</t>
  </si>
  <si>
    <t>maelis3-59420</t>
  </si>
  <si>
    <t xml:space="preserve">non respect des delais d'information concernant les augmentations de tarifs. J'ai fait un AR pour résilier, et ils ont prétendu ne pas l'avoir recu. Il a fallu faire une réclamation pour qu'ils "retrouvent" mon courrier. </t>
  </si>
  <si>
    <t>05/12/2017</t>
  </si>
  <si>
    <t>dhia-elhak-c-132123</t>
  </si>
  <si>
    <t xml:space="preserve">je suis trop satisfait par votre offre, c'était très rapide et bien renseigné. le service est merveilleux, je n'ai pas trouvé de difficulté, ce très clair  </t>
  </si>
  <si>
    <t>elias008-112011</t>
  </si>
  <si>
    <t xml:space="preserve">J’ai eu un accident non responsable dans lequel j’ai été blessé. 
Ils refusent catégoriquement de me proposer une indemnisation alors que j’ai subi des séquelles physiques et surtout psychologiques suite à cet accident </t>
  </si>
  <si>
    <t>sam-133044</t>
  </si>
  <si>
    <t xml:space="preserve">Très mauvaise mutuelle.
Services catastrophiques.
Ils ne savent pas répondre aux questions posées sur les dossiers.
Je ne conseille pas cette mutuelle. </t>
  </si>
  <si>
    <t>16/09/2021</t>
  </si>
  <si>
    <t>mat-64403</t>
  </si>
  <si>
    <t>Service client nul . Ne répond jamais au mail et ne rappel pas au message</t>
  </si>
  <si>
    <t>vismara-t-113689</t>
  </si>
  <si>
    <t>Je ne peut pas encore donner un avis, étant nouveau, j'attends de voir lorsque j'aurai besoin de vos services si a ce moment vous ferez preuve de professionnalisme ou non.</t>
  </si>
  <si>
    <t>nan-123611</t>
  </si>
  <si>
    <t>Adhérente depuis mars 2020, cela fait 1 mois, que j'attends une prise en charge de de changement de lunette. Il me balade ainsi que l'opticien qui lui fait correctement son job
Il m'a été répondu qu'il y avait un délai au maximum de 3 semaines, mais où va t-on, et le délai est dépassé.
Une note d'honoraire dentiste depuis 2 mois toujours en attente
Ce n'est que des lunettes, mais si il y a une demande plus grave (hospitalisation), ça fait peur??.
Je pense à changer de mutuelle, dans les prochains mois</t>
  </si>
  <si>
    <t>veronique-v-121393</t>
  </si>
  <si>
    <t>je suis satisfait de vos service et de la reactivité  merci pour tout vous etes vraiment beau  et je n,e manquerai pas de vous epouser merci vous ce temps et aussi de ce repas  merci</t>
  </si>
  <si>
    <t>zebulon-97894</t>
  </si>
  <si>
    <t>J'ai été résilié suite à des fuites d'eau dû à une tempête qui a enlevé une partie d'une toiture, c'est incroyable pour une assurance !
Des dégâts secondaires dans une grange n'ont même pas été comptabilisé comme une pièce dont le plafond c'est effondrée, l'atelier a des machines électriques inondés qui ne fonctionne plus que je n'ai même pas déclarés.
Je ne recommanderais pas cette assurance.</t>
  </si>
  <si>
    <t>26/09/2020</t>
  </si>
  <si>
    <t>bruna-r-126342</t>
  </si>
  <si>
    <t>Très bien et rapide traitement de mon dossier 
Tout est très clair 
J’espère qu’en cas de sinistre le traitement sera aussi fluide 
Merci à direct assurance</t>
  </si>
  <si>
    <t>steph-99370</t>
  </si>
  <si>
    <t xml:space="preserve">Assurance à fuire absolument, fait tous pour fuire  ses responsabilités, accepte change d'avis sans avoir de raison, procédure qui traîne en longueur, on ne m'y reprendra plus !!! </t>
  </si>
  <si>
    <t>29/10/2020</t>
  </si>
  <si>
    <t>michelle-p-104986</t>
  </si>
  <si>
    <t xml:space="preserve">Bonjour
Je ne suis pas du tout satisfaite du prix de l'échéance 2021
J e constate une augmentation de 28% par rapport au départ de ce contrat ce qui ne justifie pas mon changement d'assureur    
J'envisage de résilier si ce tarif n'est pas amélioré </t>
  </si>
  <si>
    <t>fredo-56022</t>
  </si>
  <si>
    <t>vous êtes injoignable par téléphone la personne qui ma souscrie mon contras me raccroche au nez ,
aucune réponse par mail.vous donné des numéro de téléphone non attribué.
je viens de recevoir ma carte de mutuelle avec les garantie écrite et celles que j'ai souscrites ne son pas les mêmes,
la carte de mutuelle c'est une simple photo copie qu'on est obligé de plié en deux même pas plastifié.
défaut de conseils.
je vais faire ma radiation ,je trouve que sais vraiment inquiétant.</t>
  </si>
  <si>
    <t>22/12/2020</t>
  </si>
  <si>
    <t>mike--96117</t>
  </si>
  <si>
    <t xml:space="preserve">Je ne comprends pas la réaction de mon interlocutrice de pacifica lors de la dernière tempête de vent, une branche d'arbre est tombée chez moi,  elle a causé quelques dégâts et, lors de mon entretien téléphonique,  elle m'a dit qu'elle devait au préalable vérifier la météo pour voir si, cette tempête avait également fait,  des dégâts similaires dans mon quartier, ensuite elle m'a rappelé pour m'informer que, elle ne pouvait rien faire pour moi parcequ' aucune autre maison dans mon quartier, n'avait eu dégâts similaires. 
C'est scandaleux d'entendre de tels propos , de la part de professionnels qui, prétendent vous venir en aide en-cas de problèmes. 
En réalité   ils cherchent tous les prétextes pour,  ne rien payer. </t>
  </si>
  <si>
    <t>10/08/2020</t>
  </si>
  <si>
    <t>caroline-l-110234</t>
  </si>
  <si>
    <t>je ne suis pas contente du tout des tarif et encore moins des franchise . je téléphone pour revoir mon contrat niveau tarif et on ne ma pas trouver de solution .</t>
  </si>
  <si>
    <t>jean-claude-l-116003</t>
  </si>
  <si>
    <t>Je suis satisfait du service.
Les prix me conviennent.
S'agissant de la protection juridique, il est vraiment regrettable que l'interlocuteur ne soit jamais la même personne. Ce système manque de côté pratique, du coup.</t>
  </si>
  <si>
    <t>laurent-56130</t>
  </si>
  <si>
    <t>Bonjour
Rien à dire au niveau de la qualité/prix c'est très correct..
J étais parti de direct Assurance, je suis revenu car déçu ailleurs.
Cordialement</t>
  </si>
  <si>
    <t>sabir--139125</t>
  </si>
  <si>
    <t xml:space="preserve">Si vous voulez avoir un service sinistre qui met 2 mois à vous donner des nouvelles, choisissez la Gmf.
Si vous voulez un service sinistre un expert qui vous donne le sentiment d'être fautif, choisissez la Gmf.
</t>
  </si>
  <si>
    <t>zighed-s-107390</t>
  </si>
  <si>
    <t xml:space="preserve">Je suis trés satisfaite, les prix sont parfaits je vous recommande à tous mes amis.
Je suis contente d;'avoir pris mon assurance voiture chez vous.
</t>
  </si>
  <si>
    <t>ramses4-66261</t>
  </si>
  <si>
    <t xml:space="preserve">Très bonne assurance qui apporte des solutions à tous ses assurés </t>
  </si>
  <si>
    <t>18/08/2018</t>
  </si>
  <si>
    <t>sama-123467</t>
  </si>
  <si>
    <t xml:space="preserve">Sinistre survenu et déclaré en février 2020, je n’en vois toujours pas le bout! Service client déplorable, irrespectueux, aucun professionnalisme. C’est un cauchemar sans précédent et je n’exagère pas. À l’instant où j’écris ce commentaire, je suis en attente depuis exactement 46 min, après quoi ils raccrocheront comme d’habitude! Je n’ai qu’une hâte c’est de changer d’assurance, j’avais tout assuré chez eux, à ce jour il ne reste plus que mon commerce j’attends juste d’être indemnisé et je change d’assureur! 
Ayant déjà laissé un commentaire, la personne de chez Allianz qui vient répondre « envoyer moi votre référence pour blablabla… » j’ai essayé de prendre contacte avec elle, et ça s’avère être également une supercherie! 
Un conseil fuyez cette assurance si vous avez la chance de ne pas y être!   </t>
  </si>
  <si>
    <t>multirisque-professionnelle</t>
  </si>
  <si>
    <t>clugnac-e-115205</t>
  </si>
  <si>
    <t>On peut toujours faire mieux.....il ne faut pas se contenter, mais toujours obtenir le maximum, votre société semble sur la bonne voix, il faut persévérer</t>
  </si>
  <si>
    <t>28/05/2021</t>
  </si>
  <si>
    <t>jerome83-89270</t>
  </si>
  <si>
    <t xml:space="preserve">bonjour
je suis en arrêt maladie depuis le 14/10/2019
jai fait appel a la CNP pour faire marcher mon assurance crédit souscrit auprès de BFM
première demande le 10 mars 2020(3 relances en tout) afin d'obtenir le dossier que j'ai reçu en aout 2020,soit 5 mois après.
dossier rempli et renvoyé en aout avec toutes les pièces demandées.
décembre 2020 demande de pièces en +
RDV pas avant le 18/01/2021 chez mon médecin
document renvoyé le 19/01/2021 et a ce jour statut-Co
bref j'ai fait appel a l'association UFC-QUE choisir car c'est inadmissible!!!!!!!
</t>
  </si>
  <si>
    <t>jacky-55834</t>
  </si>
  <si>
    <t xml:space="preserve">Mutuelle efficace, pas très chère je n ai pas eu de reste a charge sur mes lunettes !  en plus les personnes sont sympas lorsqu on les sollicite </t>
  </si>
  <si>
    <t>05/07/2017</t>
  </si>
  <si>
    <t>maki-56262</t>
  </si>
  <si>
    <t xml:space="preserve">Je suis outré qu'avec des prix si élevés, la qualité de service soit si médiocre .... J'ai eu 2 sinistres minimes (une rayure sur la portière contre un plot en ville + un pot de fleurs qui est tombé d'une terrasse sur ma voiture, du même côté que la rayure), à quelques jours d'intervalle, et je dois payer 1000 euros de franchise alors que je paye déjà près de 100 euros par mois mon assurance. C'est la 1ère fois que j'ai un problème. La personne qui m'a répondue au téléphone, bien que polie (je dois l'admettre), n'a fait que me répéter la même phrase sans arrêt : "1000 euros car 2 accidents donc 2 franchises". N'auraient ils pas pu faire un geste compte tenu du fait que tout soit regroupé au même endroit et que c'est la 1ère fois que j'ai un problème en plusieurs années ? Aucune empathie, aucune humanité. A quoi sert de payer 100 euros par mois si au moindre problème je dois payer encore 1000 euros ?... Autant dire que je compte quitter cette assurance au plus vite et faire connaitre mon avis autour de moi !!!!! Enorme déception. </t>
  </si>
  <si>
    <t>bras-m-115571</t>
  </si>
  <si>
    <t>Simple, efficace, clair, rapide. Parfait !
Contact par téléphone si nécessaire, envoi des documents via la plateforme. Signature des documents en ligne. Tarifs avantageux</t>
  </si>
  <si>
    <t>murat57-54132</t>
  </si>
  <si>
    <t>Service client incompétent. Données dossier incomplet malgré plusieurs relance. Tarif qui change sans arrêt pour finir au double du prix initiale. 6 mois de perdu a leur courrir derrière. A éviter absolument</t>
  </si>
  <si>
    <t>Suravenir</t>
  </si>
  <si>
    <t>18/04/2017</t>
  </si>
  <si>
    <t>leon-b-113609</t>
  </si>
  <si>
    <t>JE NE COMPREND PAS POURQUOI LA COTISATION AUGMENTE / MERCI DE M EXPLIQUER . Cordialement  merci de me rappeler au numero suivant l apres midi apres 14 heure Merci</t>
  </si>
  <si>
    <t>13/05/2021</t>
  </si>
  <si>
    <t>alicia--94688</t>
  </si>
  <si>
    <t xml:space="preserve">Je suis satisfaisait du prix proposé en comparaison des autres assureurs que j’ai déjà consultés. La formule proposée convient à mes attentes et à ce que je recherche </t>
  </si>
  <si>
    <t>gourad-a-113138</t>
  </si>
  <si>
    <t>JE SATISFAIT DE L'OLIVIER ASSURANCE J'ESPERE QUE SA CONTINU COMME CA TOUTE AU LONG DE NOTRE CONTRAT .MERCI POUR LES SERVICES ET L'EFFICACITE DE TOUTE L'EQUIPE DE L'OLIVIER ASSURANCE.</t>
  </si>
  <si>
    <t>vivi-52434</t>
  </si>
  <si>
    <t xml:space="preserve">bonjour je regarde les avis car on ma obliger de prendre cette mutuelle et je constate que leurs réponse est toujours la même allez sur Facebook car sur cette page il n y a pas de mécontent des internautes a priori il perdes des papiers et il ne remboursement pas tout etc. j ai peur  quand je vais l utiliser pour les remboursement </t>
  </si>
  <si>
    <t>15/02/2017</t>
  </si>
  <si>
    <t>fabioda59-68272</t>
  </si>
  <si>
    <t>Pour moi c est des gens sans moral ils ne donnent pas la capital deces sous 48h et ne repondent pas aux lettresrecommandes et ils se permettent de co.ntinuer a prelever une honte se faire de l argent sur une personne decedee</t>
  </si>
  <si>
    <t>tabou-52-136739</t>
  </si>
  <si>
    <t>Aucune assistance suite à l'incendie d'un immeuble voisin. Aucune assistance juridique pour obtenir un dédommagement de l'assurance de l'immeuble voisin. Une pièce inondée par l'eau des lances à incendie toujours pas indemnisée au bout de 5 ans</t>
  </si>
  <si>
    <t>owned-67125</t>
  </si>
  <si>
    <t>A éviter de toute urgence ! Dossier qui traîne depuis 5 mois service client plus que désagréable.
Non joignable le w.e, pas de remorquage</t>
  </si>
  <si>
    <t>26/09/2018</t>
  </si>
  <si>
    <t>herve1568--98336</t>
  </si>
  <si>
    <t>Je veux ici publiquement remercier Damien, des sells (ventes) de la société d'assurances L' Olivier assurance, qui pour un contrat d'assurance auto a été hier soir d'une serviabilité, d'une gentillesse et d'une efficacité extraordinaires, l'instrument d'un véritable miracle. Je le remercie lui-même personnellement et sa société, ils ont gagné un client, et peut-être d'autres aussi... Bonne journée à vous et merci encore.</t>
  </si>
  <si>
    <t>05/10/2020</t>
  </si>
  <si>
    <t>totonigo-78847</t>
  </si>
  <si>
    <t xml:space="preserve">Assurance habitation résiliée après 1 sinistre non responsable! 
Le service client, après plusieurs appels de ma part sans que l'on accepte de m'expliquer pourquoi j'étais résilié, a finit par admettre que la résiliation était liée à ce fameux sinistre non responsable et au fait que je leur coutais plus d'argent que je ne leur en rapportais.
Effectivement, après 18 mois d'assurance et 1 sinistre à 500e difficile d'etre un client rentable. Le pire dans l'histoire c'est que durant la meme période j'ai également eu un sinistre avec mon assurance auto Eurofil, responsable celui ci, et que seule mon assurance habitation a été résiliée! Donc un petit conseil si vous souscrivez à une assurance Eurofil ou Aviva: attendez quelques années avant d'avoir un souci, et tâchez d'être un client rentable!!!
</t>
  </si>
  <si>
    <t>31/08/2019</t>
  </si>
  <si>
    <t>nguekam-p-138297</t>
  </si>
  <si>
    <t>J’aurais souhaité avoir un prix un tout petit peu moins élevé ??. Le service me convient L’espace personnel est simple à utiliser et on se retrouve facilement Le fait d’envoyer les documents directement via notre espace personnel c’est simple et pratique.</t>
  </si>
  <si>
    <t>remy-b-134611</t>
  </si>
  <si>
    <t>je trouve les prix très intéressants comparé à la concurrence.
l'échanges avec la conseillère c'est très bien passé,
et la démarche est très simple d'utilisation.</t>
  </si>
  <si>
    <t>26/09/2021</t>
  </si>
  <si>
    <t>babel1010-55408</t>
  </si>
  <si>
    <t>service clients absent délai trop long
à éviter 
pas cher mais la galère si il ya un souci
service clients 
gestion sinistre trop long......................................................................................................................................................................................................................................................................</t>
  </si>
  <si>
    <t>16/06/2017</t>
  </si>
  <si>
    <t>sebastien74-72485</t>
  </si>
  <si>
    <t xml:space="preserve">Longgggggg très longggggg. Très difficile de les avoirs au téléphone voir impossible. Après des minutes d attentes on vous demandes de ressayer plus tard. Par mail .... lol. 15 jours après j attend tjs une réponse. Et à force d attendre des réponses sur mes remboursements et tt info utile je repousse mon opération. Bientôt je vais me faire opérer l année prochaine avec leur manque de professionnalisme . Passez votre chemin si vous avez le choix. </t>
  </si>
  <si>
    <t>philippe-r-107454</t>
  </si>
  <si>
    <t>Tout me semble parfaitement correct
Excellent accueil téléphonique 
Fluidité 
Bon rapport qualité / prix
Rien d'autre à écrire à cet instant
Cordialement</t>
  </si>
  <si>
    <t>christopher-d-107414</t>
  </si>
  <si>
    <t xml:space="preserve">Jamais eu besoin d'avoir recours à l'assurance. Pas de baisse de prix mais pas d'augmentation significative.                                                           </t>
  </si>
  <si>
    <t>herbaux-69089</t>
  </si>
  <si>
    <t>Assuré depuis plus 30 ans,  tous risques, un accrochage il y a un mois avec délit de fuite du responsable et plainte à la Gendarmerie , ai du régler la franchise 420Euros  et depuis plus de nouvelles.</t>
  </si>
  <si>
    <t>03/12/2018</t>
  </si>
  <si>
    <t>benjamin-c-129828</t>
  </si>
  <si>
    <t>Je suis satisfait du service client sur sur deux assurances prêts immobilier
je recommande zen'up pour leur accompagnement et le prix tres facile a réaliser</t>
  </si>
  <si>
    <t>bafana07-125627</t>
  </si>
  <si>
    <t xml:space="preserve">Affilié à Intérimaires Pre voyance. Délai de traitement des dossiers pour prise en charge des arrêts de travail hors mission inacceptable d'une grande société. Envoi mail le 10/05/2021 pour prise en charge d 'un arrêt de travail. Aucune réponse concernant la bonne réception des docs. Téléphone le 18/05/2021 pour savoir si bonne réception des docs. C' est ok. L' agent d’accueil me dit qu' il sont en train de traiter les dossiers du 19/02/2021 et de rappeler à la mi juillet. Téléphone ce jour 30/07/2021. L' agent d' accueil me dit qu ils sont en train de traiter les dossiers du 23/03/2021. Donc en 2 mois et demi ils ont traiter 1 mois de dossier. Dans mon cas avec un peu d'espoir mon dossier sera traité fin 2021 début 2022... Lamentable. Pire que la CPAM. C' est pour dire. Prévoyance à fuir si vous espérez une prise en charge rapide. </t>
  </si>
  <si>
    <t>calves-139388</t>
  </si>
  <si>
    <t>J'ai du appeler pendant trois jours, samedi, lundi et mardi afin de régler un impayé, le service client n'a pas su m'envoyer dans le bon service et m'ont confirmer à plusieur reprise la possibilité de repartir sur un contrat après avoir réglé 'impayé, qui suite au règlement était complètement faux, pas de nouveaux contrat, j'ai dû m' assurer chez la concurrence.. Vraiment service client très très médiocre. Et je n'exagère vraiment pas.</t>
  </si>
  <si>
    <t>pierre-100323</t>
  </si>
  <si>
    <t xml:space="preserve">tarif moins chère que la concurrence, mais après un an, augmentation de 17,5% sans aucun sinistre. alors que tous le monde annonce une augmentation de 1 à 2%
</t>
  </si>
  <si>
    <t>19/11/2020</t>
  </si>
  <si>
    <t>le-bihan-h-123145</t>
  </si>
  <si>
    <t>Très satisfait par la réactivité de l'Olivier. Interlocuteur précis et efficace. Prix très correct. je recommande vivement L'olivier. Site internet facile d'utilisation</t>
  </si>
  <si>
    <t>12/07/2021</t>
  </si>
  <si>
    <t>anthony261997-123072</t>
  </si>
  <si>
    <t>Ne me prends pas car j'ai un sinistre responsable et un non responsable avec ma voiture, c'est totalement ridicule surtout avec un coeficient à 1 pile et plus de 6 ans de permis sans aucune suspension ni écart.</t>
  </si>
  <si>
    <t>laurent2807-55932</t>
  </si>
  <si>
    <t xml:space="preserve">Tres vite pour m assurer mais alors pour payer plus personne </t>
  </si>
  <si>
    <t>joe-65277</t>
  </si>
  <si>
    <t xml:space="preserve">  a par vous  dire  qui traite  votre  demande  dans un bref  delai.. sinistre  du mois  mars  on arrive e n juillet  toujour  rien.par contre pour les prelevements  ils sont pas en retard;je ne recommande  pas  cette  assurance</t>
  </si>
  <si>
    <t>05/07/2018</t>
  </si>
  <si>
    <t>rom1-67439</t>
  </si>
  <si>
    <t>Bonjour,
La CNP et à fuire en cas de problème les demarches sont sans fin. 
Cela fait plus de 3 ans que je me bas pour mon due,  je leurs et envoyer 3 fois les même papiers à savoir 1 demi rame de documents à chaque fois !
Au telephone on nous racroche au nez 
Et même le médiateur n'a pas répondu apres 5 mois !
Bref vrement pris pour un con, assurence à fuire imperativement !!!</t>
  </si>
  <si>
    <t>elxe-69727</t>
  </si>
  <si>
    <t>Service client déplorable, ce sont des robots installés à l'étranger qui ne comprennent rien, mais à 80c la minute ce n'est pas grave pour eux de nous faire perdre notre temps. Au moindre soucis ça devient l'enfer, impossible de me faire assurer alors que j'ai déjà du payer 2 fois le tarif annuel (nous vous rembourserons les frais de dossier et le trop perçu mais il faut repayer un nouveau devis blablabla). Honteux</t>
  </si>
  <si>
    <t>28/12/2018</t>
  </si>
  <si>
    <t>moni-67831</t>
  </si>
  <si>
    <t>VOILA QUE POUR 3 JOURS IMPOSSIBLE RESILIER LE CONTRAT;DONC j'essaie de changer mes garanties et pas de reponse de sa part...je les appelle a un numero payant,bien sur,et pas au courant de mon courrier avec acusse de reception,rigole de moi,c sur.</t>
  </si>
  <si>
    <t>18/10/2018</t>
  </si>
  <si>
    <t>michel92-74637</t>
  </si>
  <si>
    <t>A 160 euros par mois je m'attendais à un minimum de dessence.</t>
  </si>
  <si>
    <t>melanie-52045</t>
  </si>
  <si>
    <t>Si je pourrai j'aurai mit aucune étoile.  Juste pour deux accident en temps que jeune conducteur vous me radié de chez vous, je trouve sa inadmissible de votre part. Cela fais 1 ans rt demi que j'ai ma voiture chez moi et je conduisait déjà avec la voiture à ma mère, mes deux parents sont chez vous . Je ferai une énorme mauvaise pub de la macif.</t>
  </si>
  <si>
    <t>04/02/2017</t>
  </si>
  <si>
    <t>vilchez-n-117436</t>
  </si>
  <si>
    <t>Très bon service, qualité prix excellent. Comercial très sympathique et professionnel, il a réussi à répondre à toute mes questions et inquiétudes. Et même proposé des pack supplémentaires très interessant et à bon prix. Merci.</t>
  </si>
  <si>
    <t>dominique-d-131158</t>
  </si>
  <si>
    <t>je suis satisfait des prix 
facilité d inscription 
du coup a ce jour j assure deux véhicule et bientôt un troisième viendra s ajouter
a direct assurance</t>
  </si>
  <si>
    <t>cassy-m-124971</t>
  </si>
  <si>
    <t xml:space="preserve">Payer 2 mois en 1 fois pour un jeune qui commence dans la vie peut être un freins, c'est une grosse somme d'un coup, surtout avec les pacts,  j'aurais aimer être tenus au courant de cette condition des le départ. </t>
  </si>
  <si>
    <t>karine-t-114875</t>
  </si>
  <si>
    <t xml:space="preserve">satisfaite du service, rapport qualité prix parfai,t ecoute telephonique parfaite, retour excellent, acceuil excellent, explications excellente, communication parfaite </t>
  </si>
  <si>
    <t>massip-j-134299</t>
  </si>
  <si>
    <t>Super, très pro et surtout très rapide. Prend même, le jeunes conducteurs en charge avec des véhicules de 115ch. Cela me fais même réfléchir sur l'avenir de mon assurance habitation</t>
  </si>
  <si>
    <t>fredo92-63526</t>
  </si>
  <si>
    <t xml:space="preserve">en galère avec axa depuis le 17 octobre 2017 depuis l'intervention des pompiers chez moi pour accéder au logement du dessous par la fenêtre.impossible de trouver une garantie pour me rembourser la remise en état de mon radiateur et de mon parquet .passer l'hiver sans chauffage franchement je vous remercie et me faire attendre pendant 6 mois pour me dire désolé  on peut rien faire chapeau </t>
  </si>
  <si>
    <t>24/04/2018</t>
  </si>
  <si>
    <t>cazaldo-77120</t>
  </si>
  <si>
    <t>La CNP bloque le versement du capital, en demandant en plusieurs fois des documents . Cela retarde bien entendu un dossier complet et le versement dans le délai de 1 mois.</t>
  </si>
  <si>
    <t>26/06/2019</t>
  </si>
  <si>
    <t>mathieu-t-124458</t>
  </si>
  <si>
    <t xml:space="preserve">Satisfait du prix à voir en cas de problème. Mais je n’est point trouver de meilleur prix que celui de direct assurance. Donc je suis satisfait pour le moment </t>
  </si>
  <si>
    <t>marie-c-130693</t>
  </si>
  <si>
    <t xml:space="preserve">37€ en tout risques, vous restez le moins cher du marché avec des garantis intéressante. 
Le devis est simple à faire sur internet et la souscription tout autant. </t>
  </si>
  <si>
    <t>aixela-97898</t>
  </si>
  <si>
    <t>Du grand n’importe quoi, aucune prise en charge d’aucune demande. Le jour de la souscription la personne est très gentille mais une fois qu’ils ont votre IBAN impossible d’arrêter quoi que ce soit, j’ai souscrit fin juillet pour mes 3 chats et j’ai vite fait la demande de renonciation dans les temps, le remboursement de 2 prélèvements ne s’est jamais fait et c’est pas faute de les avoir appelé au moins 5 fois, pour qu’on me disent qu’il va falloir patienter 3 semaines alors qu’ils continuaient à me prélever! obligée de demander les rejets et opposition à ma banque</t>
  </si>
  <si>
    <t>27/09/2020</t>
  </si>
  <si>
    <t>jerprinc-72032</t>
  </si>
  <si>
    <t>Je suis assuré sur mon contrat accident de la vie. En décembre j'ai une rupture du tendon d'achille qui m'empeche de travailler puisque 7 semaines de platre, je suis auto entrepreneur donc perte seche (8000 euros) et 1500 euros de uber pour aller de temps en temps voir mes salariés.
Aucune prise en charge selon le médecin de la matmut car ne rentre pas dans les conditions. Il vaut mieux passer sous un bus.</t>
  </si>
  <si>
    <t>sissoune-80680</t>
  </si>
  <si>
    <t>Lamia a été très accueillante et a répondu clairement à ma demande je vais pouvoir faire le nécessaire pour ma démarche</t>
  </si>
  <si>
    <t>04/11/2019</t>
  </si>
  <si>
    <t>duquay-l-135031</t>
  </si>
  <si>
    <t>excellents conseils merci beaucoup
le conseiller m'a conduit pas à pas à élaborer mon contrat en prenant soin de tout valider au fur et à mesure de l'élaboration attentive à chaque question</t>
  </si>
  <si>
    <t>madaff-69128</t>
  </si>
  <si>
    <t>bonne réactivité de la part de ma conseillère concernant ma formule choisie   Nous avons verifier dans le detail intégralité des garanties souscrites.
Je suis ravie de conserver ma mutuelle telle qu"elle se presente actuellement!</t>
  </si>
  <si>
    <t>fleur-85446</t>
  </si>
  <si>
    <t>assurée aux ACM habitation et auto depuis presque 30 ans. toujours au top ! reactifs disponibles, de bon conseil. remboursement rubis sur l'ongle.
au depart j'avais mes comptes bancaires chez eux. j'ai du changer , le service n'a pas baissé pour autant.</t>
  </si>
  <si>
    <t>03/01/2020</t>
  </si>
  <si>
    <t>no-gmf-62206</t>
  </si>
  <si>
    <t xml:space="preserve">Sinistre de 2012 TOUJOURS NON INDEMNISÉ.
Des prétextes les plus farfelus pour ne pas payer.
Laisse pourrir la situation VOLONTAIREMENT !
JE VEUX MON ARGENT !
</t>
  </si>
  <si>
    <t>11/03/2018</t>
  </si>
  <si>
    <t>barthoch-1747</t>
  </si>
  <si>
    <t>Ma banque a fait un refus de prélèvement, et du coup cette assurance se permet de me résilier ma mensualisation, alors que je présente un compte en banque largement créditeur........Ca c'est du rapide!!!!! Honteux!!!!!! A quand les assurances a nos pieds et non l'inverse, comme tout commerçant qui se respecte ???? Les clients n'ont qu'à la fermer et à payer......purement inadmissible !!!</t>
  </si>
  <si>
    <t>21/03/2017</t>
  </si>
  <si>
    <t>catcat1975-101538</t>
  </si>
  <si>
    <t xml:space="preserve">Les tarifs sont corrects, les garanties sont bonnes, notamment l'assistance. La fidélité c'est récompensée notamment avec la réduction des franchises chaque année. (-50% au bout de 3 ans). Le point fort c'est le service client : déjà un numéro en France, réponse rapide.  Les conseillers sont toujours aimables, polis et savent de quoi ils parlent. Ils font le maximum pour que l'on soit satisfait. Ils prennent leur temps pour que tout soit règlé quand on raccroche. </t>
  </si>
  <si>
    <t>16/12/2020</t>
  </si>
  <si>
    <t>olivier-66651</t>
  </si>
  <si>
    <t xml:space="preserve">Aucun accompagnement lors d'un gros sinistre (écrasé par un camion 38t), on vous méprise totalement.
si vous voulez m'appeler, n'hésitez pas, au contraire, car j'attend des réponses de votre part.
</t>
  </si>
  <si>
    <t>06/09/2018</t>
  </si>
  <si>
    <t>chraibi-m-124870</t>
  </si>
  <si>
    <t>Très satisfait du parcours de souscription.
Le tarif Net mensuel ne comprend pas les taxes et charges qui gonflent la facture de +15%.
A voir côté suivi et couverture.</t>
  </si>
  <si>
    <t>wave-76117</t>
  </si>
  <si>
    <t>Je suis étonnée de tous ces commentaires. Je suis venue sur ce forum pour consulter les avis de mon assurance habitation et je tombe par curiosité sur l'Afer. Depuis 12 ans que je suis adhérente, j'ai pu disposer de mon épargne en décembre dernier sous 15 jours sans probleme ...</t>
  </si>
  <si>
    <t>21/05/2019</t>
  </si>
  <si>
    <t>delacruzmoreno-75936</t>
  </si>
  <si>
    <t>Avis d'échéance et appels de cotisation avec beaucoup de retard avec prix à la hausse.
Modification de contrats sans modification de garanties fait express pour vous piéger un an de plus</t>
  </si>
  <si>
    <t>15/05/2019</t>
  </si>
  <si>
    <t>lof49-138607</t>
  </si>
  <si>
    <t xml:space="preserve">50 années d'assurance voiture et habitation à la MACIF, pratiquement toute une vie et je mets sans aucune hésitation 5 étoiles. Le plus gros avantages de cette Mutuelle c'est le dialogue et une volonté de trouver la meilleure solution en cas de sinistre. Dernièrement, mon Épouse et moi nous avons été ravis d'être contactés par le centre de gestion au sujet d'un petit dégât de la tempête. La personne de la Macif, par ses propos, a réussit à ensoleiller une journée triste de la Toussaint. Nous la remercions vivement. </t>
  </si>
  <si>
    <t>dominique-b-105855</t>
  </si>
  <si>
    <t>les prix sont corrects ,  au téléphone il y a une bonne écoute mais un peu long pour les avoir au téléphone. dommage aussi qu'il augmente  tous les ans même si je n'ai pas eu d'accident</t>
  </si>
  <si>
    <t>mael86-72441</t>
  </si>
  <si>
    <t>Suite à un sinistre, j'ai eu une aile qui s'est décollée avant d'arriver chez le carrossier. Le cabinet d'expertise avait pourtant déclaré que le véhicule était roulant. Les experts de la MAAF ont déclaré la même chose. 
50% de bonus depuis plus de 5 ans... bye bye la MAAF</t>
  </si>
  <si>
    <t>danie-107969</t>
  </si>
  <si>
    <t>MDEYE
jE SUIS SATISFAITE DE L'ACCUEIL et bien renseigné en ce qui concerne les différentes manipulations à effectuées , bonne prestation, bon accueil, bon service  client</t>
  </si>
  <si>
    <t>ag-138556</t>
  </si>
  <si>
    <t>J'ai déjà formulé un avis (courrier à la date d'aujourd'hui), en rapportant la GROSSE "indélicatesse" que j'ai subie de la part de la MAIF, et concernant l'opacité de leurs procédés</t>
  </si>
  <si>
    <t>29/10/2021</t>
  </si>
  <si>
    <t>pedro-b-138695</t>
  </si>
  <si>
    <t>Le site est facile et rapide les prix pourraient être plus attractifs ...
Il a été assez simple de souscrire l'assurance et de voir les différentes options.</t>
  </si>
  <si>
    <t>carole-p-134571</t>
  </si>
  <si>
    <t>Prix super rapport aux garanties maintenant à voir si les toutes les garanties seront respectées en cas de problème... en souhaitant pas que ça arrive bien-sûr....??</t>
  </si>
  <si>
    <t>poulos-69960</t>
  </si>
  <si>
    <t>Propriétaire d'un appartement dont le locataire s'est suicidé en laissant ouvert tout les robinets dégradant l'appartement après 1 an de non paiement de loyer.</t>
  </si>
  <si>
    <t>07/01/2019</t>
  </si>
  <si>
    <t>samir-58827</t>
  </si>
  <si>
    <t xml:space="preserve">A éviter absolument. Il vous font croire avec des tarifs alléchants que vous faites une bonne affaire mais une fois que vous avez payé le ton va changer et ils vont vous prendre pour des idiots. 
Ils ont oser dire que j’avais fait une fausse déclaration alors qu’il y a eu un mal entendu. Résultat, je résilie l’assurance et je repart avec mes 43% de bonus. </t>
  </si>
  <si>
    <t>04/12/2020</t>
  </si>
  <si>
    <t>sylvie-a-116751</t>
  </si>
  <si>
    <t>Je suis satisfait du service de direct.
Au niveau tarif j'ai rearqué une augmentation par rapport à eurofil mais les garanties ne sont pas identiques, ce qui est donc difficilement comparable si l'on rentre dans le détail.</t>
  </si>
  <si>
    <t>ruban-l-126763</t>
  </si>
  <si>
    <t>Prix compétitifs, service client réactif et à l' écoute de ses clients
Trouve des solutions et hyper aimable
A recommander et faites que cela dure comme ça!</t>
  </si>
  <si>
    <t>peigne-s-110773</t>
  </si>
  <si>
    <t>Le site est très pratique, le devis a été rapide et le prix est très compétitif, je le recommande et en suis très satisfait. Cette assurance me convient parfaitement..</t>
  </si>
  <si>
    <t>louguy87-61754</t>
  </si>
  <si>
    <t>Assuré depuis un petit moment chez eux et pour l'instant RAS.
La souscription est rapide et bien expliquée.
J'avais eu un sinistre et ça s'est très bien passé.</t>
  </si>
  <si>
    <t>23/04/2019</t>
  </si>
  <si>
    <t>armelle-85679</t>
  </si>
  <si>
    <t>Gwendal à répondu à toutes mes attentes il a été très efficace et a pu résoudre un gros problème ,très bon conseiller et très sympathique .Merci gwendal!si tous les conseillers etaient comme Gwendal les problemes serairnt vite règlés</t>
  </si>
  <si>
    <t>09/01/2020</t>
  </si>
  <si>
    <t>jean-claude-n-109169</t>
  </si>
  <si>
    <t>Simple pratique pour la souscription . Prix compétitif. Bon service au téléphone. Appartenir au groupe AXA aide à la décision. Avec l'espoir de ne pas être déçu à l'utilisation.</t>
  </si>
  <si>
    <t>aj-78170</t>
  </si>
  <si>
    <t xml:space="preserve">Un site internet complètement HS : impossible d'envoyer les factures de soin via la rubrique "message", la rubrique "besoin d'aide" n'a jamais marché en 1 an. Très frustrant, j'ai passé des heures pour l'envoi d'une pauvre facture </t>
  </si>
  <si>
    <t>03/08/2019</t>
  </si>
  <si>
    <t>laurence-v-114772</t>
  </si>
  <si>
    <t xml:space="preserve">pas trés satisfaite car avec 4 véhicule assurées et cliente depuis plusieurs années, jai dû demander un geste commercial! on ne me l'a pas proposé!!!le tarif pour ma dacia était cher, heureusement, la personne que jai eu ligne m'a fait un tarif aprés avoir demandé un geste commerciale!! je suis décu </t>
  </si>
  <si>
    <t>loulouxor-105485</t>
  </si>
  <si>
    <t>nichel pour un bon conducteur de plus 50 ans comme moi sans le moindre accident....pour les jeunes je n'ai aucune idée du coût envisagé...j'aime aussi l'avantage d'avoir une agence à proximité</t>
  </si>
  <si>
    <t>regis-m-112647</t>
  </si>
  <si>
    <t>je ne suis pas satisfait du service, aucun suivi de sinistre, aucun lien avec l'expert, absence totale d'informations, pas de réponses sur les mail envoyé et service téléphonique injoignable</t>
  </si>
  <si>
    <t>kevin-f-128856</t>
  </si>
  <si>
    <t xml:space="preserve">Un prix imbattable pour les jeunes chauffeur ,seul inconvénients  seul face au devis( pas de bots pour les questions bêtes que l'on peut ce poser en tant que jeunes) </t>
  </si>
  <si>
    <t>sasa-64091</t>
  </si>
  <si>
    <t xml:space="preserve">Cette assurance ne veut pas garantir les étudiants qui travaillent (déclarés) avec des enfants en plus de leurs études.
Jeune conductrice (avec zéro sinistre) forcément cela pose problème.
</t>
  </si>
  <si>
    <t>18/05/2018</t>
  </si>
  <si>
    <t>bkeltoo-126801</t>
  </si>
  <si>
    <t xml:space="preserve">Bonjour, 
J'ai eu ce jour 6/07  un conseiller qui m a fourni des explications très claires sur les remboursements.
C'est vrai que parfois le % de remboursement ne me satisfait pas toujours , car une somme considérable reste à ma charge.
 </t>
  </si>
  <si>
    <t>travert-g-112669</t>
  </si>
  <si>
    <t>Très fluide et très simple d’utilisation. Prix attractif et compétitif.
Simplicité pour s’inscrire et pour résilier mon précédent contact chez un concurrent.</t>
  </si>
  <si>
    <t>norbert-d-109139</t>
  </si>
  <si>
    <t xml:space="preserve">Les prix peuvent êtres plus attractif, et surtout une baisse pour récompenser les clients fidèles. mais à part cela je recommande direct assurance.    </t>
  </si>
  <si>
    <t>tatiana-d-117242</t>
  </si>
  <si>
    <t xml:space="preserve">Je suis très satisfaite des services de la GMF, sous tous les plans.
Rapidité, écoute, professionnel
Accueil très agréable
Depuis des années je suis assuré ,je ne le regrette pas et je recommande autour de moi
</t>
  </si>
  <si>
    <t>joerider93-67390</t>
  </si>
  <si>
    <t xml:space="preserve">Je suis client april moto et motard et je suis au regret étant client de cette compagnie que vous êtes en présence de la pire des assurances existantes à ce jour sur notre territoire en effet victime d'un accident pas en tort j'en suis au 8ème mois pour le remboursement avec des relances soit disant puisque en réalité la seule </t>
  </si>
  <si>
    <t>lorette-c-131556</t>
  </si>
  <si>
    <t>Je suis satisfaite du prix et de la conseillère qui m’a fait le virement devis
Merci beaucoup pour l’accueil 
Tous mes contrats d’assurance sont chez vous
Meilleur prix</t>
  </si>
  <si>
    <t>sami-117286</t>
  </si>
  <si>
    <t xml:space="preserve">Alors je ne sais même pas par où commencer. 
Assurance à fuir d urgence aucun service des délais de malade pour le traitement des constats pour à la fin dire désolé l expert nous a dit que vous ne serez pas rembourser. </t>
  </si>
  <si>
    <t>borras-j-137477</t>
  </si>
  <si>
    <t xml:space="preserve">Je suis satisfait du service et niveau du tarif malgré mon malus ils restes raisonnable et en plus pour souscrire en ligne c'est très rapide et très facile à faire quand on ai habitué </t>
  </si>
  <si>
    <t>fanfan-96926</t>
  </si>
  <si>
    <t xml:space="preserve">bonjour
je me sers très peu de ma mutuelle harmonie mais la j' ai différents problèmes à résoudre et je n'arrive pas à joindre un conseiller par téléphone le numéro fixe de l'agence d' antibes n' est plus attribué du coup il faut passer par la plate forme et la on attend, on attend  et par mail ou par le biais de la messagerie à partir de mon espace client pas plus de réponse impossible d'être rappelée ou d'avoir un rdv en ligne . Que faut il faire pour être contactée??? </t>
  </si>
  <si>
    <t>jean-63679</t>
  </si>
  <si>
    <t>j ai eu un bris de glace et 2 accidents matériels dont j ai contesté ma responsabilité en saisissant le Médiateur</t>
  </si>
  <si>
    <t>30/04/2018</t>
  </si>
  <si>
    <t>rachel-d-130999</t>
  </si>
  <si>
    <t>PRIX SATISFAISANT
BONUS WANTEED ACTIVE MAIS A QUOI AI JE DROIT EN BONUS SURPRISE SUITE A UNE SOUSCRIPTION ASSURANCE AUTO ET HABITATION,,
ON VERRA  DANS UN FUTUR PROCHE SI J AI DES REDUCTIONS</t>
  </si>
  <si>
    <t>raphael-67373</t>
  </si>
  <si>
    <t>Erika a était très réactive et a répondu a toutes mes interrogations sans aucun souci. on a était couper elle m'a rappeler aussitôt.</t>
  </si>
  <si>
    <t>jp-96358</t>
  </si>
  <si>
    <t xml:space="preserve"> 
GROSSE erreur de ma part d'avoir voulu assurer ma moto chez April moto,  à éviter ABSOLUMENT.
45 jours pour recevoir la carte verte définitive c'est long beaucoup trop long. Je n'ai pas utilisé ma moto depuis le 4 juillet jour de la souscription de l'assurance de peur de ne pas être correctement assuré et surtout ne prendre aucun risque.
j'espère pouvoir résilié mon contrat au plus vite et être remboursé en totalité.
C'est très compliqué d'avoir quelqu'un de compétent au téléphone et cela fait une semaine que j'attends que l'on me rappelle pour m'expliquer. Pas très sérieux tout ça.</t>
  </si>
  <si>
    <t>sand40-76275</t>
  </si>
  <si>
    <t>Je ne comprends rien. Plusieurs courtiers et jamais le bon interlocuteur. Le Service Client NEOLIANE ne répond jamais, ni au téléphone ni aux messages transmis via le formulaire. Les remboursements suite aux décomptes CPAM transmis via le site sont très longs...Manque de clarté et de transparence. Patience!</t>
  </si>
  <si>
    <t>27/05/2019</t>
  </si>
  <si>
    <t>gross-v-136617</t>
  </si>
  <si>
    <t>Je suis satisfait du service, simple rapide et efficace et tout est bien expliqué et les prix sont justes et le service client est très humain et respectueux.</t>
  </si>
  <si>
    <t>richard-a-128832</t>
  </si>
  <si>
    <t xml:space="preserve">Très content pour le moment (début de notre contrat); reste à voir s'il nous arrive un sinistre la réactivité des équipes de l'olivier assurance :) 
Pour le moment donc, au top ! </t>
  </si>
  <si>
    <t>pascal-m-105167</t>
  </si>
  <si>
    <t>Je suis satisfait des renseignements et du résultat je vous recommanderais a des amis pour prendre des assurances chez vous en plus au niveau prix c'est correct</t>
  </si>
  <si>
    <t>reda-z-133081</t>
  </si>
  <si>
    <t>Je suis satisfait pour la rapidité du service , le tarif est très interessant, je suis vraiment content . Je recommande à 1000% direct assurance . Top service</t>
  </si>
  <si>
    <t>tapeton-108822</t>
  </si>
  <si>
    <t>Contact rapide, claire et efficace concernant mes diverses demandes. Le temps d'attente est toujours relativement court, les réponses apportées répondent parfaitement aux interrogations.</t>
  </si>
  <si>
    <t>biss-72391</t>
  </si>
  <si>
    <t xml:space="preserve"> Ils m'ont demandé de leur verser un acompte quand j'ai souscris auprès de leur service pour assurer un éventuel achat automobile qui devait ce concrétiser dans un délai de 6 jours, hors l'achat  du véhicule en question n'a pas eu lieu et ils ont gardé les 1/3 de l'acompte que je leur avais versé sous prétexte que leur contrat avait pris effet avant l'achat du véhicule.
C'est aberrant ils m'ont prix de l'argent pour un véhicule qui ne m'appartient pas et que je n'ai pas!</t>
  </si>
  <si>
    <t>22/03/2019</t>
  </si>
  <si>
    <t>tilmann-d-137726</t>
  </si>
  <si>
    <t xml:space="preserve">Ok ça passe on verra au long terme, attention à votre scooter sur Marseille c’est pas des lol, protégés vous lorsque vous êtes en deux roues c’est hyper important </t>
  </si>
  <si>
    <t>pagano-122629</t>
  </si>
  <si>
    <t xml:space="preserve">A fuir ! 
M'ont débité 300 euros en plus, soit disant par erreur,
Et j'ai du me battre pendant un moment, sans toujours pouvoir récupérer cet argent,
La suite se terminera en justice...
Une honte !
</t>
  </si>
  <si>
    <t>07/07/2021</t>
  </si>
  <si>
    <t>mikael-76753</t>
  </si>
  <si>
    <t xml:space="preserve">A fuir tres vite. Ils vous affirment par téléphone que vos soins sont bien pris en charge et une fois les soins passés ils refusent de prendre en charge.
Et pour les soins pris en charge vous attendez plus de 2 mois pour le remboursement enfin j'attends encore </t>
  </si>
  <si>
    <t>13/06/2019</t>
  </si>
  <si>
    <t>olivier-51771</t>
  </si>
  <si>
    <t xml:space="preserve">trés mal reçu lors d une demande de panne 0 km inclus dans mon contrat par le service sinistre en me reprochant d' avoir pris un réparateur a 30 kms de chez moi (mon garagiste depuis des années )et que la prochaine fois je fasse attention 1ere fois que j' utilise mon assurance depuis deux ans </t>
  </si>
  <si>
    <t>annie-pisanu-139246</t>
  </si>
  <si>
    <t>IMPOSSIBLE A JOINDRE DEPUIS PLUSIEURS JOURS NI AU TELEPHONE NI PAR MAIL. LE SIEGE SOCIAL DE LYON NE PEUT PAS ME RENSEIGNER SUR UN REMBOURSEMENT ATTENDU ET ME DEMANDE D APPELER EN FIN DE SEMAINE. PANNE INFORMATIQUE. JE TROUVE CELA BIZARRE.</t>
  </si>
  <si>
    <t>dundee06-98961</t>
  </si>
  <si>
    <t xml:space="preserve">je suis retraité pas a me plaindre de ces service compréhensible et fais sont possible pour satisfaire les clients sur leurs demandes et réactif personnels aimable au téléphone </t>
  </si>
  <si>
    <t>nadlille-81772</t>
  </si>
  <si>
    <t xml:space="preserve">Je ne suis pas du genre à écrire de commentaire,  mais la qualité du service client laisse vraiment à désirer. Autant on peut tomber sur une personne qualifiée qui connaît son métier et qui cherche à vous aider autant aujourd'hui lors de la déclaration d'un sinistre auto non responsable je suis tombée sur une personne très désagréable: qui ne cherche en rien à solutionner le problème. Je suis d'abord allée en agence pour faire ma déclaration de sinistre, mais l'accueil m'a informé que je devais faire ma déclaration par téléphone. J'appelle et la je tombe sur la pire conseillère. Déjà cette personne se plaint de ne pas avoir le constat amiable que j'ai bien évidemment déposé en agence, puis enregistre le sinistre avec de la mauvaise volonté. J'ai déjà eu des soucis concernant l'assurance auto mais jamais je ne songeais à changer de compagnie. Mais la c'est fini,  je change de compagnie d'assurance auto.  Encore une fois il ne faut pas mettre les gens dans le même sac mais la manière dont j'ai étais traité par cette conseillère m' aura aidé à franchir le pas. 
Je ne conseille pas de prendre cette assurance </t>
  </si>
  <si>
    <t>benamira-k-130674</t>
  </si>
  <si>
    <t>Je suis satisfait de ce service qui est rapide, fiable et abordable.
Tout s'est fait correctement sans le moindre souci majeur à relever.
Je recommande</t>
  </si>
  <si>
    <t>sautron-l-133298</t>
  </si>
  <si>
    <t xml:space="preserve">Je suis satisfait et je vai fair part à ma familles amis collègues de travail mes sœurs neuveux mes enfants mes frères   nièce cousin cousine car moi je suis très satisfait </t>
  </si>
  <si>
    <t>jean-yves-l-101721</t>
  </si>
  <si>
    <t xml:space="preserve">Satisfait. Le prix est légèrement inférieur à mon contact actuel. Je pensais obtenir mieux compte tenu que je suis déjà client d'une assurance auto chez vous. </t>
  </si>
  <si>
    <t>21/12/2020</t>
  </si>
  <si>
    <t>ae91-109436</t>
  </si>
  <si>
    <t>Excellent suivi suite a sinistre non responsable, dossier validé en 48H et passage expert très rapide. Après réparation carrosserie dans garage non agréé, paiement effectué en 10 jours par virement.
Conseiller(e)s très agréables et informations données rapidement, franchement agréablement surpris par la réactivité dans la gestion de mon sinistre.
Merci a toute l'équipe.</t>
  </si>
  <si>
    <t>pas-content--100807</t>
  </si>
  <si>
    <t xml:space="preserve">Je ne recommande pas cette assurance 
Il sont bon en parole mes n'assure pas la suite je vous déconseille d'avoir un sinistre aucun suivis manque de professionnalisme, incompétence, dossier non suivis pas de sérieux.
Il ne me reste plus cas porter vôtre incompétence devant le tribunal de commerce je ne manquerai pas aussi de déposer plainte pour publicité mensongère devants les autorités compétente 
</t>
  </si>
  <si>
    <t>30/11/2020</t>
  </si>
  <si>
    <t>0012939262-100760</t>
  </si>
  <si>
    <t>chere ,est comme beaucoup d'assurances ,pas moyen de savoir exatement les remboursements au quel on a droits ?
bcp d'explications ou on ne comprend  rien du tout !
exemple :je suis allé chez ophtalmo je paie 45€,rembourcement avec sécu et april dans les 39€,de ma poche 6€ ?
En plus pour l'année 2021 augmentation de plus de 45€,merci pour ces cadeaux.</t>
  </si>
  <si>
    <t>29/11/2020</t>
  </si>
  <si>
    <t>pauline1979-63061</t>
  </si>
  <si>
    <t>Très mécontente ! Les garanties ne sont pas tenues, contrat fait par téléphone, pôle téléphonique d'aucun niveau ! Ils sont où les "vrais" conseillés qui connaissent leur métier ?? Nous avons souscrit à une assurance indemnités journalières en cas d'hospitalisations, mon mari c'est fait opéré le 28/11/2017, nous avons fourni tous les documents "3" fois, nous sommes le 9/04/2018 et toujours rien malgré nos relances quotidiennes !! Nous prenons donc contact avec la défense du consommateur !</t>
  </si>
  <si>
    <t>09/04/2018</t>
  </si>
  <si>
    <t>jean-mi-104584</t>
  </si>
  <si>
    <t xml:space="preserve">Leur niveau de prix est dans la moyenne par contre ne répond pas aux mails , ni les comptoirs du patrimoine , censé les représenter
Par téléphone au bout de 15 min d'attente j'ai eu droit à ; " Je relance le service et vous répond par mail dans la journée ( j'aurai du demander laquelle) "
Conclusion : Ça fait quasi 2 mois que j'attends mon rachat partiel , la priorité , sans doute , c'est que leur président fasse des belles photos avec des vedettes ou des politiciens
</t>
  </si>
  <si>
    <t>22/02/2021</t>
  </si>
  <si>
    <t>bertin-m-139339</t>
  </si>
  <si>
    <t xml:space="preserve">je suis très satisfaite , vous êtes rapide et efficace et toujours a l’écoute de vos clients et très réactif au téléphone je vous recommande sans problème </t>
  </si>
  <si>
    <t>ferroudja-114920</t>
  </si>
  <si>
    <t>Plus de 4 mois que je me bats pour liquider ma retraite supplémentaire.
Aucun moyen de joindre le service par téléphone. Délai de traitement des réclamations longs...
Ping Pong de mails sans avoir vu un sous de mon épargne retraite</t>
  </si>
  <si>
    <t>chrismane04-64439</t>
  </si>
  <si>
    <t>revision des tarifs sans avoir besoin de demander, explications bien compréhensible, sympathie des intervenants</t>
  </si>
  <si>
    <t>04/06/2018</t>
  </si>
  <si>
    <t>mariam-s-125150</t>
  </si>
  <si>
    <t xml:space="preserve">Top prix correct, site facile et une assurance souscrite en moins de 10 minutes. Je recommande, une des meilleures assurances sur le marché. Rien à dire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</si>
</sst>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0"/>
    <col customWidth="1" min="3" max="3" width="20.29"/>
    <col customWidth="1" min="4" max="7" width="8.71"/>
    <col customWidth="1" min="8" max="8" width="13.0"/>
    <col customWidth="1" min="9" max="26" width="8.71"/>
  </cols>
  <sheetData>
    <row r="1">
      <c r="A1" s="1" t="s">
        <v>0</v>
      </c>
      <c r="B1" s="1" t="s">
        <v>1</v>
      </c>
      <c r="C1" s="1" t="s">
        <v>2</v>
      </c>
      <c r="D1" s="1" t="s">
        <v>3</v>
      </c>
      <c r="E1" s="1" t="s">
        <v>4</v>
      </c>
      <c r="F1" s="1" t="s">
        <v>5</v>
      </c>
      <c r="G1" s="1" t="s">
        <v>6</v>
      </c>
      <c r="H1" s="1" t="s">
        <v>7</v>
      </c>
      <c r="I1" s="1" t="s">
        <v>8</v>
      </c>
      <c r="J1" s="1" t="s">
        <v>9</v>
      </c>
      <c r="K1" s="1" t="s">
        <v>10</v>
      </c>
    </row>
    <row r="2">
      <c r="A2" s="2">
        <v>1.0</v>
      </c>
      <c r="B2" s="2" t="s">
        <v>11</v>
      </c>
      <c r="C2" s="2" t="s">
        <v>12</v>
      </c>
      <c r="D2" s="2" t="s">
        <v>13</v>
      </c>
      <c r="E2" s="2" t="s">
        <v>14</v>
      </c>
      <c r="F2" s="2" t="s">
        <v>15</v>
      </c>
      <c r="G2" s="2" t="s">
        <v>16</v>
      </c>
      <c r="H2" s="2" t="s">
        <v>17</v>
      </c>
      <c r="I2" s="2" t="str">
        <f>IFERROR(__xludf.DUMMYFUNCTION("GOOGLETRANSLATE(C2,""fr"",""en"")"),"A customer service to subscribers absent as soon as a reimbursement takes time, exorbitant prices and a quality of mediocre reimbursement! If you want a mutual that reimburses well and that is at the market price, go your way ...")</f>
        <v>A customer service to subscribers absent as soon as a reimbursement takes time, exorbitant prices and a quality of mediocre reimbursement! If you want a mutual that reimburses well and that is at the market price, go your way ...</v>
      </c>
    </row>
    <row r="3">
      <c r="A3" s="2">
        <v>1.0</v>
      </c>
      <c r="B3" s="2" t="s">
        <v>18</v>
      </c>
      <c r="C3" s="2" t="s">
        <v>19</v>
      </c>
      <c r="D3" s="2" t="s">
        <v>20</v>
      </c>
      <c r="E3" s="2" t="s">
        <v>21</v>
      </c>
      <c r="F3" s="2" t="s">
        <v>15</v>
      </c>
      <c r="G3" s="2" t="s">
        <v>22</v>
      </c>
      <c r="H3" s="2" t="s">
        <v>23</v>
      </c>
      <c r="I3" s="2" t="str">
        <f>IFERROR(__xludf.DUMMYFUNCTION("GOOGLETRANSLATE(C3,""fr"",""en"")"),"A horror !! We have been living in hell since we stole our car in September 2019 in September 2019, we are at mid December and always no offering proposal! We have moved to agency on several occasions they can ""do nothing"" and call the sinister service "&amp;"almost every day, where everyone refers the ball !! We have no more vehicle since our file is ""pending"" with a 7 month old baby!
We explain our situation but no one can do anything!
What a shame !!!! Insurance to flee !!!")</f>
        <v>A horror !! We have been living in hell since we stole our car in September 2019 in September 2019, we are at mid December and always no offering proposal! We have moved to agency on several occasions they can "do nothing" and call the sinister service almost every day, where everyone refers the ball !! We have no more vehicle since our file is "pending" with a 7 month old baby!
We explain our situation but no one can do anything!
What a shame !!!! Insurance to flee !!!</v>
      </c>
    </row>
    <row r="4">
      <c r="A4" s="2">
        <v>4.0</v>
      </c>
      <c r="B4" s="2" t="s">
        <v>24</v>
      </c>
      <c r="C4" s="2" t="s">
        <v>25</v>
      </c>
      <c r="D4" s="2" t="s">
        <v>26</v>
      </c>
      <c r="E4" s="2" t="s">
        <v>21</v>
      </c>
      <c r="F4" s="2" t="s">
        <v>15</v>
      </c>
      <c r="G4" s="2" t="s">
        <v>27</v>
      </c>
      <c r="H4" s="2" t="s">
        <v>28</v>
      </c>
      <c r="I4" s="2" t="str">
        <f>IFERROR(__xludf.DUMMYFUNCTION("GOOGLETRANSLATE(C4,""fr"",""en"")"),"Personally super happy with my agency. After that remains insurance with its + and their - that everyone will notice according to their needs")</f>
        <v>Personally super happy with my agency. After that remains insurance with its + and their - that everyone will notice according to their needs</v>
      </c>
    </row>
    <row r="5">
      <c r="A5" s="2">
        <v>5.0</v>
      </c>
      <c r="B5" s="2" t="s">
        <v>29</v>
      </c>
      <c r="C5" s="2" t="s">
        <v>30</v>
      </c>
      <c r="D5" s="2" t="s">
        <v>31</v>
      </c>
      <c r="E5" s="2" t="s">
        <v>32</v>
      </c>
      <c r="F5" s="2" t="s">
        <v>15</v>
      </c>
      <c r="G5" s="2" t="s">
        <v>33</v>
      </c>
      <c r="H5" s="2" t="s">
        <v>34</v>
      </c>
      <c r="I5" s="2" t="str">
        <f>IFERROR(__xludf.DUMMYFUNCTION("GOOGLETRANSLATE(C5,""fr"",""en"")"),"Following the purchase of my new motorcycle, I find the value for money is very interesting, the guarantees offered meet my expectations, customer service has been listened to.")</f>
        <v>Following the purchase of my new motorcycle, I find the value for money is very interesting, the guarantees offered meet my expectations, customer service has been listened to.</v>
      </c>
    </row>
    <row r="6">
      <c r="A6" s="2">
        <v>3.0</v>
      </c>
      <c r="B6" s="2" t="s">
        <v>35</v>
      </c>
      <c r="C6" s="2" t="s">
        <v>36</v>
      </c>
      <c r="D6" s="2" t="s">
        <v>37</v>
      </c>
      <c r="E6" s="2" t="s">
        <v>14</v>
      </c>
      <c r="F6" s="2" t="s">
        <v>15</v>
      </c>
      <c r="G6" s="2" t="s">
        <v>38</v>
      </c>
      <c r="H6" s="2" t="s">
        <v>39</v>
      </c>
      <c r="I6" s="2" t="str">
        <f>IFERROR(__xludf.DUMMYFUNCTION("GOOGLETRANSLATE(C6,""fr"",""en"")"),"It is fast and efficient the Pix suits me but I do not have a mutual card or a connection identifier at the end of the membership I hope to receive all this quickly.")</f>
        <v>It is fast and efficient the Pix suits me but I do not have a mutual card or a connection identifier at the end of the membership I hope to receive all this quickly.</v>
      </c>
    </row>
    <row r="7">
      <c r="A7" s="2">
        <v>5.0</v>
      </c>
      <c r="B7" s="2" t="s">
        <v>40</v>
      </c>
      <c r="C7" s="2" t="s">
        <v>41</v>
      </c>
      <c r="D7" s="2" t="s">
        <v>42</v>
      </c>
      <c r="E7" s="2" t="s">
        <v>21</v>
      </c>
      <c r="F7" s="2" t="s">
        <v>15</v>
      </c>
      <c r="G7" s="2" t="s">
        <v>43</v>
      </c>
      <c r="H7" s="2" t="s">
        <v>44</v>
      </c>
      <c r="I7" s="2" t="str">
        <f>IFERROR(__xludf.DUMMYFUNCTION("GOOGLETRANSLATE(C7,""fr"",""en"")"),"Loading...")</f>
        <v>Loading...</v>
      </c>
    </row>
    <row r="8">
      <c r="A8" s="2">
        <v>1.0</v>
      </c>
      <c r="B8" s="2" t="s">
        <v>45</v>
      </c>
      <c r="C8" s="2" t="s">
        <v>46</v>
      </c>
      <c r="D8" s="2" t="s">
        <v>47</v>
      </c>
      <c r="E8" s="2" t="s">
        <v>48</v>
      </c>
      <c r="F8" s="2" t="s">
        <v>15</v>
      </c>
      <c r="G8" s="2" t="s">
        <v>49</v>
      </c>
      <c r="H8" s="2" t="s">
        <v>50</v>
      </c>
      <c r="I8" s="2" t="str">
        <f>IFERROR(__xludf.DUMMYFUNCTION("GOOGLETRANSLATE(C8,""fr"",""en"")"),"My wife worked as a sophrologist and had assured the cabinet she rented in a health space with AXA.
February 2020 following a sharp drop in activity (COVID start), she stopped the rental contract for her office. When the insurance renewal deadline in Jun"&amp;"e 2020 arrives, in the midst of a containment, she omits to report to Axa that she has not rented the firm for several months. Since that date and despite a file addressed to the management of AXA explaining with all the details including the fact that it"&amp;" had to completely stop its activity, it is continued by AXA which claims the payment of the insurance for a period ( From June 2020) where she no longer praised this cabinet ... Last episode, opinion of a bailiff of ""justice"" responsible for recovering"&amp;" the amount!
Never again we will entrust the least of our goods to insure in Axa!
")</f>
        <v>My wife worked as a sophrologist and had assured the cabinet she rented in a health space with AXA.
February 2020 following a sharp drop in activity (COVID start), she stopped the rental contract for her office. When the insurance renewal deadline in June 2020 arrives, in the midst of a containment, she omits to report to Axa that she has not rented the firm for several months. Since that date and despite a file addressed to the management of AXA explaining with all the details including the fact that it had to completely stop its activity, it is continued by AXA which claims the payment of the insurance for a period ( From June 2020) where she no longer praised this cabinet ... Last episode, opinion of a bailiff of "justice" responsible for recovering the amount!
Never again we will entrust the least of our goods to insure in Axa!
</v>
      </c>
    </row>
    <row r="9">
      <c r="A9" s="2">
        <v>3.0</v>
      </c>
      <c r="B9" s="2" t="s">
        <v>51</v>
      </c>
      <c r="C9" s="2" t="s">
        <v>52</v>
      </c>
      <c r="D9" s="2" t="s">
        <v>42</v>
      </c>
      <c r="E9" s="2" t="s">
        <v>21</v>
      </c>
      <c r="F9" s="2" t="s">
        <v>15</v>
      </c>
      <c r="G9" s="2" t="s">
        <v>53</v>
      </c>
      <c r="H9" s="2" t="s">
        <v>54</v>
      </c>
      <c r="I9" s="2" t="str">
        <f>IFERROR(__xludf.DUMMYFUNCTION("GOOGLETRANSLATE(C9,""fr"",""en"")"),"Loading...")</f>
        <v>Loading...</v>
      </c>
    </row>
    <row r="10">
      <c r="A10" s="2">
        <v>1.0</v>
      </c>
      <c r="B10" s="2" t="s">
        <v>55</v>
      </c>
      <c r="C10" s="2" t="s">
        <v>56</v>
      </c>
      <c r="D10" s="2" t="s">
        <v>57</v>
      </c>
      <c r="E10" s="2" t="s">
        <v>14</v>
      </c>
      <c r="F10" s="2" t="s">
        <v>15</v>
      </c>
      <c r="G10" s="2" t="s">
        <v>58</v>
      </c>
      <c r="H10" s="2" t="s">
        <v>59</v>
      </c>
      <c r="I10" s="2" t="str">
        <f>IFERROR(__xludf.DUMMYFUNCTION("GOOGLETRANSLATE(C10,""fr"",""en"")"),"Catastrophic mutual, blocked in the 90s.
Request for termination made 2 and a half months ago, no confirmation of my advisor after several weeks. Two files open via their internet platform, no response, 1 month later. I tried to reach them on the phone"&amp;" in parallel for 1 month. ""Our advisers are all busy"", it hangs up with the nose directly, no queues. My advisor was on vacation, no one to take over, no message of absence on her mailbox for 3 weeks.
I try to reconnect to the platform, they have cha"&amp;"nged site, the identifiers do not work, no way to reset its password, the pages are in errors.
I blocked payments at the end of May in the absence of an answer, I receive an unpaid invoice at the end of June with in addition to rejections.
A shame, "&amp;"we are in 2021, where do you live ??")</f>
        <v>Catastrophic mutual, blocked in the 90s.
Request for termination made 2 and a half months ago, no confirmation of my advisor after several weeks. Two files open via their internet platform, no response, 1 month later. I tried to reach them on the phone in parallel for 1 month. "Our advisers are all busy", it hangs up with the nose directly, no queues. My advisor was on vacation, no one to take over, no message of absence on her mailbox for 3 weeks.
I try to reconnect to the platform, they have changed site, the identifiers do not work, no way to reset its password, the pages are in errors.
I blocked payments at the end of May in the absence of an answer, I receive an unpaid invoice at the end of June with in addition to rejections.
A shame, we are in 2021, where do you live ??</v>
      </c>
    </row>
    <row r="11">
      <c r="A11" s="2">
        <v>3.0</v>
      </c>
      <c r="B11" s="2" t="s">
        <v>60</v>
      </c>
      <c r="C11" s="2" t="s">
        <v>61</v>
      </c>
      <c r="D11" s="2" t="s">
        <v>62</v>
      </c>
      <c r="E11" s="2" t="s">
        <v>21</v>
      </c>
      <c r="F11" s="2" t="s">
        <v>15</v>
      </c>
      <c r="G11" s="2" t="s">
        <v>63</v>
      </c>
      <c r="H11" s="2" t="s">
        <v>64</v>
      </c>
      <c r="I11" s="2" t="str">
        <f>IFERROR(__xludf.DUMMYFUNCTION("GOOGLETRANSLATE(C11,""fr"",""en"")"),"Hello
I find it hard to understand, I have been insuming with you since 2019, and today I want to ensure a new vehicle, and you ask me for the statement of my former insurer that you already have in your possession ... . And in addition you are unreach"&amp;"able on 0969920697 ..... Do you want or not assue my vehicle?
Otherwise send me an information statement .. !!")</f>
        <v>Hello
I find it hard to understand, I have been insuming with you since 2019, and today I want to ensure a new vehicle, and you ask me for the statement of my former insurer that you already have in your possession ... . And in addition you are unreachable on 0969920697 ..... Do you want or not assue my vehicle?
Otherwise send me an information statement .. !!</v>
      </c>
    </row>
    <row r="12">
      <c r="A12" s="2">
        <v>5.0</v>
      </c>
      <c r="B12" s="2" t="s">
        <v>65</v>
      </c>
      <c r="C12" s="2" t="s">
        <v>66</v>
      </c>
      <c r="D12" s="2" t="s">
        <v>67</v>
      </c>
      <c r="E12" s="2" t="s">
        <v>32</v>
      </c>
      <c r="F12" s="2" t="s">
        <v>15</v>
      </c>
      <c r="G12" s="2" t="s">
        <v>68</v>
      </c>
      <c r="H12" s="2" t="s">
        <v>44</v>
      </c>
      <c r="I12" s="2" t="str">
        <f>IFERROR(__xludf.DUMMYFUNCTION("GOOGLETRANSLATE(C12,""fr"",""en"")"),"I am satisfied with the prices and the AMV service for the insurance of this leisure vehicle.
No particular comment to express through this opinion.
")</f>
        <v>I am satisfied with the prices and the AMV service for the insurance of this leisure vehicle.
No particular comment to express through this opinion.
</v>
      </c>
    </row>
    <row r="13">
      <c r="A13" s="2">
        <v>1.0</v>
      </c>
      <c r="B13" s="2" t="s">
        <v>69</v>
      </c>
      <c r="C13" s="2" t="s">
        <v>70</v>
      </c>
      <c r="D13" s="2" t="s">
        <v>31</v>
      </c>
      <c r="E13" s="2" t="s">
        <v>32</v>
      </c>
      <c r="F13" s="2" t="s">
        <v>15</v>
      </c>
      <c r="G13" s="2" t="s">
        <v>71</v>
      </c>
      <c r="H13" s="2" t="s">
        <v>72</v>
      </c>
      <c r="I13" s="2" t="str">
        <f>IFERROR(__xludf.DUMMYFUNCTION("GOOGLETRANSLATE(C13,""fr"",""en"")"),"Do not subscribe. Horrible interminable treatment when a disaster is declared. To flee absolutely. In addition the telephone contact __ ----")</f>
        <v>Do not subscribe. Horrible interminable treatment when a disaster is declared. To flee absolutely. In addition the telephone contact __ ----</v>
      </c>
    </row>
    <row r="14">
      <c r="A14" s="2">
        <v>1.0</v>
      </c>
      <c r="B14" s="2" t="s">
        <v>73</v>
      </c>
      <c r="C14" s="2" t="s">
        <v>74</v>
      </c>
      <c r="D14" s="2" t="s">
        <v>75</v>
      </c>
      <c r="E14" s="2" t="s">
        <v>76</v>
      </c>
      <c r="F14" s="2" t="s">
        <v>15</v>
      </c>
      <c r="G14" s="2" t="s">
        <v>77</v>
      </c>
      <c r="H14" s="2" t="s">
        <v>78</v>
      </c>
      <c r="I14" s="2" t="str">
        <f>IFERROR(__xludf.DUMMYFUNCTION("GOOGLETRANSLATE(C14,""fr"",""en"")"),"My husband and I wanted to take out insurance for our loan, especially since we have one and the other of the health problems. We therefore each formed a medical file. I had an insurance proposal and surprise the first and I specified that we would only g"&amp;"ive our approval receiving the insurance proposal from my husband. This file is late, my response time was exceeded despite my phone calls. My file was canceled when my husband received his proposal. So I redid my request. Waiting times to have a global r"&amp;"esponse: two years! To save time, I think, the bank made us sign the loan without having a surprise insurance, we knew nothing. Insurance offered us a new contract following this signature! We did not understand anything since we were already sensible! So"&amp;" we did not follow up ... and here we are without ""medical"" insurance without having asked anything from anyone! Incredible right? Let us seek members to train collective in order to assign the SOGECAP and Société Générale en courts")</f>
        <v>My husband and I wanted to take out insurance for our loan, especially since we have one and the other of the health problems. We therefore each formed a medical file. I had an insurance proposal and surprise the first and I specified that we would only give our approval receiving the insurance proposal from my husband. This file is late, my response time was exceeded despite my phone calls. My file was canceled when my husband received his proposal. So I redid my request. Waiting times to have a global response: two years! To save time, I think, the bank made us sign the loan without having a surprise insurance, we knew nothing. Insurance offered us a new contract following this signature! We did not understand anything since we were already sensible! So we did not follow up ... and here we are without "medical" insurance without having asked anything from anyone! Incredible right? Let us seek members to train collective in order to assign the SOGECAP and Société Générale en courts</v>
      </c>
    </row>
    <row r="15">
      <c r="A15" s="2">
        <v>1.0</v>
      </c>
      <c r="B15" s="2" t="s">
        <v>79</v>
      </c>
      <c r="C15" s="2" t="s">
        <v>80</v>
      </c>
      <c r="D15" s="2" t="s">
        <v>81</v>
      </c>
      <c r="E15" s="2" t="s">
        <v>14</v>
      </c>
      <c r="F15" s="2" t="s">
        <v>15</v>
      </c>
      <c r="G15" s="2" t="s">
        <v>82</v>
      </c>
      <c r="H15" s="2" t="s">
        <v>83</v>
      </c>
      <c r="I15" s="2" t="str">
        <f>IFERROR(__xludf.DUMMYFUNCTION("GOOGLETRANSLATE(C15,""fr"",""en"")"),"scandal !!! Request for deportement made 2 months ago. No more coverage since June 9 !!!. They ask me for my papers ... To date still nothing and they are looking for papers ... We see again and we are told: you have to wait, you can do nothing else !!!")</f>
        <v>scandal !!! Request for deportement made 2 months ago. No more coverage since June 9 !!!. They ask me for my papers ... To date still nothing and they are looking for papers ... We see again and we are told: you have to wait, you can do nothing else !!!</v>
      </c>
    </row>
    <row r="16">
      <c r="A16" s="2">
        <v>5.0</v>
      </c>
      <c r="B16" s="2" t="s">
        <v>84</v>
      </c>
      <c r="C16" s="2" t="s">
        <v>85</v>
      </c>
      <c r="D16" s="2" t="s">
        <v>62</v>
      </c>
      <c r="E16" s="2" t="s">
        <v>21</v>
      </c>
      <c r="F16" s="2" t="s">
        <v>15</v>
      </c>
      <c r="G16" s="2" t="s">
        <v>86</v>
      </c>
      <c r="H16" s="2" t="s">
        <v>64</v>
      </c>
      <c r="I16" s="2" t="str">
        <f>IFERROR(__xludf.DUMMYFUNCTION("GOOGLETRANSLATE(C16,""fr"",""en"")"),"Satisfied with your services, very good telephone reception and always very explanatory information. I recommend direct insurance to all my knowledge.
")</f>
        <v>Satisfied with your services, very good telephone reception and always very explanatory information. I recommend direct insurance to all my knowledge.
</v>
      </c>
    </row>
    <row r="17">
      <c r="A17" s="2">
        <v>1.0</v>
      </c>
      <c r="B17" s="2" t="s">
        <v>87</v>
      </c>
      <c r="C17" s="2" t="s">
        <v>88</v>
      </c>
      <c r="D17" s="2" t="s">
        <v>89</v>
      </c>
      <c r="E17" s="2" t="s">
        <v>90</v>
      </c>
      <c r="F17" s="2" t="s">
        <v>15</v>
      </c>
      <c r="G17" s="2" t="s">
        <v>91</v>
      </c>
      <c r="H17" s="2" t="s">
        <v>92</v>
      </c>
      <c r="I17" s="2" t="str">
        <f>IFERROR(__xludf.DUMMYFUNCTION("GOOGLETRANSLATE(C17,""fr"",""en"")"),"Still no contact with AFER services since the end of December to settle life insurance. The regional councilor Aviva himself admits no longer being able to join them.
I made a report at the UFC Que Choisir and the ACPR and after two months, it will be th"&amp;"e mediator and the late penalties. I hope it will unlock before the court.")</f>
        <v>Still no contact with AFER services since the end of December to settle life insurance. The regional councilor Aviva himself admits no longer being able to join them.
I made a report at the UFC Que Choisir and the ACPR and after two months, it will be the mediator and the late penalties. I hope it will unlock before the court.</v>
      </c>
    </row>
    <row r="18">
      <c r="A18" s="2">
        <v>1.0</v>
      </c>
      <c r="B18" s="2" t="s">
        <v>93</v>
      </c>
      <c r="C18" s="2" t="s">
        <v>94</v>
      </c>
      <c r="D18" s="2" t="s">
        <v>95</v>
      </c>
      <c r="E18" s="2" t="s">
        <v>32</v>
      </c>
      <c r="F18" s="2" t="s">
        <v>15</v>
      </c>
      <c r="G18" s="2" t="s">
        <v>96</v>
      </c>
      <c r="H18" s="2" t="s">
        <v>83</v>
      </c>
      <c r="I18" s="2" t="str">
        <f>IFERROR(__xludf.DUMMYFUNCTION("GOOGLETRANSLATE(C18,""fr"",""en"")"),"I am looking for the error: 587 euros of subscription when I have just made a simulation on the Mutual site which displays a quote of 371 euros with identical services !!!")</f>
        <v>I am looking for the error: 587 euros of subscription when I have just made a simulation on the Mutual site which displays a quote of 371 euros with identical services !!!</v>
      </c>
    </row>
    <row r="19">
      <c r="A19" s="2">
        <v>1.0</v>
      </c>
      <c r="B19" s="2" t="s">
        <v>97</v>
      </c>
      <c r="C19" s="2" t="s">
        <v>98</v>
      </c>
      <c r="D19" s="2" t="s">
        <v>99</v>
      </c>
      <c r="E19" s="2" t="s">
        <v>21</v>
      </c>
      <c r="F19" s="2" t="s">
        <v>15</v>
      </c>
      <c r="G19" s="2" t="s">
        <v>100</v>
      </c>
      <c r="H19" s="2" t="s">
        <v>17</v>
      </c>
      <c r="I19" s="2" t="str">
        <f>IFERROR(__xludf.DUMMYFUNCTION("GOOGLETRANSLATE(C19,""fr"",""en"")"),"Dear insurer with employees ...!
I found myself broken down 250 km from my home and the MAIF plans to repatriate a rental car the next day. Only, arriving at the scene of the rental, we discover that the agency is closed until October this year! (we are "&amp;"in May). No excuse on the part of the assistance, which retorts us that it is the fault of the agency, that it did not warn them of its closure ... Go explain to me how the assistance could reserve a vehicle. ..
We had to go more than an hour's drive to "&amp;"take another rental vehicle. Of course, this second agency being in the wrong direction, it added us an hour more to the initial journey. A total of 2 hours of taxi and 3h30 by car to get back from a place located 250 km from my home ... We saw more effic"&amp;"ient! But still no apologies for assistance. When you ask for information, no polite formula: you are shipped by infantilizing!
Annies of unanswered contributions and we realize that when something comes that we pay far too expensive!")</f>
        <v>Dear insurer with employees ...!
I found myself broken down 250 km from my home and the MAIF plans to repatriate a rental car the next day. Only, arriving at the scene of the rental, we discover that the agency is closed until October this year! (we are in May). No excuse on the part of the assistance, which retorts us that it is the fault of the agency, that it did not warn them of its closure ... Go explain to me how the assistance could reserve a vehicle. ..
We had to go more than an hour's drive to take another rental vehicle. Of course, this second agency being in the wrong direction, it added us an hour more to the initial journey. A total of 2 hours of taxi and 3h30 by car to get back from a place located 250 km from my home ... We saw more efficient! But still no apologies for assistance. When you ask for information, no polite formula: you are shipped by infantilizing!
Annies of unanswered contributions and we realize that when something comes that we pay far too expensive!</v>
      </c>
    </row>
    <row r="20">
      <c r="A20" s="2">
        <v>2.0</v>
      </c>
      <c r="B20" s="2" t="s">
        <v>101</v>
      </c>
      <c r="C20" s="2" t="s">
        <v>102</v>
      </c>
      <c r="D20" s="2" t="s">
        <v>103</v>
      </c>
      <c r="E20" s="2" t="s">
        <v>104</v>
      </c>
      <c r="F20" s="2" t="s">
        <v>15</v>
      </c>
      <c r="G20" s="2" t="s">
        <v>105</v>
      </c>
      <c r="H20" s="2" t="s">
        <v>106</v>
      </c>
      <c r="I20" s="2" t="str">
        <f>IFERROR(__xludf.DUMMYFUNCTION("GOOGLETRANSLATE(C20,""fr"",""en"")"),"Hello,
On January 10, 2019 I made a request to reimburse my premiums for my sick leave dated November 12 to 16, 2018, which was received on January 11.
Many complaints were made by my internal interior agency as well as by me by phone.
To each of my "&amp;"calls, I am told that my provident compensation will be put into payment. However, nothing has been done yet. I have a guarantee maintenance of wages and bonuses without deductible. I would like to know when this amount will be put into payment. I am soon"&amp;" at 2 months of waiting and I am quite disappointed with the interior services in terms of reimbursements. I am a young single mother with invoices to honor and I cannot afford to have banking concerns due to the delay in interior payment.
I didn't wan"&amp;"t to get a negative comment but even using the website to exhibit my interior complaint on March 5, I had no return.
I understand that following the internal reshuffle, there can be delays but the members should not suffer.
I find it a shame to have to "&amp;"go through www.opinion-assurances to be heard.
I hope that my request will not end up being processed one day ... (number members in case: 4059578).
")</f>
        <v>Hello,
On January 10, 2019 I made a request to reimburse my premiums for my sick leave dated November 12 to 16, 2018, which was received on January 11.
Many complaints were made by my internal interior agency as well as by me by phone.
To each of my calls, I am told that my provident compensation will be put into payment. However, nothing has been done yet. I have a guarantee maintenance of wages and bonuses without deductible. I would like to know when this amount will be put into payment. I am soon at 2 months of waiting and I am quite disappointed with the interior services in terms of reimbursements. I am a young single mother with invoices to honor and I cannot afford to have banking concerns due to the delay in interior payment.
I didn't want to get a negative comment but even using the website to exhibit my interior complaint on March 5, I had no return.
I understand that following the internal reshuffle, there can be delays but the members should not suffer.
I find it a shame to have to go through www.opinion-assurances to be heard.
I hope that my request will not end up being processed one day ... (number members in case: 4059578).
</v>
      </c>
    </row>
    <row r="21" ht="15.75" customHeight="1">
      <c r="A21" s="2">
        <v>3.0</v>
      </c>
      <c r="B21" s="2" t="s">
        <v>107</v>
      </c>
      <c r="C21" s="2" t="s">
        <v>108</v>
      </c>
      <c r="D21" s="2" t="s">
        <v>62</v>
      </c>
      <c r="E21" s="2" t="s">
        <v>21</v>
      </c>
      <c r="F21" s="2" t="s">
        <v>15</v>
      </c>
      <c r="G21" s="2" t="s">
        <v>109</v>
      </c>
      <c r="H21" s="2" t="s">
        <v>54</v>
      </c>
      <c r="I21" s="2" t="str">
        <f>IFERROR(__xludf.DUMMYFUNCTION("GOOGLETRANSLATE(C21,""fr"",""en"")"),"I am dissatisfied to pay for the fees.
The way of doing things is long and tedious when we already have a car contract, the information is therefore already at home.")</f>
        <v>I am dissatisfied to pay for the fees.
The way of doing things is long and tedious when we already have a car contract, the information is therefore already at home.</v>
      </c>
    </row>
    <row r="22" ht="15.75" customHeight="1">
      <c r="A22" s="2">
        <v>1.0</v>
      </c>
      <c r="B22" s="2" t="s">
        <v>110</v>
      </c>
      <c r="C22" s="2" t="s">
        <v>111</v>
      </c>
      <c r="D22" s="2" t="s">
        <v>62</v>
      </c>
      <c r="E22" s="2" t="s">
        <v>21</v>
      </c>
      <c r="F22" s="2" t="s">
        <v>15</v>
      </c>
      <c r="G22" s="2" t="s">
        <v>112</v>
      </c>
      <c r="H22" s="2" t="s">
        <v>113</v>
      </c>
      <c r="I22" s="2" t="str">
        <f>IFERROR(__xludf.DUMMYFUNCTION("GOOGLETRANSLATE(C22,""fr"",""en"")"),"modification of prices without having been informed. 25% franchise on windshield if not changed by Carglass. Insured at home for 2 vehicles without accident for 12 years and no commercial gesture. Very disappointed I would not recommend them and I will te"&amp;"rminate my 2 contracts.")</f>
        <v>modification of prices without having been informed. 25% franchise on windshield if not changed by Carglass. Insured at home for 2 vehicles without accident for 12 years and no commercial gesture. Very disappointed I would not recommend them and I will terminate my 2 contracts.</v>
      </c>
    </row>
    <row r="23" ht="15.75" customHeight="1">
      <c r="A23" s="2">
        <v>4.0</v>
      </c>
      <c r="B23" s="2" t="s">
        <v>114</v>
      </c>
      <c r="C23" s="2" t="s">
        <v>115</v>
      </c>
      <c r="D23" s="2" t="s">
        <v>42</v>
      </c>
      <c r="E23" s="2" t="s">
        <v>21</v>
      </c>
      <c r="F23" s="2" t="s">
        <v>15</v>
      </c>
      <c r="G23" s="2" t="s">
        <v>116</v>
      </c>
      <c r="H23" s="2" t="s">
        <v>54</v>
      </c>
      <c r="I23" s="2" t="str">
        <f>IFERROR(__xludf.DUMMYFUNCTION("GOOGLETRANSLATE(C23,""fr"",""en"")"),"Loading...")</f>
        <v>Loading...</v>
      </c>
    </row>
    <row r="24" ht="15.75" customHeight="1">
      <c r="A24" s="2">
        <v>1.0</v>
      </c>
      <c r="B24" s="2" t="s">
        <v>117</v>
      </c>
      <c r="C24" s="2" t="s">
        <v>118</v>
      </c>
      <c r="D24" s="2" t="s">
        <v>99</v>
      </c>
      <c r="E24" s="2" t="s">
        <v>21</v>
      </c>
      <c r="F24" s="2" t="s">
        <v>15</v>
      </c>
      <c r="G24" s="2" t="s">
        <v>119</v>
      </c>
      <c r="H24" s="2" t="s">
        <v>59</v>
      </c>
      <c r="I24" s="2" t="str">
        <f>IFERROR(__xludf.DUMMYFUNCTION("GOOGLETRANSLATE(C24,""fr"",""en"")"),"I will leave the Maif, customer for over thirty years, but there I discover that in fact, on an old claim where I was a victim, he told me the opposite of the one I am ""author"" today . Result for the last no compensation, (lack of maintenance, I am ther"&amp;"efore responsible for the deluge which collapsed a barn!) And more than six months of waiting so that the Gravas are still not evacuated from my neighbor. The previous one I could not be compensated, because the MAIF did not want to contact the insurer of"&amp;" the responsible store who nevertheless wished to be unanded (+5,000 euros in damage). Disappointed at first, I am now furious to discover the practices of a rather particular mutualism, which I never usually call.")</f>
        <v>I will leave the Maif, customer for over thirty years, but there I discover that in fact, on an old claim where I was a victim, he told me the opposite of the one I am "author" today . Result for the last no compensation, (lack of maintenance, I am therefore responsible for the deluge which collapsed a barn!) And more than six months of waiting so that the Gravas are still not evacuated from my neighbor. The previous one I could not be compensated, because the MAIF did not want to contact the insurer of the responsible store who nevertheless wished to be unanded (+5,000 euros in damage). Disappointed at first, I am now furious to discover the practices of a rather particular mutualism, which I never usually call.</v>
      </c>
    </row>
    <row r="25" ht="15.75" customHeight="1">
      <c r="A25" s="2">
        <v>3.0</v>
      </c>
      <c r="B25" s="2" t="s">
        <v>120</v>
      </c>
      <c r="C25" s="2" t="s">
        <v>121</v>
      </c>
      <c r="D25" s="2" t="s">
        <v>62</v>
      </c>
      <c r="E25" s="2" t="s">
        <v>21</v>
      </c>
      <c r="F25" s="2" t="s">
        <v>15</v>
      </c>
      <c r="G25" s="2" t="s">
        <v>122</v>
      </c>
      <c r="H25" s="2" t="s">
        <v>123</v>
      </c>
      <c r="I25" s="2" t="str">
        <f>IFERROR(__xludf.DUMMYFUNCTION("GOOGLETRANSLATE(C25,""fr"",""en"")"),"Loading...")</f>
        <v>Loading...</v>
      </c>
    </row>
    <row r="26" ht="15.75" customHeight="1">
      <c r="A26" s="2">
        <v>4.0</v>
      </c>
      <c r="B26" s="2" t="s">
        <v>124</v>
      </c>
      <c r="C26" s="2" t="s">
        <v>125</v>
      </c>
      <c r="D26" s="2" t="s">
        <v>42</v>
      </c>
      <c r="E26" s="2" t="s">
        <v>21</v>
      </c>
      <c r="F26" s="2" t="s">
        <v>15</v>
      </c>
      <c r="G26" s="2" t="s">
        <v>126</v>
      </c>
      <c r="H26" s="2" t="s">
        <v>44</v>
      </c>
      <c r="I26" s="2" t="str">
        <f>IFERROR(__xludf.DUMMYFUNCTION("GOOGLETRANSLATE(C26,""fr"",""en"")"),"We will see, but for the moment it's perfect. The answer was very fast thank you. super friendly telephone service and welcome.")</f>
        <v>We will see, but for the moment it's perfect. The answer was very fast thank you. super friendly telephone service and welcome.</v>
      </c>
    </row>
    <row r="27" ht="15.75" customHeight="1">
      <c r="A27" s="2">
        <v>2.0</v>
      </c>
      <c r="B27" s="2" t="s">
        <v>127</v>
      </c>
      <c r="C27" s="2" t="s">
        <v>128</v>
      </c>
      <c r="D27" s="2" t="s">
        <v>62</v>
      </c>
      <c r="E27" s="2" t="s">
        <v>129</v>
      </c>
      <c r="F27" s="2" t="s">
        <v>15</v>
      </c>
      <c r="G27" s="2" t="s">
        <v>130</v>
      </c>
      <c r="H27" s="2" t="s">
        <v>123</v>
      </c>
      <c r="I27" s="2" t="str">
        <f>IFERROR(__xludf.DUMMYFUNCTION("GOOGLETRANSLATE(C27,""fr"",""en"")"),"Horrible. I have no other word.
Hyper procedural, plays the watch, never reimburses. Zero transparency, unimaginable slowness. I declared a claim last November, still not the shadow of a refund. In the meantime, I have paid all my contributions ...
It i"&amp;"s unacceptable. The expected reimbursement represents half of my monthly salary, the insurance puts its pockets full while I row to reach the 2 ends.
Bravo direct insurance!")</f>
        <v>Horrible. I have no other word.
Hyper procedural, plays the watch, never reimburses. Zero transparency, unimaginable slowness. I declared a claim last November, still not the shadow of a refund. In the meantime, I have paid all my contributions ...
It is unacceptable. The expected reimbursement represents half of my monthly salary, the insurance puts its pockets full while I row to reach the 2 ends.
Bravo direct insurance!</v>
      </c>
    </row>
    <row r="28" ht="15.75" customHeight="1">
      <c r="A28" s="2">
        <v>3.0</v>
      </c>
      <c r="B28" s="2" t="s">
        <v>131</v>
      </c>
      <c r="C28" s="2" t="s">
        <v>132</v>
      </c>
      <c r="D28" s="2" t="s">
        <v>133</v>
      </c>
      <c r="E28" s="2" t="s">
        <v>14</v>
      </c>
      <c r="F28" s="2" t="s">
        <v>15</v>
      </c>
      <c r="G28" s="2" t="s">
        <v>134</v>
      </c>
      <c r="H28" s="2" t="s">
        <v>92</v>
      </c>
      <c r="I28" s="2" t="str">
        <f>IFERROR(__xludf.DUMMYFUNCTION("GOOGLETRANSLATE(C28,""fr"",""en"")"),"Mutual to flee, I have portability but since the beginning of the year more follow -up of my file at home
And when I always phone them yes yes sir I send you your paid third party card
To date still nothing
To flee very bad follow -up and service E by "&amp;"phone enormously incompetent waiting")</f>
        <v>Mutual to flee, I have portability but since the beginning of the year more follow -up of my file at home
And when I always phone them yes yes sir I send you your paid third party card
To date still nothing
To flee very bad follow -up and service E by phone enormously incompetent waiting</v>
      </c>
    </row>
    <row r="29" ht="15.75" customHeight="1">
      <c r="A29" s="2">
        <v>1.0</v>
      </c>
      <c r="B29" s="2" t="s">
        <v>135</v>
      </c>
      <c r="C29" s="2" t="s">
        <v>136</v>
      </c>
      <c r="D29" s="2" t="s">
        <v>137</v>
      </c>
      <c r="E29" s="2" t="s">
        <v>129</v>
      </c>
      <c r="F29" s="2" t="s">
        <v>15</v>
      </c>
      <c r="G29" s="2" t="s">
        <v>54</v>
      </c>
      <c r="H29" s="2" t="s">
        <v>54</v>
      </c>
      <c r="I29" s="2" t="str">
        <f>IFERROR(__xludf.DUMMYFUNCTION("GOOGLETRANSLATE(C29,""fr"",""en"")"),"Null insurance after a water damage no refund on their part I strongly advise against this insurance and the counselors really not friendly and unpleasant")</f>
        <v>Null insurance after a water damage no refund on their part I strongly advise against this insurance and the counselors really not friendly and unpleasant</v>
      </c>
    </row>
    <row r="30" ht="15.75" customHeight="1">
      <c r="A30" s="2">
        <v>2.0</v>
      </c>
      <c r="B30" s="2" t="s">
        <v>138</v>
      </c>
      <c r="C30" s="2" t="s">
        <v>139</v>
      </c>
      <c r="D30" s="2" t="s">
        <v>42</v>
      </c>
      <c r="E30" s="2" t="s">
        <v>21</v>
      </c>
      <c r="F30" s="2" t="s">
        <v>15</v>
      </c>
      <c r="G30" s="2" t="s">
        <v>140</v>
      </c>
      <c r="H30" s="2" t="s">
        <v>141</v>
      </c>
      <c r="I30" s="2" t="str">
        <f>IFERROR(__xludf.DUMMYFUNCTION("GOOGLETRANSLATE(C30,""fr"",""en"")"),"Insurance subscribed in January, after several phone calls (where I am tribal from service to service), 3 emails, 1 recommended, I always wait for my green card (which has been expired for 9 months) .. everything is fine.
As the only answer, automatic "&amp;"emails where I am claimed a document that I did not and that I had said not having when I subscribe to the phone.
I have just received my notice of maturity, no accident, nothing, 5% more bonuses, and 50 euros of increasing ... and I still do not know "&amp;"if I am really assured or not ...
9 months that I ride with expired insurance with a vehicle that coasts around 16,000 euros.
")</f>
        <v>Insurance subscribed in January, after several phone calls (where I am tribal from service to service), 3 emails, 1 recommended, I always wait for my green card (which has been expired for 9 months) .. everything is fine.
As the only answer, automatic emails where I am claimed a document that I did not and that I had said not having when I subscribe to the phone.
I have just received my notice of maturity, no accident, nothing, 5% more bonuses, and 50 euros of increasing ... and I still do not know if I am really assured or not ...
9 months that I ride with expired insurance with a vehicle that coasts around 16,000 euros.
</v>
      </c>
    </row>
    <row r="31" ht="15.75" customHeight="1">
      <c r="A31" s="2">
        <v>2.0</v>
      </c>
      <c r="B31" s="2" t="s">
        <v>142</v>
      </c>
      <c r="C31" s="2" t="s">
        <v>143</v>
      </c>
      <c r="D31" s="2" t="s">
        <v>42</v>
      </c>
      <c r="E31" s="2" t="s">
        <v>21</v>
      </c>
      <c r="F31" s="2" t="s">
        <v>15</v>
      </c>
      <c r="G31" s="2" t="s">
        <v>144</v>
      </c>
      <c r="H31" s="2" t="s">
        <v>44</v>
      </c>
      <c r="I31" s="2" t="str">
        <f>IFERROR(__xludf.DUMMYFUNCTION("GOOGLETRANSLATE(C31,""fr"",""en"")"),"Do not always try to pay at a high price! Too much blabla! Ultimately. Get to the point ! Sponsorship How to do? Thank you for being clearer")</f>
        <v>Do not always try to pay at a high price! Too much blabla! Ultimately. Get to the point ! Sponsorship How to do? Thank you for being clearer</v>
      </c>
    </row>
    <row r="32" ht="15.75" customHeight="1">
      <c r="A32" s="2">
        <v>5.0</v>
      </c>
      <c r="B32" s="2" t="s">
        <v>145</v>
      </c>
      <c r="C32" s="2" t="s">
        <v>146</v>
      </c>
      <c r="D32" s="2" t="s">
        <v>67</v>
      </c>
      <c r="E32" s="2" t="s">
        <v>32</v>
      </c>
      <c r="F32" s="2" t="s">
        <v>15</v>
      </c>
      <c r="G32" s="2" t="s">
        <v>147</v>
      </c>
      <c r="H32" s="2" t="s">
        <v>59</v>
      </c>
      <c r="I32" s="2" t="str">
        <f>IFERROR(__xludf.DUMMYFUNCTION("GOOGLETRANSLATE(C32,""fr"",""en"")"),"Simplified service, very interesting prices and easy and pleasant communication.
Thank you for your welcome and your sympathy.
I recommend....")</f>
        <v>Simplified service, very interesting prices and easy and pleasant communication.
Thank you for your welcome and your sympathy.
I recommend....</v>
      </c>
    </row>
    <row r="33" ht="15.75" customHeight="1">
      <c r="A33" s="2">
        <v>1.0</v>
      </c>
      <c r="B33" s="2" t="s">
        <v>148</v>
      </c>
      <c r="C33" s="2" t="s">
        <v>149</v>
      </c>
      <c r="D33" s="2" t="s">
        <v>37</v>
      </c>
      <c r="E33" s="2" t="s">
        <v>14</v>
      </c>
      <c r="F33" s="2" t="s">
        <v>15</v>
      </c>
      <c r="G33" s="2" t="s">
        <v>150</v>
      </c>
      <c r="H33" s="2" t="s">
        <v>150</v>
      </c>
      <c r="I33" s="2" t="str">
        <f>IFERROR(__xludf.DUMMYFUNCTION("GOOGLETRANSLATE(C33,""fr"",""en"")"),"Loading...")</f>
        <v>Loading...</v>
      </c>
    </row>
    <row r="34" ht="15.75" customHeight="1">
      <c r="A34" s="2">
        <v>3.0</v>
      </c>
      <c r="B34" s="2" t="s">
        <v>151</v>
      </c>
      <c r="C34" s="2" t="s">
        <v>152</v>
      </c>
      <c r="D34" s="2" t="s">
        <v>62</v>
      </c>
      <c r="E34" s="2" t="s">
        <v>21</v>
      </c>
      <c r="F34" s="2" t="s">
        <v>15</v>
      </c>
      <c r="G34" s="2" t="s">
        <v>153</v>
      </c>
      <c r="H34" s="2" t="s">
        <v>154</v>
      </c>
      <c r="I34" s="2" t="str">
        <f>IFERROR(__xludf.DUMMYFUNCTION("GOOGLETRANSLATE(C34,""fr"",""en"")"),"I am satisfied with the proposal made. The clarity of the various options and guarantees. I am satisfied with the proposal made. The clarity of the various options and guarantees")</f>
        <v>I am satisfied with the proposal made. The clarity of the various options and guarantees. I am satisfied with the proposal made. The clarity of the various options and guarantees</v>
      </c>
    </row>
    <row r="35" ht="15.75" customHeight="1">
      <c r="A35" s="2">
        <v>1.0</v>
      </c>
      <c r="B35" s="2" t="s">
        <v>155</v>
      </c>
      <c r="C35" s="2" t="s">
        <v>156</v>
      </c>
      <c r="D35" s="2" t="s">
        <v>62</v>
      </c>
      <c r="E35" s="2" t="s">
        <v>21</v>
      </c>
      <c r="F35" s="2" t="s">
        <v>15</v>
      </c>
      <c r="G35" s="2" t="s">
        <v>53</v>
      </c>
      <c r="H35" s="2" t="s">
        <v>54</v>
      </c>
      <c r="I35" s="2" t="str">
        <f>IFERROR(__xludf.DUMMYFUNCTION("GOOGLETRANSLATE(C35,""fr"",""en"")"),"Very disapointed !!!!!!
contradictory information on the phone with several people.
Last price that does not suit me at all
I will change insurance")</f>
        <v>Very disapointed !!!!!!
contradictory information on the phone with several people.
Last price that does not suit me at all
I will change insurance</v>
      </c>
    </row>
    <row r="36" ht="15.75" customHeight="1">
      <c r="A36" s="2">
        <v>2.0</v>
      </c>
      <c r="B36" s="2" t="s">
        <v>157</v>
      </c>
      <c r="C36" s="2" t="s">
        <v>158</v>
      </c>
      <c r="D36" s="2" t="s">
        <v>159</v>
      </c>
      <c r="E36" s="2" t="s">
        <v>21</v>
      </c>
      <c r="F36" s="2" t="s">
        <v>15</v>
      </c>
      <c r="G36" s="2" t="s">
        <v>160</v>
      </c>
      <c r="H36" s="2" t="s">
        <v>161</v>
      </c>
      <c r="I36" s="2" t="str">
        <f>IFERROR(__xludf.DUMMYFUNCTION("GOOGLETRANSLATE(C36,""fr"",""en"")"),"Even if you are a good driver, if you are not lucky and you declare 2 broken ice they put you outside so be careful when you have the resin repaired an impact on the windshield = 1 sinister and if ever It is badly done too bad for you it will be 1 other d"&amp;"isaster ... then they will put you outside and then there you make you ensure elsewhere you will pay more dear thanks to them ... So it's not with them in the end that 'we save money")</f>
        <v>Even if you are a good driver, if you are not lucky and you declare 2 broken ice they put you outside so be careful when you have the resin repaired an impact on the windshield = 1 sinister and if ever It is badly done too bad for you it will be 1 other disaster ... then they will put you outside and then there you make you ensure elsewhere you will pay more dear thanks to them ... So it's not with them in the end that 'we save money</v>
      </c>
    </row>
    <row r="37" ht="15.75" customHeight="1">
      <c r="A37" s="2">
        <v>5.0</v>
      </c>
      <c r="B37" s="2" t="s">
        <v>162</v>
      </c>
      <c r="C37" s="2" t="s">
        <v>163</v>
      </c>
      <c r="D37" s="2" t="s">
        <v>31</v>
      </c>
      <c r="E37" s="2" t="s">
        <v>32</v>
      </c>
      <c r="F37" s="2" t="s">
        <v>15</v>
      </c>
      <c r="G37" s="2" t="s">
        <v>164</v>
      </c>
      <c r="H37" s="2" t="s">
        <v>72</v>
      </c>
      <c r="I37" s="2" t="str">
        <f>IFERROR(__xludf.DUMMYFUNCTION("GOOGLETRANSLATE(C37,""fr"",""en"")"),"Loading...")</f>
        <v>Loading...</v>
      </c>
    </row>
    <row r="38" ht="15.75" customHeight="1">
      <c r="A38" s="2">
        <v>1.0</v>
      </c>
      <c r="B38" s="2" t="s">
        <v>165</v>
      </c>
      <c r="C38" s="2" t="s">
        <v>166</v>
      </c>
      <c r="D38" s="2" t="s">
        <v>62</v>
      </c>
      <c r="E38" s="2" t="s">
        <v>21</v>
      </c>
      <c r="F38" s="2" t="s">
        <v>15</v>
      </c>
      <c r="G38" s="2" t="s">
        <v>64</v>
      </c>
      <c r="H38" s="2" t="s">
        <v>64</v>
      </c>
      <c r="I38" s="2" t="str">
        <f>IFERROR(__xludf.DUMMYFUNCTION("GOOGLETRANSLATE(C38,""fr"",""en"")"),"Each year, the subscription increases.
Yet the year 2020 was very beneficiary for insurance companies (COVID crisis) ... You could have repercussions on these surpluses on the contributions of the insured.
I find it an abnormal attitude on your part.
")</f>
        <v>Each year, the subscription increases.
Yet the year 2020 was very beneficiary for insurance companies (COVID crisis) ... You could have repercussions on these surpluses on the contributions of the insured.
I find it an abnormal attitude on your part.
</v>
      </c>
    </row>
    <row r="39" ht="15.75" customHeight="1">
      <c r="A39" s="2">
        <v>3.0</v>
      </c>
      <c r="B39" s="2" t="s">
        <v>167</v>
      </c>
      <c r="C39" s="2" t="s">
        <v>168</v>
      </c>
      <c r="D39" s="2" t="s">
        <v>62</v>
      </c>
      <c r="E39" s="2" t="s">
        <v>21</v>
      </c>
      <c r="F39" s="2" t="s">
        <v>15</v>
      </c>
      <c r="G39" s="2" t="s">
        <v>169</v>
      </c>
      <c r="H39" s="2" t="s">
        <v>64</v>
      </c>
      <c r="I39" s="2" t="str">
        <f>IFERROR(__xludf.DUMMYFUNCTION("GOOGLETRANSLATE(C39,""fr"",""en"")"),"Having had no accidents for more than 20 years (rental car) and having acquired a car again since 2019, I am amazed not to benefit from a more important bonus ...")</f>
        <v>Having had no accidents for more than 20 years (rental car) and having acquired a car again since 2019, I am amazed not to benefit from a more important bonus ...</v>
      </c>
    </row>
    <row r="40" ht="15.75" customHeight="1">
      <c r="A40" s="2">
        <v>5.0</v>
      </c>
      <c r="B40" s="2" t="s">
        <v>170</v>
      </c>
      <c r="C40" s="2" t="s">
        <v>171</v>
      </c>
      <c r="D40" s="2" t="s">
        <v>62</v>
      </c>
      <c r="E40" s="2" t="s">
        <v>21</v>
      </c>
      <c r="F40" s="2" t="s">
        <v>15</v>
      </c>
      <c r="G40" s="2" t="s">
        <v>172</v>
      </c>
      <c r="H40" s="2" t="s">
        <v>64</v>
      </c>
      <c r="I40" s="2" t="str">
        <f>IFERROR(__xludf.DUMMYFUNCTION("GOOGLETRANSLATE(C40,""fr"",""en"")"),"Satisfied with services, always listening to you, interressive prices Actratives I highly recommend it compared to other insurance on the market")</f>
        <v>Satisfied with services, always listening to you, interressive prices Actratives I highly recommend it compared to other insurance on the market</v>
      </c>
    </row>
    <row r="41" ht="15.75" customHeight="1">
      <c r="A41" s="2">
        <v>4.0</v>
      </c>
      <c r="B41" s="2" t="s">
        <v>173</v>
      </c>
      <c r="C41" s="2" t="s">
        <v>174</v>
      </c>
      <c r="D41" s="2" t="s">
        <v>62</v>
      </c>
      <c r="E41" s="2" t="s">
        <v>21</v>
      </c>
      <c r="F41" s="2" t="s">
        <v>15</v>
      </c>
      <c r="G41" s="2" t="s">
        <v>175</v>
      </c>
      <c r="H41" s="2" t="s">
        <v>64</v>
      </c>
      <c r="I41" s="2" t="str">
        <f>IFERROR(__xludf.DUMMYFUNCTION("GOOGLETRANSLATE(C41,""fr"",""en"")"),"Loading...")</f>
        <v>Loading...</v>
      </c>
    </row>
    <row r="42" ht="15.75" customHeight="1">
      <c r="A42" s="2">
        <v>2.0</v>
      </c>
      <c r="B42" s="2" t="s">
        <v>176</v>
      </c>
      <c r="C42" s="2" t="s">
        <v>177</v>
      </c>
      <c r="D42" s="2" t="s">
        <v>20</v>
      </c>
      <c r="E42" s="2" t="s">
        <v>21</v>
      </c>
      <c r="F42" s="2" t="s">
        <v>15</v>
      </c>
      <c r="G42" s="2" t="s">
        <v>175</v>
      </c>
      <c r="H42" s="2" t="s">
        <v>64</v>
      </c>
      <c r="I42" s="2" t="str">
        <f>IFERROR(__xludf.DUMMYFUNCTION("GOOGLETRANSLATE(C42,""fr"",""en"")"),"A good insured is the one who never has a disaster.
2 insured vehicles; A zero claims, the other 3 claims, materials without gravity.
 And hop, we don't want to assure you anymore.
")</f>
        <v>A good insured is the one who never has a disaster.
2 insured vehicles; A zero claims, the other 3 claims, materials without gravity.
 And hop, we don't want to assure you anymore.
</v>
      </c>
    </row>
    <row r="43" ht="15.75" customHeight="1">
      <c r="A43" s="2">
        <v>4.0</v>
      </c>
      <c r="B43" s="2" t="s">
        <v>178</v>
      </c>
      <c r="C43" s="2" t="s">
        <v>179</v>
      </c>
      <c r="D43" s="2" t="s">
        <v>62</v>
      </c>
      <c r="E43" s="2" t="s">
        <v>21</v>
      </c>
      <c r="F43" s="2" t="s">
        <v>15</v>
      </c>
      <c r="G43" s="2" t="s">
        <v>180</v>
      </c>
      <c r="H43" s="2" t="s">
        <v>44</v>
      </c>
      <c r="I43" s="2" t="str">
        <f>IFERROR(__xludf.DUMMYFUNCTION("GOOGLETRANSLATE(C43,""fr"",""en"")"),"simple and practical,
In terms of prices, there, however, no additional discount in the event of multiple contracts as is my case.
And taking into account customers brought back by me.
Being partly in teleworking, this option should be added because th"&amp;"e risks are halved")</f>
        <v>simple and practical,
In terms of prices, there, however, no additional discount in the event of multiple contracts as is my case.
And taking into account customers brought back by me.
Being partly in teleworking, this option should be added because the risks are halved</v>
      </c>
    </row>
    <row r="44" ht="15.75" customHeight="1">
      <c r="A44" s="2">
        <v>3.0</v>
      </c>
      <c r="B44" s="2" t="s">
        <v>181</v>
      </c>
      <c r="C44" s="2" t="s">
        <v>182</v>
      </c>
      <c r="D44" s="2" t="s">
        <v>183</v>
      </c>
      <c r="E44" s="2" t="s">
        <v>14</v>
      </c>
      <c r="F44" s="2" t="s">
        <v>15</v>
      </c>
      <c r="G44" s="2" t="s">
        <v>184</v>
      </c>
      <c r="H44" s="2" t="s">
        <v>185</v>
      </c>
      <c r="I44" s="2" t="str">
        <f>IFERROR(__xludf.DUMMYFUNCTION("GOOGLETRANSLATE(C44,""fr"",""en"")"),"Mutual taken recently therefore not too much perspective compared to its quality but it is still very expensive. I will respond to another opinion investigation later thank you ...")</f>
        <v>Mutual taken recently therefore not too much perspective compared to its quality but it is still very expensive. I will respond to another opinion investigation later thank you ...</v>
      </c>
    </row>
    <row r="45" ht="15.75" customHeight="1">
      <c r="A45" s="2">
        <v>4.0</v>
      </c>
      <c r="B45" s="2" t="s">
        <v>186</v>
      </c>
      <c r="C45" s="2" t="s">
        <v>187</v>
      </c>
      <c r="D45" s="2" t="s">
        <v>42</v>
      </c>
      <c r="E45" s="2" t="s">
        <v>21</v>
      </c>
      <c r="F45" s="2" t="s">
        <v>15</v>
      </c>
      <c r="G45" s="2" t="s">
        <v>188</v>
      </c>
      <c r="H45" s="2" t="s">
        <v>34</v>
      </c>
      <c r="I45" s="2" t="str">
        <f>IFERROR(__xludf.DUMMYFUNCTION("GOOGLETRANSLATE(C45,""fr"",""en"")"),"Loading...")</f>
        <v>Loading...</v>
      </c>
    </row>
    <row r="46" ht="15.75" customHeight="1">
      <c r="A46" s="2">
        <v>1.0</v>
      </c>
      <c r="B46" s="2" t="s">
        <v>189</v>
      </c>
      <c r="C46" s="2" t="s">
        <v>190</v>
      </c>
      <c r="D46" s="2" t="s">
        <v>191</v>
      </c>
      <c r="E46" s="2" t="s">
        <v>104</v>
      </c>
      <c r="F46" s="2" t="s">
        <v>15</v>
      </c>
      <c r="G46" s="2" t="s">
        <v>192</v>
      </c>
      <c r="H46" s="2" t="s">
        <v>193</v>
      </c>
      <c r="I46" s="2" t="str">
        <f>IFERROR(__xludf.DUMMYFUNCTION("GOOGLETRANSLATE(C46,""fr"",""en"")"),"Slow inaccessible inhuman complex. Insurance We cannot do more catastrophic. The best is to never have to do to them in an emergency. It's a catastrophe. Having them online? Rather dreaming. It is necessary to communicate via an application and be content"&amp;" with very often unsuitable automatic responses. The platform subcontractors are neither qualified nor competent. In short find better will not be difficult. Believe me it's an assurance that I regret. I should never have. I specify that I am in my law wi"&amp;"th them and in compensation after more than 7 months. Yet complete file and documents received and valid.")</f>
        <v>Slow inaccessible inhuman complex. Insurance We cannot do more catastrophic. The best is to never have to do to them in an emergency. It's a catastrophe. Having them online? Rather dreaming. It is necessary to communicate via an application and be content with very often unsuitable automatic responses. The platform subcontractors are neither qualified nor competent. In short find better will not be difficult. Believe me it's an assurance that I regret. I should never have. I specify that I am in my law with them and in compensation after more than 7 months. Yet complete file and documents received and valid.</v>
      </c>
    </row>
    <row r="47" ht="15.75" customHeight="1">
      <c r="A47" s="2">
        <v>4.0</v>
      </c>
      <c r="B47" s="2" t="s">
        <v>194</v>
      </c>
      <c r="C47" s="2" t="s">
        <v>195</v>
      </c>
      <c r="D47" s="2" t="s">
        <v>196</v>
      </c>
      <c r="E47" s="2" t="s">
        <v>21</v>
      </c>
      <c r="F47" s="2" t="s">
        <v>15</v>
      </c>
      <c r="G47" s="2" t="s">
        <v>197</v>
      </c>
      <c r="H47" s="2" t="s">
        <v>50</v>
      </c>
      <c r="I47" s="2" t="str">
        <f>IFERROR(__xludf.DUMMYFUNCTION("GOOGLETRANSLATE(C47,""fr"",""en"")"),"Slightly more ++++ dear than the MAAF for the same guarantees. I will surely make a change of insurance if nothing puts proposed by Pacifica.")</f>
        <v>Slightly more ++++ dear than the MAAF for the same guarantees. I will surely make a change of insurance if nothing puts proposed by Pacifica.</v>
      </c>
    </row>
    <row r="48" ht="15.75" customHeight="1">
      <c r="A48" s="2">
        <v>1.0</v>
      </c>
      <c r="B48" s="2" t="s">
        <v>198</v>
      </c>
      <c r="C48" s="2" t="s">
        <v>199</v>
      </c>
      <c r="D48" s="2" t="s">
        <v>42</v>
      </c>
      <c r="E48" s="2" t="s">
        <v>21</v>
      </c>
      <c r="F48" s="2" t="s">
        <v>15</v>
      </c>
      <c r="G48" s="2" t="s">
        <v>200</v>
      </c>
      <c r="H48" s="2" t="s">
        <v>201</v>
      </c>
      <c r="I48" s="2" t="str">
        <f>IFERROR(__xludf.DUMMYFUNCTION("GOOGLETRANSLATE(C48,""fr"",""en"")"),"To flee !!
If you are foreign with a foreign license (Maghreb as indicated by the advisor I had on the phone) go your way. The Olivier Assurance confirmed to me by phone not to ensure the Maghreb permits (citing Tunisia, Morocco, Algeria). As for me, h"&amp;"aving converted my Moroccan license to a French permit in February 2020, they consider that the date of obtaining my license is February 2020, not 2012, the actual date for obtaining my Moroccan license. I deduce that the French authorities recognize my M"&amp;"oroccan license well because the date of 2012 is well mentioned in my French license, but that the Olivier Insurance non CZR is a permit obtained in the Maghreb.
My quote goes from 858th to around 1500th, my bonus with my current insurance is canceled "&amp;"because obtained with my Moroccan license. A claim declared last year is well taken into account. I try to make a complaint on their website, the site does not send my complaint because ""the format of my quote n is not good"" while I resume exactly the q"&amp;"uote number received by email.
Too much discrimination which brushes the racism for my taste.
I go to follow my complaint to the end and take the necessary measures if I have no satisfactory return of the olive tree.")</f>
        <v>To flee !!
If you are foreign with a foreign license (Maghreb as indicated by the advisor I had on the phone) go your way. The Olivier Assurance confirmed to me by phone not to ensure the Maghreb permits (citing Tunisia, Morocco, Algeria). As for me, having converted my Moroccan license to a French permit in February 2020, they consider that the date of obtaining my license is February 2020, not 2012, the actual date for obtaining my Moroccan license. I deduce that the French authorities recognize my Moroccan license well because the date of 2012 is well mentioned in my French license, but that the Olivier Insurance non CZR is a permit obtained in the Maghreb.
My quote goes from 858th to around 1500th, my bonus with my current insurance is canceled because obtained with my Moroccan license. A claim declared last year is well taken into account. I try to make a complaint on their website, the site does not send my complaint because "the format of my quote n is not good" while I resume exactly the quote number received by email.
Too much discrimination which brushes the racism for my taste.
I go to follow my complaint to the end and take the necessary measures if I have no satisfactory return of the olive tree.</v>
      </c>
    </row>
    <row r="49" ht="15.75" customHeight="1">
      <c r="A49" s="2">
        <v>4.0</v>
      </c>
      <c r="B49" s="2" t="s">
        <v>202</v>
      </c>
      <c r="C49" s="2" t="s">
        <v>203</v>
      </c>
      <c r="D49" s="2" t="s">
        <v>62</v>
      </c>
      <c r="E49" s="2" t="s">
        <v>21</v>
      </c>
      <c r="F49" s="2" t="s">
        <v>15</v>
      </c>
      <c r="G49" s="2" t="s">
        <v>204</v>
      </c>
      <c r="H49" s="2" t="s">
        <v>59</v>
      </c>
      <c r="I49" s="2" t="str">
        <f>IFERROR(__xludf.DUMMYFUNCTION("GOOGLETRANSLATE(C49,""fr"",""en"")"),"Loading...")</f>
        <v>Loading...</v>
      </c>
    </row>
    <row r="50" ht="15.75" customHeight="1">
      <c r="A50" s="2">
        <v>2.0</v>
      </c>
      <c r="B50" s="2" t="s">
        <v>205</v>
      </c>
      <c r="C50" s="2" t="s">
        <v>206</v>
      </c>
      <c r="D50" s="2" t="s">
        <v>47</v>
      </c>
      <c r="E50" s="2" t="s">
        <v>32</v>
      </c>
      <c r="F50" s="2" t="s">
        <v>15</v>
      </c>
      <c r="G50" s="2" t="s">
        <v>207</v>
      </c>
      <c r="H50" s="2" t="s">
        <v>106</v>
      </c>
      <c r="I50" s="2" t="str">
        <f>IFERROR(__xludf.DUMMYFUNCTION("GOOGLETRANSLATE(C50,""fr"",""en"")"),"Victim of a traffic accident, where I was not in wrong, my motorcycle is declared economically irreparable and ceded to AXA on May 25, 2018. Having paid on April 1, 2018 my subscription in the absence of info from my Agent Axa Garches I thought that insur"&amp;"ance was suspended de facto. I have just received my opinion for this year 2019 when I no longer have this motorcycle. Avoid the AXA agency of Garches 92 ...")</f>
        <v>Victim of a traffic accident, where I was not in wrong, my motorcycle is declared economically irreparable and ceded to AXA on May 25, 2018. Having paid on April 1, 2018 my subscription in the absence of info from my Agent Axa Garches I thought that insurance was suspended de facto. I have just received my opinion for this year 2019 when I no longer have this motorcycle. Avoid the AXA agency of Garches 92 ...</v>
      </c>
    </row>
    <row r="51" ht="15.75" customHeight="1">
      <c r="A51" s="2">
        <v>3.0</v>
      </c>
      <c r="B51" s="2" t="s">
        <v>208</v>
      </c>
      <c r="C51" s="2" t="s">
        <v>209</v>
      </c>
      <c r="D51" s="2" t="s">
        <v>210</v>
      </c>
      <c r="E51" s="2" t="s">
        <v>14</v>
      </c>
      <c r="F51" s="2" t="s">
        <v>15</v>
      </c>
      <c r="G51" s="2" t="s">
        <v>211</v>
      </c>
      <c r="H51" s="2" t="s">
        <v>28</v>
      </c>
      <c r="I51" s="2" t="str">
        <f>IFERROR(__xludf.DUMMYFUNCTION("GOOGLETRANSLATE(C51,""fr"",""en"")"),"I am completely satisfied every time I contact Santiane customer service. This time my interlocutor was particularly kind and above all effective to help me solve my remote transmission problem. Thank you Marion.")</f>
        <v>I am completely satisfied every time I contact Santiane customer service. This time my interlocutor was particularly kind and above all effective to help me solve my remote transmission problem. Thank you Marion.</v>
      </c>
    </row>
    <row r="52" ht="15.75" customHeight="1">
      <c r="A52" s="2">
        <v>4.0</v>
      </c>
      <c r="B52" s="2" t="s">
        <v>212</v>
      </c>
      <c r="C52" s="2" t="s">
        <v>213</v>
      </c>
      <c r="D52" s="2" t="s">
        <v>137</v>
      </c>
      <c r="E52" s="2" t="s">
        <v>21</v>
      </c>
      <c r="F52" s="2" t="s">
        <v>15</v>
      </c>
      <c r="G52" s="2" t="s">
        <v>214</v>
      </c>
      <c r="H52" s="2" t="s">
        <v>215</v>
      </c>
      <c r="I52" s="2" t="str">
        <f>IFERROR(__xludf.DUMMYFUNCTION("GOOGLETRANSLATE(C52,""fr"",""en"")"),"Young driver contracts are high prices despite 2 years of accompanied driving and an old 4CV vehicle. But I am not disappointed because the services and reimbursements are very correct, the assistance is of good quality.")</f>
        <v>Young driver contracts are high prices despite 2 years of accompanied driving and an old 4CV vehicle. But I am not disappointed because the services and reimbursements are very correct, the assistance is of good quality.</v>
      </c>
    </row>
    <row r="53" ht="15.75" customHeight="1">
      <c r="A53" s="2">
        <v>5.0</v>
      </c>
      <c r="B53" s="2" t="s">
        <v>216</v>
      </c>
      <c r="C53" s="2" t="s">
        <v>217</v>
      </c>
      <c r="D53" s="2" t="s">
        <v>62</v>
      </c>
      <c r="E53" s="2" t="s">
        <v>21</v>
      </c>
      <c r="F53" s="2" t="s">
        <v>15</v>
      </c>
      <c r="G53" s="2" t="s">
        <v>218</v>
      </c>
      <c r="H53" s="2" t="s">
        <v>44</v>
      </c>
      <c r="I53" s="2" t="str">
        <f>IFERROR(__xludf.DUMMYFUNCTION("GOOGLETRANSLATE(C53,""fr"",""en"")"),"simple and efficient
To see in time now
By hoping not to need to defeat insurance ...
To see if the advertisements are justified.
I try, I will see.")</f>
        <v>simple and efficient
To see in time now
By hoping not to need to defeat insurance ...
To see if the advertisements are justified.
I try, I will see.</v>
      </c>
    </row>
    <row r="54" ht="15.75" customHeight="1">
      <c r="A54" s="2">
        <v>3.0</v>
      </c>
      <c r="B54" s="2" t="s">
        <v>219</v>
      </c>
      <c r="C54" s="2" t="s">
        <v>220</v>
      </c>
      <c r="D54" s="2" t="s">
        <v>42</v>
      </c>
      <c r="E54" s="2" t="s">
        <v>21</v>
      </c>
      <c r="F54" s="2" t="s">
        <v>15</v>
      </c>
      <c r="G54" s="2" t="s">
        <v>221</v>
      </c>
      <c r="H54" s="2" t="s">
        <v>123</v>
      </c>
      <c r="I54" s="2" t="str">
        <f>IFERROR(__xludf.DUMMYFUNCTION("GOOGLETRANSLATE(C54,""fr"",""en"")"),"Telephone communication with people speaking commonly French. It's easier. Folder fees too high just for a change of address, etc.")</f>
        <v>Telephone communication with people speaking commonly French. It's easier. Folder fees too high just for a change of address, etc.</v>
      </c>
    </row>
    <row r="55" ht="15.75" customHeight="1">
      <c r="A55" s="2">
        <v>4.0</v>
      </c>
      <c r="B55" s="2" t="s">
        <v>222</v>
      </c>
      <c r="C55" s="2" t="s">
        <v>223</v>
      </c>
      <c r="D55" s="2" t="s">
        <v>67</v>
      </c>
      <c r="E55" s="2" t="s">
        <v>32</v>
      </c>
      <c r="F55" s="2" t="s">
        <v>15</v>
      </c>
      <c r="G55" s="2" t="s">
        <v>224</v>
      </c>
      <c r="H55" s="2" t="s">
        <v>225</v>
      </c>
      <c r="I55" s="2" t="str">
        <f>IFERROR(__xludf.DUMMYFUNCTION("GOOGLETRANSLATE(C55,""fr"",""en"")"),"Nothing to say very satisfied to see the light of day I would have a disaster I hope that this day will not happen, here I am satisfied I am satisfied")</f>
        <v>Nothing to say very satisfied to see the light of day I would have a disaster I hope that this day will not happen, here I am satisfied I am satisfied</v>
      </c>
    </row>
    <row r="56" ht="15.75" customHeight="1">
      <c r="A56" s="2">
        <v>5.0</v>
      </c>
      <c r="B56" s="2" t="s">
        <v>226</v>
      </c>
      <c r="C56" s="2" t="s">
        <v>227</v>
      </c>
      <c r="D56" s="2" t="s">
        <v>31</v>
      </c>
      <c r="E56" s="2" t="s">
        <v>32</v>
      </c>
      <c r="F56" s="2" t="s">
        <v>15</v>
      </c>
      <c r="G56" s="2" t="s">
        <v>228</v>
      </c>
      <c r="H56" s="2" t="s">
        <v>123</v>
      </c>
      <c r="I56" s="2" t="str">
        <f>IFERROR(__xludf.DUMMYFUNCTION("GOOGLETRANSLATE(C56,""fr"",""en"")"),"Easy and quick registration
Very satisfied with the prices
Fast and efficient for procedures
The prices are very satisfactory
I recommend
I will start again without problem")</f>
        <v>Easy and quick registration
Very satisfied with the prices
Fast and efficient for procedures
The prices are very satisfactory
I recommend
I will start again without problem</v>
      </c>
    </row>
    <row r="57" ht="15.75" customHeight="1">
      <c r="A57" s="2">
        <v>4.0</v>
      </c>
      <c r="B57" s="2" t="s">
        <v>229</v>
      </c>
      <c r="C57" s="2" t="s">
        <v>230</v>
      </c>
      <c r="D57" s="2" t="s">
        <v>31</v>
      </c>
      <c r="E57" s="2" t="s">
        <v>32</v>
      </c>
      <c r="F57" s="2" t="s">
        <v>15</v>
      </c>
      <c r="G57" s="2" t="s">
        <v>231</v>
      </c>
      <c r="H57" s="2" t="s">
        <v>39</v>
      </c>
      <c r="I57" s="2" t="str">
        <f>IFERROR(__xludf.DUMMYFUNCTION("GOOGLETRANSLATE(C57,""fr"",""en"")"),"Loading...")</f>
        <v>Loading...</v>
      </c>
    </row>
    <row r="58" ht="15.75" customHeight="1">
      <c r="A58" s="2">
        <v>4.0</v>
      </c>
      <c r="B58" s="2" t="s">
        <v>232</v>
      </c>
      <c r="C58" s="2" t="s">
        <v>233</v>
      </c>
      <c r="D58" s="2" t="s">
        <v>47</v>
      </c>
      <c r="E58" s="2" t="s">
        <v>21</v>
      </c>
      <c r="F58" s="2" t="s">
        <v>15</v>
      </c>
      <c r="G58" s="2" t="s">
        <v>234</v>
      </c>
      <c r="H58" s="2" t="s">
        <v>34</v>
      </c>
      <c r="I58" s="2" t="str">
        <f>IFERROR(__xludf.DUMMYFUNCTION("GOOGLETRANSLATE(C58,""fr"",""en"")"),"For a year since I have been insured at Axa I have nothing to complain about. Everything is perfect and above all the prices for me who am a young driver. And a compared to my contracts it is perfect. To recommend. Thank you")</f>
        <v>For a year since I have been insured at Axa I have nothing to complain about. Everything is perfect and above all the prices for me who am a young driver. And a compared to my contracts it is perfect. To recommend. Thank you</v>
      </c>
    </row>
    <row r="59" ht="15.75" customHeight="1">
      <c r="A59" s="2">
        <v>5.0</v>
      </c>
      <c r="B59" s="2" t="s">
        <v>235</v>
      </c>
      <c r="C59" s="2" t="s">
        <v>236</v>
      </c>
      <c r="D59" s="2" t="s">
        <v>67</v>
      </c>
      <c r="E59" s="2" t="s">
        <v>32</v>
      </c>
      <c r="F59" s="2" t="s">
        <v>15</v>
      </c>
      <c r="G59" s="2" t="s">
        <v>147</v>
      </c>
      <c r="H59" s="2" t="s">
        <v>59</v>
      </c>
      <c r="I59" s="2" t="str">
        <f>IFERROR(__xludf.DUMMYFUNCTION("GOOGLETRANSLATE(C59,""fr"",""en"")"),"Simple and quick quote to make. For questions, the advisory service helps a lot: good communication, help and advice.
Easy registration to do too! :)")</f>
        <v>Simple and quick quote to make. For questions, the advisory service helps a lot: good communication, help and advice.
Easy registration to do too! :)</v>
      </c>
    </row>
    <row r="60" ht="15.75" customHeight="1">
      <c r="A60" s="2">
        <v>4.0</v>
      </c>
      <c r="B60" s="2" t="s">
        <v>237</v>
      </c>
      <c r="C60" s="2" t="s">
        <v>238</v>
      </c>
      <c r="D60" s="2" t="s">
        <v>20</v>
      </c>
      <c r="E60" s="2" t="s">
        <v>21</v>
      </c>
      <c r="F60" s="2" t="s">
        <v>15</v>
      </c>
      <c r="G60" s="2" t="s">
        <v>119</v>
      </c>
      <c r="H60" s="2" t="s">
        <v>59</v>
      </c>
      <c r="I60" s="2" t="str">
        <f>IFERROR(__xludf.DUMMYFUNCTION("GOOGLETRANSLATE(C60,""fr"",""en"")"),"I am satisfied with the GMF services. The prices and coverage of my various contracts suit me.
The monthly payment of my contributions allows me to spread my expenses.")</f>
        <v>I am satisfied with the GMF services. The prices and coverage of my various contracts suit me.
The monthly payment of my contributions allows me to spread my expenses.</v>
      </c>
    </row>
    <row r="61" ht="15.75" customHeight="1">
      <c r="A61" s="2">
        <v>5.0</v>
      </c>
      <c r="B61" s="2" t="s">
        <v>239</v>
      </c>
      <c r="C61" s="2" t="s">
        <v>240</v>
      </c>
      <c r="D61" s="2" t="s">
        <v>62</v>
      </c>
      <c r="E61" s="2" t="s">
        <v>21</v>
      </c>
      <c r="F61" s="2" t="s">
        <v>15</v>
      </c>
      <c r="G61" s="2" t="s">
        <v>241</v>
      </c>
      <c r="H61" s="2" t="s">
        <v>34</v>
      </c>
      <c r="I61" s="2" t="str">
        <f>IFERROR(__xludf.DUMMYFUNCTION("GOOGLETRANSLATE(C61,""fr"",""en"")"),"Competitive price, intuitive site, I recommend, I have been a customer for 1 year.")</f>
        <v>Competitive price, intuitive site, I recommend, I have been a customer for 1 year.</v>
      </c>
    </row>
    <row r="62" ht="15.75" customHeight="1">
      <c r="A62" s="2">
        <v>4.0</v>
      </c>
      <c r="B62" s="2" t="s">
        <v>242</v>
      </c>
      <c r="C62" s="2" t="s">
        <v>243</v>
      </c>
      <c r="D62" s="2" t="s">
        <v>62</v>
      </c>
      <c r="E62" s="2" t="s">
        <v>21</v>
      </c>
      <c r="F62" s="2" t="s">
        <v>15</v>
      </c>
      <c r="G62" s="2" t="s">
        <v>244</v>
      </c>
      <c r="H62" s="2" t="s">
        <v>72</v>
      </c>
      <c r="I62" s="2" t="str">
        <f>IFERROR(__xludf.DUMMYFUNCTION("GOOGLETRANSLATE(C62,""fr"",""en"")"),"I am satisfied with the service
Despite a bonus 50 because I am the most prudent driver I know, 12 eternal points, no offense, etc ... Preventive driving, Road security member etc ... However my premiums remain elected")</f>
        <v>I am satisfied with the service
Despite a bonus 50 because I am the most prudent driver I know, 12 eternal points, no offense, etc ... Preventive driving, Road security member etc ... However my premiums remain elected</v>
      </c>
    </row>
    <row r="63" ht="15.75" customHeight="1">
      <c r="A63" s="2">
        <v>1.0</v>
      </c>
      <c r="B63" s="2" t="s">
        <v>245</v>
      </c>
      <c r="C63" s="2" t="s">
        <v>246</v>
      </c>
      <c r="D63" s="2" t="s">
        <v>159</v>
      </c>
      <c r="E63" s="2" t="s">
        <v>21</v>
      </c>
      <c r="F63" s="2" t="s">
        <v>15</v>
      </c>
      <c r="G63" s="2" t="s">
        <v>247</v>
      </c>
      <c r="H63" s="2" t="s">
        <v>185</v>
      </c>
      <c r="I63" s="2" t="str">
        <f>IFERROR(__xludf.DUMMYFUNCTION("GOOGLETRANSLATE(C63,""fr"",""en"")"),"To be strongly consistent, customer for 10 years and after a claim or my responsibility is not engaged I am forced to pay a deductible of 290 euros or my car will not be repaired")</f>
        <v>To be strongly consistent, customer for 10 years and after a claim or my responsibility is not engaged I am forced to pay a deductible of 290 euros or my car will not be repaired</v>
      </c>
    </row>
    <row r="64" ht="15.75" customHeight="1">
      <c r="A64" s="2">
        <v>4.0</v>
      </c>
      <c r="B64" s="2" t="s">
        <v>248</v>
      </c>
      <c r="C64" s="2" t="s">
        <v>249</v>
      </c>
      <c r="D64" s="2" t="s">
        <v>250</v>
      </c>
      <c r="E64" s="2" t="s">
        <v>21</v>
      </c>
      <c r="F64" s="2" t="s">
        <v>15</v>
      </c>
      <c r="G64" s="2" t="s">
        <v>251</v>
      </c>
      <c r="H64" s="2" t="s">
        <v>252</v>
      </c>
      <c r="I64" s="2" t="str">
        <f>IFERROR(__xludf.DUMMYFUNCTION("GOOGLETRANSLATE(C64,""fr"",""en"")"),"I have been a member of the Macif for 36 years without having declared any dispute or sinister. Bonus at more than 50 %. Unfortunately due to a dazzling sun I had a hanging when I got out of my garage. A broken bumper for me and for the opponent a door pr"&amp;"essed. On a trade, I asked for the refund of my franchise. The advisor can only give me half of the amount is 125 euros. It makes me think about my contracts .. not really an optimal favor in view of the number of years at 0 dispute. Shame ...")</f>
        <v>I have been a member of the Macif for 36 years without having declared any dispute or sinister. Bonus at more than 50 %. Unfortunately due to a dazzling sun I had a hanging when I got out of my garage. A broken bumper for me and for the opponent a door pressed. On a trade, I asked for the refund of my franchise. The advisor can only give me half of the amount is 125 euros. It makes me think about my contracts .. not really an optimal favor in view of the number of years at 0 dispute. Shame ...</v>
      </c>
    </row>
    <row r="65" ht="15.75" customHeight="1">
      <c r="A65" s="2">
        <v>2.0</v>
      </c>
      <c r="B65" s="2" t="s">
        <v>253</v>
      </c>
      <c r="C65" s="2" t="s">
        <v>254</v>
      </c>
      <c r="D65" s="2" t="s">
        <v>255</v>
      </c>
      <c r="E65" s="2" t="s">
        <v>21</v>
      </c>
      <c r="F65" s="2" t="s">
        <v>15</v>
      </c>
      <c r="G65" s="2" t="s">
        <v>256</v>
      </c>
      <c r="H65" s="2" t="s">
        <v>185</v>
      </c>
      <c r="I65" s="2" t="str">
        <f>IFERROR(__xludf.DUMMYFUNCTION("GOOGLETRANSLATE(C65,""fr"",""en"")"),"Loading...")</f>
        <v>Loading...</v>
      </c>
    </row>
    <row r="66" ht="15.75" customHeight="1">
      <c r="A66" s="2">
        <v>4.0</v>
      </c>
      <c r="B66" s="2" t="s">
        <v>257</v>
      </c>
      <c r="C66" s="2" t="s">
        <v>258</v>
      </c>
      <c r="D66" s="2" t="s">
        <v>62</v>
      </c>
      <c r="E66" s="2" t="s">
        <v>21</v>
      </c>
      <c r="F66" s="2" t="s">
        <v>15</v>
      </c>
      <c r="G66" s="2" t="s">
        <v>259</v>
      </c>
      <c r="H66" s="2" t="s">
        <v>72</v>
      </c>
      <c r="I66" s="2" t="str">
        <f>IFERROR(__xludf.DUMMYFUNCTION("GOOGLETRANSLATE(C66,""fr"",""en"")"),"It was by participating in a game that I received a direct insurance quote via the lynx.
The price seems very good to me.
To see now if the service is up to par;")</f>
        <v>It was by participating in a game that I received a direct insurance quote via the lynx.
The price seems very good to me.
To see now if the service is up to par;</v>
      </c>
    </row>
    <row r="67" ht="15.75" customHeight="1">
      <c r="A67" s="2">
        <v>4.0</v>
      </c>
      <c r="B67" s="2" t="s">
        <v>260</v>
      </c>
      <c r="C67" s="2" t="s">
        <v>261</v>
      </c>
      <c r="D67" s="2" t="s">
        <v>62</v>
      </c>
      <c r="E67" s="2" t="s">
        <v>21</v>
      </c>
      <c r="F67" s="2" t="s">
        <v>15</v>
      </c>
      <c r="G67" s="2" t="s">
        <v>262</v>
      </c>
      <c r="H67" s="2" t="s">
        <v>34</v>
      </c>
      <c r="I67" s="2" t="str">
        <f>IFERROR(__xludf.DUMMYFUNCTION("GOOGLETRANSLATE(C67,""fr"",""en"")"),"I am satisfied with the service. Bon taken. Simple and fast
I highly recommend to all I am very happy simple quick and effective good day to all")</f>
        <v>I am satisfied with the service. Bon taken. Simple and fast
I highly recommend to all I am very happy simple quick and effective good day to all</v>
      </c>
    </row>
    <row r="68" ht="15.75" customHeight="1">
      <c r="A68" s="2">
        <v>1.0</v>
      </c>
      <c r="B68" s="2" t="s">
        <v>263</v>
      </c>
      <c r="C68" s="2" t="s">
        <v>264</v>
      </c>
      <c r="D68" s="2" t="s">
        <v>133</v>
      </c>
      <c r="E68" s="2" t="s">
        <v>14</v>
      </c>
      <c r="F68" s="2" t="s">
        <v>15</v>
      </c>
      <c r="G68" s="2" t="s">
        <v>265</v>
      </c>
      <c r="H68" s="2" t="s">
        <v>266</v>
      </c>
      <c r="I68" s="2" t="str">
        <f>IFERROR(__xludf.DUMMYFUNCTION("GOOGLETRANSLATE(C68,""fr"",""en"")"),"Impossible to have the help that I am entitled following childbirth with a post -baby complication and hospitalization. I have the coverage for a home help I contribute for this and my file has been waiting for processing for 1 month and I am given teleph"&amp;"one numbers that do not succeed so that I ""contact them .. they do not even know Not identifying which is the company subcontracted behind the number. Total obscurantism. Loss of money, time and energy.")</f>
        <v>Impossible to have the help that I am entitled following childbirth with a post -baby complication and hospitalization. I have the coverage for a home help I contribute for this and my file has been waiting for processing for 1 month and I am given telephone numbers that do not succeed so that I "contact them .. they do not even know Not identifying which is the company subcontracted behind the number. Total obscurantism. Loss of money, time and energy.</v>
      </c>
    </row>
    <row r="69" ht="15.75" customHeight="1">
      <c r="A69" s="2">
        <v>1.0</v>
      </c>
      <c r="B69" s="2" t="s">
        <v>267</v>
      </c>
      <c r="C69" s="2" t="s">
        <v>268</v>
      </c>
      <c r="D69" s="2" t="s">
        <v>269</v>
      </c>
      <c r="E69" s="2" t="s">
        <v>14</v>
      </c>
      <c r="F69" s="2" t="s">
        <v>15</v>
      </c>
      <c r="G69" s="2" t="s">
        <v>270</v>
      </c>
      <c r="H69" s="2" t="s">
        <v>271</v>
      </c>
      <c r="I69" s="2" t="str">
        <f>IFERROR(__xludf.DUMMYFUNCTION("GOOGLETRANSLATE(C69,""fr"",""en"")"),"Mutual compulsory at work, if I could I will change.")</f>
        <v>Mutual compulsory at work, if I could I will change.</v>
      </c>
    </row>
    <row r="70" ht="15.75" customHeight="1">
      <c r="A70" s="2">
        <v>4.0</v>
      </c>
      <c r="B70" s="2" t="s">
        <v>272</v>
      </c>
      <c r="C70" s="2" t="s">
        <v>273</v>
      </c>
      <c r="D70" s="2" t="s">
        <v>274</v>
      </c>
      <c r="E70" s="2" t="s">
        <v>14</v>
      </c>
      <c r="F70" s="2" t="s">
        <v>15</v>
      </c>
      <c r="G70" s="2" t="s">
        <v>275</v>
      </c>
      <c r="H70" s="2" t="s">
        <v>276</v>
      </c>
      <c r="I70" s="2" t="str">
        <f>IFERROR(__xludf.DUMMYFUNCTION("GOOGLETRANSLATE(C70,""fr"",""en"")"),"The Mutual M G P has always been present both in my professional life and in my family privacy and for forty six years around.
Thank you.")</f>
        <v>The Mutual M G P has always been present both in my professional life and in my family privacy and for forty six years around.
Thank you.</v>
      </c>
    </row>
    <row r="71" ht="15.75" customHeight="1">
      <c r="A71" s="2">
        <v>4.0</v>
      </c>
      <c r="B71" s="2" t="s">
        <v>277</v>
      </c>
      <c r="C71" s="2" t="s">
        <v>278</v>
      </c>
      <c r="D71" s="2" t="s">
        <v>62</v>
      </c>
      <c r="E71" s="2" t="s">
        <v>21</v>
      </c>
      <c r="F71" s="2" t="s">
        <v>15</v>
      </c>
      <c r="G71" s="2" t="s">
        <v>279</v>
      </c>
      <c r="H71" s="2" t="s">
        <v>54</v>
      </c>
      <c r="I71" s="2" t="str">
        <f>IFERROR(__xludf.DUMMYFUNCTION("GOOGLETRANSLATE(C71,""fr"",""en"")"),"Loading...")</f>
        <v>Loading...</v>
      </c>
    </row>
    <row r="72" ht="15.75" customHeight="1">
      <c r="A72" s="2">
        <v>1.0</v>
      </c>
      <c r="B72" s="2" t="s">
        <v>280</v>
      </c>
      <c r="C72" s="2" t="s">
        <v>281</v>
      </c>
      <c r="D72" s="2" t="s">
        <v>42</v>
      </c>
      <c r="E72" s="2" t="s">
        <v>21</v>
      </c>
      <c r="F72" s="2" t="s">
        <v>15</v>
      </c>
      <c r="G72" s="2" t="s">
        <v>282</v>
      </c>
      <c r="H72" s="2" t="s">
        <v>123</v>
      </c>
      <c r="I72" s="2" t="str">
        <f>IFERROR(__xludf.DUMMYFUNCTION("GOOGLETRANSLATE(C72,""fr"",""en"")"),"I was insured any risk at home. I had a car accident on Wednesday May 12, I declared my claim on Friday 14. On the phone, I was made a quick care of the troubleshooting place at the partner garage and a refund within a month if the car is declared wreckag"&amp;"e.
On Monday, May 17, I have a call for the convenience store: I have to pay security costs from Wednesday to Monday, plus the relivration costs of the vehicle from the troubleshooting place to the partner garage. We call insurance to be sure that it is "&amp;"up to us to pay, we are reassured: we are advancing the costs but they will reimburse us. Suddenly, we find ourselves paying 1 week of goalkeeper from Wednesday to Wednesday (while the partner garage was mandated on Friday!) As well as the vehicle's reliv"&amp;"ration costs because the partner garage did not have the equipment to go get the car.
The expert passes to see the vehicle on May 31. I then called every week to find out where the file and the reimbursement of paid costs were. I am told that the request"&amp;" is underway each time ... in July, always without news, I call exceeded.
I am given the expert number so that I call them! As if it was my job! I still paid 90 euros per month for this service !!
I was carried out by boat, announcing reimbursements tha"&amp;"t never took place, and I took 3 months before being compensated for my vehicle! And I have never been reimbursed for the guarding and the relivration of the vehicle when I was told! This is unacceptable !
Insurance is overpriced, the service incompetent"&amp;" and false!
I found another online insurance where, even with my penalty, I pay 30 euros cheaper than with them !!
RUN AWAY !")</f>
        <v>I was insured any risk at home. I had a car accident on Wednesday May 12, I declared my claim on Friday 14. On the phone, I was made a quick care of the troubleshooting place at the partner garage and a refund within a month if the car is declared wreckage.
On Monday, May 17, I have a call for the convenience store: I have to pay security costs from Wednesday to Monday, plus the relivration costs of the vehicle from the troubleshooting place to the partner garage. We call insurance to be sure that it is up to us to pay, we are reassured: we are advancing the costs but they will reimburse us. Suddenly, we find ourselves paying 1 week of goalkeeper from Wednesday to Wednesday (while the partner garage was mandated on Friday!) As well as the vehicle's relivration costs because the partner garage did not have the equipment to go get the car.
The expert passes to see the vehicle on May 31. I then called every week to find out where the file and the reimbursement of paid costs were. I am told that the request is underway each time ... in July, always without news, I call exceeded.
I am given the expert number so that I call them! As if it was my job! I still paid 90 euros per month for this service !!
I was carried out by boat, announcing reimbursements that never took place, and I took 3 months before being compensated for my vehicle! And I have never been reimbursed for the guarding and the relivration of the vehicle when I was told! This is unacceptable !
Insurance is overpriced, the service incompetent and false!
I found another online insurance where, even with my penalty, I pay 30 euros cheaper than with them !!
RUN AWAY !</v>
      </c>
    </row>
    <row r="73" ht="15.75" customHeight="1">
      <c r="A73" s="2">
        <v>1.0</v>
      </c>
      <c r="B73" s="2" t="s">
        <v>283</v>
      </c>
      <c r="C73" s="2" t="s">
        <v>284</v>
      </c>
      <c r="D73" s="2" t="s">
        <v>285</v>
      </c>
      <c r="E73" s="2" t="s">
        <v>76</v>
      </c>
      <c r="F73" s="2" t="s">
        <v>15</v>
      </c>
      <c r="G73" s="2" t="s">
        <v>286</v>
      </c>
      <c r="H73" s="2" t="s">
        <v>287</v>
      </c>
      <c r="I73" s="2" t="str">
        <f>IFERROR(__xludf.DUMMYFUNCTION("GOOGLETRANSLATE(C73,""fr"",""en"")"),"You are looking for insurance, so run away from cardif. We think that by being insured, we are protected in the event of a hard blow in life; this is false in cardif.
Once the contract is signed, there is no one left to help you.
Declared smoker at the "&amp;"signing of my contract (which inflicts me a surprise on my contribution for people at risk which is normal), I did a heart attack a little more than a year because of tobacco causing a stop .
I have completed the file which provides for insurance for ins"&amp;"urance after the deficiency period and sent the requested documents.
Since nothing, radio silence, no answer, neither yes, nor no, and on the phone, we lose patience.
Result, more concerns while insurance must be there when you need it. It is unacceptab"&amp;"le because in the meantime they continue to take their contributions.
If I had not managed to resume work following this, you can imagine that the bank (BNP Paribas) and the bailiffs would have come to knock on my door; For lack of being able to honor my"&amp;" debts.
I come to tell myself that this is their goal in fact.
I know that against banks and insurances, we are only the earth pot, because their profits and benefits take precedence before any human consideration.
Today, since the dialogue is sterile "&amp;"of any solution, I will send the file to my legal protection for analysis and they will give me the procedure to follow.
I repeat myself, sorry, but if you are looking for insurance, go your way when it comes to cardif. An informed person is worth two.
"&amp;"Cordially.
")</f>
        <v>You are looking for insurance, so run away from cardif. We think that by being insured, we are protected in the event of a hard blow in life; this is false in cardif.
Once the contract is signed, there is no one left to help you.
Declared smoker at the signing of my contract (which inflicts me a surprise on my contribution for people at risk which is normal), I did a heart attack a little more than a year because of tobacco causing a stop .
I have completed the file which provides for insurance for insurance after the deficiency period and sent the requested documents.
Since nothing, radio silence, no answer, neither yes, nor no, and on the phone, we lose patience.
Result, more concerns while insurance must be there when you need it. It is unacceptable because in the meantime they continue to take their contributions.
If I had not managed to resume work following this, you can imagine that the bank (BNP Paribas) and the bailiffs would have come to knock on my door; For lack of being able to honor my debts.
I come to tell myself that this is their goal in fact.
I know that against banks and insurances, we are only the earth pot, because their profits and benefits take precedence before any human consideration.
Today, since the dialogue is sterile of any solution, I will send the file to my legal protection for analysis and they will give me the procedure to follow.
I repeat myself, sorry, but if you are looking for insurance, go your way when it comes to cardif. An informed person is worth two.
Cordially.
</v>
      </c>
    </row>
    <row r="74" ht="15.75" customHeight="1">
      <c r="A74" s="2">
        <v>1.0</v>
      </c>
      <c r="B74" s="2" t="s">
        <v>288</v>
      </c>
      <c r="C74" s="2" t="s">
        <v>289</v>
      </c>
      <c r="D74" s="2" t="s">
        <v>42</v>
      </c>
      <c r="E74" s="2" t="s">
        <v>21</v>
      </c>
      <c r="F74" s="2" t="s">
        <v>15</v>
      </c>
      <c r="G74" s="2" t="s">
        <v>290</v>
      </c>
      <c r="H74" s="2" t="s">
        <v>72</v>
      </c>
      <c r="I74" s="2" t="str">
        <f>IFERROR(__xludf.DUMMYFUNCTION("GOOGLETRANSLATE(C74,""fr"",""en"")"),"Attractive price, but be careful: for my part awaiting a document from the ANTS (fairly long processing time ...), they terminated insurance while retaining the file fees. to avoid.")</f>
        <v>Attractive price, but be careful: for my part awaiting a document from the ANTS (fairly long processing time ...), they terminated insurance while retaining the file fees. to avoid.</v>
      </c>
    </row>
    <row r="75" ht="15.75" customHeight="1">
      <c r="A75" s="2">
        <v>4.0</v>
      </c>
      <c r="B75" s="2" t="s">
        <v>291</v>
      </c>
      <c r="C75" s="2" t="s">
        <v>292</v>
      </c>
      <c r="D75" s="2" t="s">
        <v>42</v>
      </c>
      <c r="E75" s="2" t="s">
        <v>21</v>
      </c>
      <c r="F75" s="2" t="s">
        <v>15</v>
      </c>
      <c r="G75" s="2" t="s">
        <v>293</v>
      </c>
      <c r="H75" s="2" t="s">
        <v>34</v>
      </c>
      <c r="I75" s="2" t="str">
        <f>IFERROR(__xludf.DUMMYFUNCTION("GOOGLETRANSLATE(C75,""fr"",""en"")"),"I am satisfied with the service for subscription, the customer relationship was pleasant.
The internet personal space with intuitive air is pleasant.
When will the mobile app?")</f>
        <v>I am satisfied with the service for subscription, the customer relationship was pleasant.
The internet personal space with intuitive air is pleasant.
When will the mobile app?</v>
      </c>
    </row>
    <row r="76" ht="15.75" customHeight="1">
      <c r="A76" s="2">
        <v>4.0</v>
      </c>
      <c r="B76" s="2" t="s">
        <v>294</v>
      </c>
      <c r="C76" s="2" t="s">
        <v>295</v>
      </c>
      <c r="D76" s="2" t="s">
        <v>210</v>
      </c>
      <c r="E76" s="2" t="s">
        <v>14</v>
      </c>
      <c r="F76" s="2" t="s">
        <v>15</v>
      </c>
      <c r="G76" s="2" t="s">
        <v>296</v>
      </c>
      <c r="H76" s="2" t="s">
        <v>193</v>
      </c>
      <c r="I76" s="2" t="str">
        <f>IFERROR(__xludf.DUMMYFUNCTION("GOOGLETRANSLATE(C76,""fr"",""en"")"),"Nadege has perfectly answered my questions concerning the setting up of the remote transmission
I send you this day an organizational number for teletransmission
thank you")</f>
        <v>Nadege has perfectly answered my questions concerning the setting up of the remote transmission
I send you this day an organizational number for teletransmission
thank you</v>
      </c>
    </row>
    <row r="77" ht="15.75" customHeight="1">
      <c r="A77" s="2">
        <v>1.0</v>
      </c>
      <c r="B77" s="2" t="s">
        <v>297</v>
      </c>
      <c r="C77" s="2" t="s">
        <v>298</v>
      </c>
      <c r="D77" s="2" t="s">
        <v>133</v>
      </c>
      <c r="E77" s="2" t="s">
        <v>14</v>
      </c>
      <c r="F77" s="2" t="s">
        <v>15</v>
      </c>
      <c r="G77" s="2" t="s">
        <v>299</v>
      </c>
      <c r="H77" s="2" t="s">
        <v>300</v>
      </c>
      <c r="I77" s="2" t="str">
        <f>IFERROR(__xludf.DUMMYFUNCTION("GOOGLETRANSLATE(C77,""fr"",""en"")"),"I have been waiting for my third -party payment card for 2 months. In addition, they do not respond to emails or calls, which are paid at 15c/min. Each time the varied waiting time between 5-10 min")</f>
        <v>I have been waiting for my third -party payment card for 2 months. In addition, they do not respond to emails or calls, which are paid at 15c/min. Each time the varied waiting time between 5-10 min</v>
      </c>
    </row>
    <row r="78" ht="15.75" customHeight="1">
      <c r="A78" s="2">
        <v>2.0</v>
      </c>
      <c r="B78" s="2" t="s">
        <v>301</v>
      </c>
      <c r="C78" s="2" t="s">
        <v>302</v>
      </c>
      <c r="D78" s="2" t="s">
        <v>62</v>
      </c>
      <c r="E78" s="2" t="s">
        <v>21</v>
      </c>
      <c r="F78" s="2" t="s">
        <v>15</v>
      </c>
      <c r="G78" s="2" t="s">
        <v>303</v>
      </c>
      <c r="H78" s="2" t="s">
        <v>304</v>
      </c>
      <c r="I78" s="2" t="str">
        <f>IFERROR(__xludf.DUMMYFUNCTION("GOOGLETRANSLATE(C78,""fr"",""en"")"),"prices traffic, very very difficult to join")</f>
        <v>prices traffic, very very difficult to join</v>
      </c>
    </row>
    <row r="79" ht="15.75" customHeight="1">
      <c r="A79" s="2">
        <v>5.0</v>
      </c>
      <c r="B79" s="2" t="s">
        <v>305</v>
      </c>
      <c r="C79" s="2" t="s">
        <v>306</v>
      </c>
      <c r="D79" s="2" t="s">
        <v>62</v>
      </c>
      <c r="E79" s="2" t="s">
        <v>21</v>
      </c>
      <c r="F79" s="2" t="s">
        <v>15</v>
      </c>
      <c r="G79" s="2" t="s">
        <v>307</v>
      </c>
      <c r="H79" s="2" t="s">
        <v>64</v>
      </c>
      <c r="I79" s="2" t="str">
        <f>IFERROR(__xludf.DUMMYFUNCTION("GOOGLETRANSLATE(C79,""fr"",""en"")"),"I have been insured for a long time and everything is perfect. I will recommend direct insurance to all people who need. Keep going ! This is ideal.
")</f>
        <v>I have been insured for a long time and everything is perfect. I will recommend direct insurance to all people who need. Keep going ! This is ideal.
</v>
      </c>
    </row>
    <row r="80" ht="15.75" customHeight="1">
      <c r="A80" s="2">
        <v>3.0</v>
      </c>
      <c r="B80" s="2" t="s">
        <v>308</v>
      </c>
      <c r="C80" s="2" t="s">
        <v>309</v>
      </c>
      <c r="D80" s="2" t="s">
        <v>137</v>
      </c>
      <c r="E80" s="2" t="s">
        <v>21</v>
      </c>
      <c r="F80" s="2" t="s">
        <v>15</v>
      </c>
      <c r="G80" s="2" t="s">
        <v>310</v>
      </c>
      <c r="H80" s="2" t="s">
        <v>106</v>
      </c>
      <c r="I80" s="2" t="str">
        <f>IFERROR(__xludf.DUMMYFUNCTION("GOOGLETRANSLATE(C80,""fr"",""en"")"),"Following an act of vandalism on my vehicle (2 punctured tires) on the evening of Christmas Eve and that 400km from my home does not take the first night of accommodation in charge, because I am supposed to have planned it and Last night also as the bill "&amp;"was on the evening of 27, recovered my vehicle at 6 p.m., so left the next day but for them had to take the road in a row, in the largest invoice did not suit them, forced to ask for accommodation for accommodation . Really mean on their part, we have hom"&amp;"e vehicle, home, and health insurance. This encourages to be faithful to an insurer.")</f>
        <v>Following an act of vandalism on my vehicle (2 punctured tires) on the evening of Christmas Eve and that 400km from my home does not take the first night of accommodation in charge, because I am supposed to have planned it and Last night also as the bill was on the evening of 27, recovered my vehicle at 6 p.m., so left the next day but for them had to take the road in a row, in the largest invoice did not suit them, forced to ask for accommodation for accommodation . Really mean on their part, we have home vehicle, home, and health insurance. This encourages to be faithful to an insurer.</v>
      </c>
    </row>
    <row r="81" ht="15.75" customHeight="1">
      <c r="A81" s="2">
        <v>4.0</v>
      </c>
      <c r="B81" s="2" t="s">
        <v>311</v>
      </c>
      <c r="C81" s="2" t="s">
        <v>312</v>
      </c>
      <c r="D81" s="2" t="s">
        <v>42</v>
      </c>
      <c r="E81" s="2" t="s">
        <v>21</v>
      </c>
      <c r="F81" s="2" t="s">
        <v>15</v>
      </c>
      <c r="G81" s="2" t="s">
        <v>279</v>
      </c>
      <c r="H81" s="2" t="s">
        <v>54</v>
      </c>
      <c r="I81" s="2" t="str">
        <f>IFERROR(__xludf.DUMMYFUNCTION("GOOGLETRANSLATE(C81,""fr"",""en"")"),"Passed by an insurance comparator to find the insurance and the price that suits me.
I was put in contact via a confirmation email.
Simple procedure, everything is well explained.
I validated my information in a few tens of minutes ... time to read the"&amp;" conditions ...")</f>
        <v>Passed by an insurance comparator to find the insurance and the price that suits me.
I was put in contact via a confirmation email.
Simple procedure, everything is well explained.
I validated my information in a few tens of minutes ... time to read the conditions ...</v>
      </c>
    </row>
    <row r="82" ht="15.75" customHeight="1">
      <c r="A82" s="2">
        <v>1.0</v>
      </c>
      <c r="B82" s="2" t="s">
        <v>313</v>
      </c>
      <c r="C82" s="2" t="s">
        <v>314</v>
      </c>
      <c r="D82" s="2" t="s">
        <v>42</v>
      </c>
      <c r="E82" s="2" t="s">
        <v>21</v>
      </c>
      <c r="F82" s="2" t="s">
        <v>15</v>
      </c>
      <c r="G82" s="2" t="s">
        <v>315</v>
      </c>
      <c r="H82" s="2" t="s">
        <v>225</v>
      </c>
      <c r="I82" s="2" t="str">
        <f>IFERROR(__xludf.DUMMYFUNCTION("GOOGLETRANSLATE(C82,""fr"",""en"")"),"False advertising")</f>
        <v>False advertising</v>
      </c>
    </row>
    <row r="83" ht="15.75" customHeight="1">
      <c r="A83" s="2">
        <v>3.0</v>
      </c>
      <c r="B83" s="2" t="s">
        <v>316</v>
      </c>
      <c r="C83" s="2" t="s">
        <v>317</v>
      </c>
      <c r="D83" s="2" t="s">
        <v>20</v>
      </c>
      <c r="E83" s="2" t="s">
        <v>21</v>
      </c>
      <c r="F83" s="2" t="s">
        <v>15</v>
      </c>
      <c r="G83" s="2" t="s">
        <v>318</v>
      </c>
      <c r="H83" s="2" t="s">
        <v>123</v>
      </c>
      <c r="I83" s="2" t="str">
        <f>IFERROR(__xludf.DUMMYFUNCTION("GOOGLETRANSLATE(C83,""fr"",""en"")"),"I only contribute, I don't know if your service is satisfactory.
CA insurance is noted when you have an incident, a disaster and you see if it assumes its insurer mission and if it is diligent.")</f>
        <v>I only contribute, I don't know if your service is satisfactory.
CA insurance is noted when you have an incident, a disaster and you see if it assumes its insurer mission and if it is diligent.</v>
      </c>
    </row>
    <row r="84" ht="15.75" customHeight="1">
      <c r="A84" s="2">
        <v>4.0</v>
      </c>
      <c r="B84" s="2" t="s">
        <v>319</v>
      </c>
      <c r="C84" s="2" t="s">
        <v>320</v>
      </c>
      <c r="D84" s="2" t="s">
        <v>42</v>
      </c>
      <c r="E84" s="2" t="s">
        <v>21</v>
      </c>
      <c r="F84" s="2" t="s">
        <v>15</v>
      </c>
      <c r="G84" s="2" t="s">
        <v>321</v>
      </c>
      <c r="H84" s="2" t="s">
        <v>59</v>
      </c>
      <c r="I84" s="2" t="str">
        <f>IFERROR(__xludf.DUMMYFUNCTION("GOOGLETRANSLATE(C84,""fr"",""en"")"),"Not disappointed with my choice. I recommend this application. Quick quote is simple. Very cordial customer service I recommend the olive car insurance.")</f>
        <v>Not disappointed with my choice. I recommend this application. Quick quote is simple. Very cordial customer service I recommend the olive car insurance.</v>
      </c>
    </row>
    <row r="85" ht="15.75" customHeight="1">
      <c r="A85" s="2">
        <v>5.0</v>
      </c>
      <c r="B85" s="2" t="s">
        <v>322</v>
      </c>
      <c r="C85" s="2" t="s">
        <v>323</v>
      </c>
      <c r="D85" s="2" t="s">
        <v>62</v>
      </c>
      <c r="E85" s="2" t="s">
        <v>21</v>
      </c>
      <c r="F85" s="2" t="s">
        <v>15</v>
      </c>
      <c r="G85" s="2" t="s">
        <v>324</v>
      </c>
      <c r="H85" s="2" t="s">
        <v>72</v>
      </c>
      <c r="I85" s="2" t="str">
        <f>IFERROR(__xludf.DUMMYFUNCTION("GOOGLETRANSLATE(C85,""fr"",""en"")"),"Loading...")</f>
        <v>Loading...</v>
      </c>
    </row>
    <row r="86" ht="15.75" customHeight="1">
      <c r="A86" s="2">
        <v>4.0</v>
      </c>
      <c r="B86" s="2" t="s">
        <v>325</v>
      </c>
      <c r="C86" s="2" t="s">
        <v>326</v>
      </c>
      <c r="D86" s="2" t="s">
        <v>42</v>
      </c>
      <c r="E86" s="2" t="s">
        <v>21</v>
      </c>
      <c r="F86" s="2" t="s">
        <v>15</v>
      </c>
      <c r="G86" s="2" t="s">
        <v>327</v>
      </c>
      <c r="H86" s="2" t="s">
        <v>44</v>
      </c>
      <c r="I86" s="2" t="str">
        <f>IFERROR(__xludf.DUMMYFUNCTION("GOOGLETRANSLATE(C86,""fr"",""en"")"),"I am satisfied despite that I would have liked to have a commercial gesture since I already have another vehicle ensures at the olive assurance.cardially
")</f>
        <v>I am satisfied despite that I would have liked to have a commercial gesture since I already have another vehicle ensures at the olive assurance.cardially
</v>
      </c>
    </row>
    <row r="87" ht="15.75" customHeight="1">
      <c r="A87" s="2">
        <v>1.0</v>
      </c>
      <c r="B87" s="2" t="s">
        <v>328</v>
      </c>
      <c r="C87" s="2" t="s">
        <v>329</v>
      </c>
      <c r="D87" s="2" t="s">
        <v>330</v>
      </c>
      <c r="E87" s="2" t="s">
        <v>90</v>
      </c>
      <c r="F87" s="2" t="s">
        <v>15</v>
      </c>
      <c r="G87" s="2" t="s">
        <v>331</v>
      </c>
      <c r="H87" s="2" t="s">
        <v>304</v>
      </c>
      <c r="I87" s="2" t="str">
        <f>IFERROR(__xludf.DUMMYFUNCTION("GOOGLETRANSLATE(C87,""fr"",""en"")"),"Loading...")</f>
        <v>Loading...</v>
      </c>
    </row>
    <row r="88" ht="15.75" customHeight="1">
      <c r="A88" s="2">
        <v>1.0</v>
      </c>
      <c r="B88" s="2" t="s">
        <v>332</v>
      </c>
      <c r="C88" s="2" t="s">
        <v>333</v>
      </c>
      <c r="D88" s="2" t="s">
        <v>47</v>
      </c>
      <c r="E88" s="2" t="s">
        <v>21</v>
      </c>
      <c r="F88" s="2" t="s">
        <v>15</v>
      </c>
      <c r="G88" s="2" t="s">
        <v>334</v>
      </c>
      <c r="H88" s="2" t="s">
        <v>185</v>
      </c>
      <c r="I88" s="2" t="str">
        <f>IFERROR(__xludf.DUMMYFUNCTION("GOOGLETRANSLATE(C88,""fr"",""en"")"),"Axa La Grande Motte Agency Picon and Vignon are only good to collect contributions then there is no one left ... No response to emails for a single disaster in 11 years of insurance ... I even realized that he had ""forgotten"" To increase my bonus 3 year"&amp;"s in a row and this is still not restored 2 years later! A shame ! Haute staff and I bugger myself ... I thought I would pay the high price for a maximum warranty, result: I pay the high price for nothing at all !!!")</f>
        <v>Axa La Grande Motte Agency Picon and Vignon are only good to collect contributions then there is no one left ... No response to emails for a single disaster in 11 years of insurance ... I even realized that he had "forgotten" To increase my bonus 3 years in a row and this is still not restored 2 years later! A shame ! Haute staff and I bugger myself ... I thought I would pay the high price for a maximum warranty, result: I pay the high price for nothing at all !!!</v>
      </c>
    </row>
    <row r="89" ht="15.75" customHeight="1">
      <c r="A89" s="2">
        <v>1.0</v>
      </c>
      <c r="B89" s="2" t="s">
        <v>335</v>
      </c>
      <c r="C89" s="2" t="s">
        <v>336</v>
      </c>
      <c r="D89" s="2" t="s">
        <v>62</v>
      </c>
      <c r="E89" s="2" t="s">
        <v>129</v>
      </c>
      <c r="F89" s="2" t="s">
        <v>15</v>
      </c>
      <c r="G89" s="2" t="s">
        <v>337</v>
      </c>
      <c r="H89" s="2" t="s">
        <v>50</v>
      </c>
      <c r="I89" s="2" t="str">
        <f>IFERROR(__xludf.DUMMYFUNCTION("GOOGLETRANSLATE(C89,""fr"",""en"")"),"To avoid. Quote where we invite you to pay as an annual I call to be able to pay the person on the phone tells me that this is not possible ""I don't have the hand on it"" ... do not look for a solution ...
Lack of bowl what is it for you to call you?
A"&amp;"nd then my husband subscribed to me.
The difference between him and me except sex and age is the profession. Oddly, he was able to subscribe as a monthly by being an employee, and I craft no ... Beautiful discrimination ... would be this due to the situa"&amp;"tion?
Too bad I was insured by car (on my name as a monthly and on my own account) for quite some time with them I think suddenly changing very quickly")</f>
        <v>To avoid. Quote where we invite you to pay as an annual I call to be able to pay the person on the phone tells me that this is not possible "I don't have the hand on it" ... do not look for a solution ...
Lack of bowl what is it for you to call you?
And then my husband subscribed to me.
The difference between him and me except sex and age is the profession. Oddly, he was able to subscribe as a monthly by being an employee, and I craft no ... Beautiful discrimination ... would be this due to the situation?
Too bad I was insured by car (on my name as a monthly and on my own account) for quite some time with them I think suddenly changing very quickly</v>
      </c>
    </row>
    <row r="90" ht="15.75" customHeight="1">
      <c r="A90" s="2">
        <v>5.0</v>
      </c>
      <c r="B90" s="2" t="s">
        <v>338</v>
      </c>
      <c r="C90" s="2" t="s">
        <v>339</v>
      </c>
      <c r="D90" s="2" t="s">
        <v>42</v>
      </c>
      <c r="E90" s="2" t="s">
        <v>21</v>
      </c>
      <c r="F90" s="2" t="s">
        <v>15</v>
      </c>
      <c r="G90" s="2" t="s">
        <v>340</v>
      </c>
      <c r="H90" s="2" t="s">
        <v>123</v>
      </c>
      <c r="I90" s="2" t="str">
        <f>IFERROR(__xludf.DUMMYFUNCTION("GOOGLETRANSLATE(C90,""fr"",""en"")"),"I am very satisfied, I have three insurances and no problem found. The quality of the service is impeccable and the care very well followed.")</f>
        <v>I am very satisfied, I have three insurances and no problem found. The quality of the service is impeccable and the care very well followed.</v>
      </c>
    </row>
    <row r="91" ht="15.75" customHeight="1">
      <c r="A91" s="2">
        <v>2.0</v>
      </c>
      <c r="B91" s="2" t="s">
        <v>341</v>
      </c>
      <c r="C91" s="2" t="s">
        <v>342</v>
      </c>
      <c r="D91" s="2" t="s">
        <v>250</v>
      </c>
      <c r="E91" s="2" t="s">
        <v>90</v>
      </c>
      <c r="F91" s="2" t="s">
        <v>15</v>
      </c>
      <c r="G91" s="2" t="s">
        <v>343</v>
      </c>
      <c r="H91" s="2" t="s">
        <v>64</v>
      </c>
      <c r="I91" s="2" t="str">
        <f>IFERROR(__xludf.DUMMYFUNCTION("GOOGLETRANSLATE(C91,""fr"",""en"")"),"Loading...")</f>
        <v>Loading...</v>
      </c>
    </row>
    <row r="92" ht="15.75" customHeight="1">
      <c r="A92" s="2">
        <v>1.0</v>
      </c>
      <c r="B92" s="2" t="s">
        <v>344</v>
      </c>
      <c r="C92" s="2" t="s">
        <v>345</v>
      </c>
      <c r="D92" s="2" t="s">
        <v>330</v>
      </c>
      <c r="E92" s="2" t="s">
        <v>76</v>
      </c>
      <c r="F92" s="2" t="s">
        <v>15</v>
      </c>
      <c r="G92" s="2" t="s">
        <v>346</v>
      </c>
      <c r="H92" s="2" t="s">
        <v>123</v>
      </c>
      <c r="I92" s="2" t="str">
        <f>IFERROR(__xludf.DUMMYFUNCTION("GOOGLETRANSLATE(C92,""fr"",""en"")"),"Attractive price, signature of a contract with a schedule, everything is fine ...
Credit between damping and Generali increases its price by 30%.... no explanation
We cannot have the manager at Tel, we must write and there, several rabbits leave the hat"&amp;": a modified contract because the credit entered damping 3 years later (yes, it was a VEFA but the CRD remains the same), Credit that has become variable maturity (what a pro not to make the difference between inter -day interests and a variable deadline)"&amp;", in the 2nd mail: the state requires 9% collection for any modification of credit ... but it is not not modified !!!
I go and the best, I don't even dare imagined if unfortunately I had to activate the warranty
In short, to avoid
Ah yes: we are 11/08,"&amp;" I wrote a complaint on 03 and the complaint service: nothing, nada, .. not even a simple ar")</f>
        <v>Attractive price, signature of a contract with a schedule, everything is fine ...
Credit between damping and Generali increases its price by 30%.... no explanation
We cannot have the manager at Tel, we must write and there, several rabbits leave the hat: a modified contract because the credit entered damping 3 years later (yes, it was a VEFA but the CRD remains the same), Credit that has become variable maturity (what a pro not to make the difference between inter -day interests and a variable deadline), in the 2nd mail: the state requires 9% collection for any modification of credit ... but it is not not modified !!!
I go and the best, I don't even dare imagined if unfortunately I had to activate the warranty
In short, to avoid
Ah yes: we are 11/08, I wrote a complaint on 03 and the complaint service: nothing, nada, .. not even a simple ar</v>
      </c>
    </row>
    <row r="93" ht="15.75" customHeight="1">
      <c r="A93" s="2">
        <v>3.0</v>
      </c>
      <c r="B93" s="2" t="s">
        <v>347</v>
      </c>
      <c r="C93" s="2" t="s">
        <v>348</v>
      </c>
      <c r="D93" s="2" t="s">
        <v>62</v>
      </c>
      <c r="E93" s="2" t="s">
        <v>21</v>
      </c>
      <c r="F93" s="2" t="s">
        <v>15</v>
      </c>
      <c r="G93" s="2" t="s">
        <v>349</v>
      </c>
      <c r="H93" s="2" t="s">
        <v>123</v>
      </c>
      <c r="I93" s="2" t="str">
        <f>IFERROR(__xludf.DUMMYFUNCTION("GOOGLETRANSLATE(C93,""fr"",""en"")"),"Loading...")</f>
        <v>Loading...</v>
      </c>
    </row>
    <row r="94" ht="15.75" customHeight="1">
      <c r="A94" s="2">
        <v>2.0</v>
      </c>
      <c r="B94" s="2" t="s">
        <v>350</v>
      </c>
      <c r="C94" s="2" t="s">
        <v>351</v>
      </c>
      <c r="D94" s="2" t="s">
        <v>62</v>
      </c>
      <c r="E94" s="2" t="s">
        <v>21</v>
      </c>
      <c r="F94" s="2" t="s">
        <v>15</v>
      </c>
      <c r="G94" s="2" t="s">
        <v>352</v>
      </c>
      <c r="H94" s="2" t="s">
        <v>106</v>
      </c>
      <c r="I94" s="2" t="str">
        <f>IFERROR(__xludf.DUMMYFUNCTION("GOOGLETRANSLATE(C94,""fr"",""en"")"),"My file must go to committee .... 1.5 months of waiting. No one is able to find out. A disaster")</f>
        <v>My file must go to committee .... 1.5 months of waiting. No one is able to find out. A disaster</v>
      </c>
    </row>
    <row r="95" ht="15.75" customHeight="1">
      <c r="A95" s="2">
        <v>4.0</v>
      </c>
      <c r="B95" s="2" t="s">
        <v>353</v>
      </c>
      <c r="C95" s="2" t="s">
        <v>354</v>
      </c>
      <c r="D95" s="2" t="s">
        <v>42</v>
      </c>
      <c r="E95" s="2" t="s">
        <v>21</v>
      </c>
      <c r="F95" s="2" t="s">
        <v>15</v>
      </c>
      <c r="G95" s="2" t="s">
        <v>355</v>
      </c>
      <c r="H95" s="2" t="s">
        <v>39</v>
      </c>
      <c r="I95" s="2" t="str">
        <f>IFERROR(__xludf.DUMMYFUNCTION("GOOGLETRANSLATE(C95,""fr"",""en"")"),"Loading...")</f>
        <v>Loading...</v>
      </c>
    </row>
    <row r="96" ht="15.75" customHeight="1">
      <c r="A96" s="2">
        <v>2.0</v>
      </c>
      <c r="B96" s="2" t="s">
        <v>356</v>
      </c>
      <c r="C96" s="2" t="s">
        <v>357</v>
      </c>
      <c r="D96" s="2" t="s">
        <v>42</v>
      </c>
      <c r="E96" s="2" t="s">
        <v>21</v>
      </c>
      <c r="F96" s="2" t="s">
        <v>15</v>
      </c>
      <c r="G96" s="2" t="s">
        <v>358</v>
      </c>
      <c r="H96" s="2" t="s">
        <v>78</v>
      </c>
      <c r="I96" s="2" t="str">
        <f>IFERROR(__xludf.DUMMYFUNCTION("GOOGLETRANSLATE(C96,""fr"",""en"")"),"Hello, Take up on January 04 by mistake by still no refund !! Received a confirmation and text call on 09 and the 27 still nothing on my account does not include 367 euros for nothing in double thank you for making the refund")</f>
        <v>Hello, Take up on January 04 by mistake by still no refund !! Received a confirmation and text call on 09 and the 27 still nothing on my account does not include 367 euros for nothing in double thank you for making the refund</v>
      </c>
    </row>
    <row r="97" ht="15.75" customHeight="1">
      <c r="A97" s="2">
        <v>3.0</v>
      </c>
      <c r="B97" s="2" t="s">
        <v>359</v>
      </c>
      <c r="C97" s="2" t="s">
        <v>360</v>
      </c>
      <c r="D97" s="2" t="s">
        <v>42</v>
      </c>
      <c r="E97" s="2" t="s">
        <v>21</v>
      </c>
      <c r="F97" s="2" t="s">
        <v>15</v>
      </c>
      <c r="G97" s="2" t="s">
        <v>361</v>
      </c>
      <c r="H97" s="2" t="s">
        <v>362</v>
      </c>
      <c r="I97" s="2" t="str">
        <f>IFERROR(__xludf.DUMMYFUNCTION("GOOGLETRANSLATE(C97,""fr"",""en"")"),"I do not yet have a long experience with the insurance olive tree but I had to refuse an order form for my car, unfortunately because of bank concerns The new delivery is homeless. I still decided to call the olive tree to see what it is possible to do in"&amp;" my case.
Two solutions:
1. either I terminate and I am reimbursed 11 months
2. Either I suspend insurance and I lose 1 month
Summary of the situation: I pay a month of insurance for a car that does not exist.
I have it bad. My contract is not ev"&amp;"en finalized because I do not have the necessary documents which complicates contact!")</f>
        <v>I do not yet have a long experience with the insurance olive tree but I had to refuse an order form for my car, unfortunately because of bank concerns The new delivery is homeless. I still decided to call the olive tree to see what it is possible to do in my case.
Two solutions:
1. either I terminate and I am reimbursed 11 months
2. Either I suspend insurance and I lose 1 month
Summary of the situation: I pay a month of insurance for a car that does not exist.
I have it bad. My contract is not even finalized because I do not have the necessary documents which complicates contact!</v>
      </c>
    </row>
    <row r="98" ht="15.75" customHeight="1">
      <c r="A98" s="2">
        <v>5.0</v>
      </c>
      <c r="B98" s="2" t="s">
        <v>363</v>
      </c>
      <c r="C98" s="2" t="s">
        <v>364</v>
      </c>
      <c r="D98" s="2" t="s">
        <v>62</v>
      </c>
      <c r="E98" s="2" t="s">
        <v>21</v>
      </c>
      <c r="F98" s="2" t="s">
        <v>15</v>
      </c>
      <c r="G98" s="2" t="s">
        <v>365</v>
      </c>
      <c r="H98" s="2" t="s">
        <v>123</v>
      </c>
      <c r="I98" s="2" t="str">
        <f>IFERROR(__xludf.DUMMYFUNCTION("GOOGLETRANSLATE(C98,""fr"",""en"")"),"Your simulator is easy to use bravo! The subscription is simple and quick and no need to pay six months in advance. Thank you Direct Assurances")</f>
        <v>Your simulator is easy to use bravo! The subscription is simple and quick and no need to pay six months in advance. Thank you Direct Assurances</v>
      </c>
    </row>
    <row r="99" ht="15.75" customHeight="1">
      <c r="A99" s="2">
        <v>1.0</v>
      </c>
      <c r="B99" s="2" t="s">
        <v>366</v>
      </c>
      <c r="C99" s="2" t="s">
        <v>367</v>
      </c>
      <c r="D99" s="2" t="s">
        <v>368</v>
      </c>
      <c r="E99" s="2" t="s">
        <v>21</v>
      </c>
      <c r="F99" s="2" t="s">
        <v>15</v>
      </c>
      <c r="G99" s="2" t="s">
        <v>369</v>
      </c>
      <c r="H99" s="2" t="s">
        <v>370</v>
      </c>
      <c r="I99" s="2" t="str">
        <f>IFERROR(__xludf.DUMMYFUNCTION("GOOGLETRANSLATE(C99,""fr"",""en"")"),"To be countered.
Paying customer service with expectations and poor affairs. No other numbers to solve a problem. CONVERSATION AT CROSS PURPOSES. Lack of constructive dialogue. They take your money at the first of the subscription, then Galere Galere Gal"&amp;"ere")</f>
        <v>To be countered.
Paying customer service with expectations and poor affairs. No other numbers to solve a problem. CONVERSATION AT CROSS PURPOSES. Lack of constructive dialogue. They take your money at the first of the subscription, then Galere Galere Galere</v>
      </c>
    </row>
    <row r="100" ht="15.75" customHeight="1">
      <c r="A100" s="2">
        <v>4.0</v>
      </c>
      <c r="B100" s="2" t="s">
        <v>371</v>
      </c>
      <c r="C100" s="2" t="s">
        <v>372</v>
      </c>
      <c r="D100" s="2" t="s">
        <v>42</v>
      </c>
      <c r="E100" s="2" t="s">
        <v>21</v>
      </c>
      <c r="F100" s="2" t="s">
        <v>15</v>
      </c>
      <c r="G100" s="2" t="s">
        <v>373</v>
      </c>
      <c r="H100" s="2" t="s">
        <v>123</v>
      </c>
      <c r="I100" s="2" t="str">
        <f>IFERROR(__xludf.DUMMYFUNCTION("GOOGLETRANSLATE(C100,""fr"",""en"")"),"Overall I am satisfied with the price, the support of the Olivier teleconsillers and the speed of taking into account my request. The interface is rather simple to use.")</f>
        <v>Overall I am satisfied with the price, the support of the Olivier teleconsillers and the speed of taking into account my request. The interface is rather simple to use.</v>
      </c>
    </row>
    <row r="101" ht="15.75" customHeight="1">
      <c r="A101" s="2">
        <v>5.0</v>
      </c>
      <c r="B101" s="2" t="s">
        <v>374</v>
      </c>
      <c r="C101" s="2" t="s">
        <v>375</v>
      </c>
      <c r="D101" s="2" t="s">
        <v>42</v>
      </c>
      <c r="E101" s="2" t="s">
        <v>21</v>
      </c>
      <c r="F101" s="2" t="s">
        <v>15</v>
      </c>
      <c r="G101" s="2" t="s">
        <v>376</v>
      </c>
      <c r="H101" s="2" t="s">
        <v>34</v>
      </c>
      <c r="I101" s="2" t="str">
        <f>IFERROR(__xludf.DUMMYFUNCTION("GOOGLETRANSLATE(C101,""fr"",""en"")"),"I discover the site looks well done and practical. This contract is for my son's vehicle. I will certainly plan to take my own contract from you.")</f>
        <v>I discover the site looks well done and practical. This contract is for my son's vehicle. I will certainly plan to take my own contract from you.</v>
      </c>
    </row>
    <row r="102" ht="15.75" customHeight="1">
      <c r="A102" s="2">
        <v>5.0</v>
      </c>
      <c r="B102" s="2" t="s">
        <v>377</v>
      </c>
      <c r="C102" s="2" t="s">
        <v>378</v>
      </c>
      <c r="D102" s="2" t="s">
        <v>20</v>
      </c>
      <c r="E102" s="2" t="s">
        <v>21</v>
      </c>
      <c r="F102" s="2" t="s">
        <v>15</v>
      </c>
      <c r="G102" s="2" t="s">
        <v>340</v>
      </c>
      <c r="H102" s="2" t="s">
        <v>123</v>
      </c>
      <c r="I102" s="2" t="str">
        <f>IFERROR(__xludf.DUMMYFUNCTION("GOOGLETRANSLATE(C102,""fr"",""en"")"),"I am very satisfied with the relationship with your telephone service!
Bravo for the reception and professionalism of your employees!
Congratulations also for the quality of the telephone service and set up by the GMF")</f>
        <v>I am very satisfied with the relationship with your telephone service!
Bravo for the reception and professionalism of your employees!
Congratulations also for the quality of the telephone service and set up by the GMF</v>
      </c>
    </row>
    <row r="103" ht="15.75" customHeight="1">
      <c r="A103" s="2">
        <v>2.0</v>
      </c>
      <c r="B103" s="2" t="s">
        <v>379</v>
      </c>
      <c r="C103" s="2" t="s">
        <v>380</v>
      </c>
      <c r="D103" s="2" t="s">
        <v>62</v>
      </c>
      <c r="E103" s="2" t="s">
        <v>21</v>
      </c>
      <c r="F103" s="2" t="s">
        <v>15</v>
      </c>
      <c r="G103" s="2" t="s">
        <v>59</v>
      </c>
      <c r="H103" s="2" t="s">
        <v>59</v>
      </c>
      <c r="I103" s="2" t="str">
        <f>IFERROR(__xludf.DUMMYFUNCTION("GOOGLETRANSLATE(C103,""fr"",""en"")"),"Loading...")</f>
        <v>Loading...</v>
      </c>
    </row>
    <row r="104" ht="15.75" customHeight="1">
      <c r="A104" s="2">
        <v>5.0</v>
      </c>
      <c r="B104" s="2" t="s">
        <v>381</v>
      </c>
      <c r="C104" s="2" t="s">
        <v>382</v>
      </c>
      <c r="D104" s="2" t="s">
        <v>67</v>
      </c>
      <c r="E104" s="2" t="s">
        <v>32</v>
      </c>
      <c r="F104" s="2" t="s">
        <v>15</v>
      </c>
      <c r="G104" s="2" t="s">
        <v>383</v>
      </c>
      <c r="H104" s="2" t="s">
        <v>266</v>
      </c>
      <c r="I104" s="2" t="str">
        <f>IFERROR(__xludf.DUMMYFUNCTION("GOOGLETRANSLATE(C104,""fr"",""en"")"),"I am delighted with my AMV insurance frankly at the top quick response really very good insurance thank you to all the teams for your professionalism
Cordially")</f>
        <v>I am delighted with my AMV insurance frankly at the top quick response really very good insurance thank you to all the teams for your professionalism
Cordially</v>
      </c>
    </row>
    <row r="105" ht="15.75" customHeight="1">
      <c r="A105" s="2">
        <v>3.0</v>
      </c>
      <c r="B105" s="2" t="s">
        <v>384</v>
      </c>
      <c r="C105" s="2" t="s">
        <v>385</v>
      </c>
      <c r="D105" s="2" t="s">
        <v>42</v>
      </c>
      <c r="E105" s="2" t="s">
        <v>21</v>
      </c>
      <c r="F105" s="2" t="s">
        <v>15</v>
      </c>
      <c r="G105" s="2" t="s">
        <v>386</v>
      </c>
      <c r="H105" s="2" t="s">
        <v>59</v>
      </c>
      <c r="I105" s="2" t="str">
        <f>IFERROR(__xludf.DUMMYFUNCTION("GOOGLETRANSLATE(C105,""fr"",""en"")"),"Global satisfaction
The waiting period of the green card could be reduced to 3 working days minimum
An insurance certificate could be issued at all times for the duration of the procedure.")</f>
        <v>Global satisfaction
The waiting period of the green card could be reduced to 3 working days minimum
An insurance certificate could be issued at all times for the duration of the procedure.</v>
      </c>
    </row>
    <row r="106" ht="15.75" customHeight="1">
      <c r="A106" s="2">
        <v>5.0</v>
      </c>
      <c r="B106" s="2" t="s">
        <v>387</v>
      </c>
      <c r="C106" s="2" t="s">
        <v>388</v>
      </c>
      <c r="D106" s="2" t="s">
        <v>42</v>
      </c>
      <c r="E106" s="2" t="s">
        <v>21</v>
      </c>
      <c r="F106" s="2" t="s">
        <v>15</v>
      </c>
      <c r="G106" s="2" t="s">
        <v>389</v>
      </c>
      <c r="H106" s="2" t="s">
        <v>39</v>
      </c>
      <c r="I106" s="2" t="str">
        <f>IFERROR(__xludf.DUMMYFUNCTION("GOOGLETRANSLATE(C106,""fr"",""en"")"),"I am very satisfied with the prices offered on the Olivier Insurance, I recommend. The prices offered are much cheaper than competition with equal guarantees")</f>
        <v>I am very satisfied with the prices offered on the Olivier Insurance, I recommend. The prices offered are much cheaper than competition with equal guarantees</v>
      </c>
    </row>
    <row r="107" ht="15.75" customHeight="1">
      <c r="A107" s="2">
        <v>4.0</v>
      </c>
      <c r="B107" s="2" t="s">
        <v>390</v>
      </c>
      <c r="C107" s="2" t="s">
        <v>391</v>
      </c>
      <c r="D107" s="2" t="s">
        <v>62</v>
      </c>
      <c r="E107" s="2" t="s">
        <v>21</v>
      </c>
      <c r="F107" s="2" t="s">
        <v>15</v>
      </c>
      <c r="G107" s="2" t="s">
        <v>392</v>
      </c>
      <c r="H107" s="2" t="s">
        <v>72</v>
      </c>
      <c r="I107" s="2" t="str">
        <f>IFERROR(__xludf.DUMMYFUNCTION("GOOGLETRANSLATE(C107,""fr"",""en"")"),"Loading...")</f>
        <v>Loading...</v>
      </c>
    </row>
    <row r="108" ht="15.75" customHeight="1">
      <c r="A108" s="2">
        <v>5.0</v>
      </c>
      <c r="B108" s="2" t="s">
        <v>393</v>
      </c>
      <c r="C108" s="2" t="s">
        <v>394</v>
      </c>
      <c r="D108" s="2" t="s">
        <v>42</v>
      </c>
      <c r="E108" s="2" t="s">
        <v>21</v>
      </c>
      <c r="F108" s="2" t="s">
        <v>15</v>
      </c>
      <c r="G108" s="2" t="s">
        <v>38</v>
      </c>
      <c r="H108" s="2" t="s">
        <v>39</v>
      </c>
      <c r="I108" s="2" t="str">
        <f>IFERROR(__xludf.DUMMYFUNCTION("GOOGLETRANSLATE(C108,""fr"",""en"")"),"The care was rapid, professional.
The advisor was very pleasant, warm, competent, very clear in her explanations, and very well in all.")</f>
        <v>The care was rapid, professional.
The advisor was very pleasant, warm, competent, very clear in her explanations, and very well in all.</v>
      </c>
    </row>
    <row r="109" ht="15.75" customHeight="1">
      <c r="A109" s="2">
        <v>3.0</v>
      </c>
      <c r="B109" s="2" t="s">
        <v>395</v>
      </c>
      <c r="C109" s="2" t="s">
        <v>396</v>
      </c>
      <c r="D109" s="2" t="s">
        <v>62</v>
      </c>
      <c r="E109" s="2" t="s">
        <v>21</v>
      </c>
      <c r="F109" s="2" t="s">
        <v>15</v>
      </c>
      <c r="G109" s="2" t="s">
        <v>397</v>
      </c>
      <c r="H109" s="2" t="s">
        <v>64</v>
      </c>
      <c r="I109" s="2" t="str">
        <f>IFERROR(__xludf.DUMMYFUNCTION("GOOGLETRANSLATE(C109,""fr"",""en"")"),"Loading...")</f>
        <v>Loading...</v>
      </c>
    </row>
    <row r="110" ht="15.75" customHeight="1">
      <c r="A110" s="2">
        <v>4.0</v>
      </c>
      <c r="B110" s="2" t="s">
        <v>398</v>
      </c>
      <c r="C110" s="2" t="s">
        <v>399</v>
      </c>
      <c r="D110" s="2" t="s">
        <v>62</v>
      </c>
      <c r="E110" s="2" t="s">
        <v>21</v>
      </c>
      <c r="F110" s="2" t="s">
        <v>15</v>
      </c>
      <c r="G110" s="2" t="s">
        <v>400</v>
      </c>
      <c r="H110" s="2" t="s">
        <v>44</v>
      </c>
      <c r="I110" s="2" t="str">
        <f>IFERROR(__xludf.DUMMYFUNCTION("GOOGLETRANSLATE(C110,""fr"",""en"")"),"The price is attractive and the online subscription is very simple to perform.
In addition, termination with the former insurer is taken care of.")</f>
        <v>The price is attractive and the online subscription is very simple to perform.
In addition, termination with the former insurer is taken care of.</v>
      </c>
    </row>
    <row r="111" ht="15.75" customHeight="1">
      <c r="A111" s="2">
        <v>4.0</v>
      </c>
      <c r="B111" s="2" t="s">
        <v>401</v>
      </c>
      <c r="C111" s="2" t="s">
        <v>402</v>
      </c>
      <c r="D111" s="2" t="s">
        <v>42</v>
      </c>
      <c r="E111" s="2" t="s">
        <v>21</v>
      </c>
      <c r="F111" s="2" t="s">
        <v>15</v>
      </c>
      <c r="G111" s="2" t="s">
        <v>403</v>
      </c>
      <c r="H111" s="2" t="s">
        <v>44</v>
      </c>
      <c r="I111" s="2" t="str">
        <f>IFERROR(__xludf.DUMMYFUNCTION("GOOGLETRANSLATE(C111,""fr"",""en"")"),"Satisfied with the customer service, the processing period of my file and the proposed rate. In the future I will recommend the olive tree to my loved ones and my family.")</f>
        <v>Satisfied with the customer service, the processing period of my file and the proposed rate. In the future I will recommend the olive tree to my loved ones and my family.</v>
      </c>
    </row>
    <row r="112" ht="15.75" customHeight="1">
      <c r="A112" s="2">
        <v>4.0</v>
      </c>
      <c r="B112" s="2" t="s">
        <v>404</v>
      </c>
      <c r="C112" s="2" t="s">
        <v>405</v>
      </c>
      <c r="D112" s="2" t="s">
        <v>62</v>
      </c>
      <c r="E112" s="2" t="s">
        <v>21</v>
      </c>
      <c r="F112" s="2" t="s">
        <v>15</v>
      </c>
      <c r="G112" s="2" t="s">
        <v>262</v>
      </c>
      <c r="H112" s="2" t="s">
        <v>34</v>
      </c>
      <c r="I112" s="2" t="str">
        <f>IFERROR(__xludf.DUMMYFUNCTION("GOOGLETRANSLATE(C112,""fr"",""en"")"),"simple and practical to be able to subscribe online and avoid moving
Correct rate compared to competitors
Rapid, less than 5 minutes to be assured the next day")</f>
        <v>simple and practical to be able to subscribe online and avoid moving
Correct rate compared to competitors
Rapid, less than 5 minutes to be assured the next day</v>
      </c>
    </row>
    <row r="113" ht="15.75" customHeight="1">
      <c r="A113" s="2">
        <v>1.0</v>
      </c>
      <c r="B113" s="2" t="s">
        <v>406</v>
      </c>
      <c r="C113" s="2" t="s">
        <v>407</v>
      </c>
      <c r="D113" s="2" t="s">
        <v>62</v>
      </c>
      <c r="E113" s="2" t="s">
        <v>21</v>
      </c>
      <c r="F113" s="2" t="s">
        <v>15</v>
      </c>
      <c r="G113" s="2" t="s">
        <v>408</v>
      </c>
      <c r="H113" s="2" t="s">
        <v>409</v>
      </c>
      <c r="I113" s="2" t="str">
        <f>IFERROR(__xludf.DUMMYFUNCTION("GOOGLETRANSLATE(C113,""fr"",""en"")"),"Loading...")</f>
        <v>Loading...</v>
      </c>
    </row>
    <row r="114" ht="15.75" customHeight="1">
      <c r="A114" s="2">
        <v>1.0</v>
      </c>
      <c r="B114" s="2" t="s">
        <v>410</v>
      </c>
      <c r="C114" s="2" t="s">
        <v>411</v>
      </c>
      <c r="D114" s="2" t="s">
        <v>99</v>
      </c>
      <c r="E114" s="2" t="s">
        <v>129</v>
      </c>
      <c r="F114" s="2" t="s">
        <v>15</v>
      </c>
      <c r="G114" s="2" t="s">
        <v>412</v>
      </c>
      <c r="H114" s="2" t="s">
        <v>413</v>
      </c>
      <c r="I114" s="2" t="str">
        <f>IFERROR(__xludf.DUMMYFUNCTION("GOOGLETRANSLATE(C114,""fr"",""en"")"),"Price increase of 200% between 1995 and 2019 (inflation increased only by 36% over this period) while housing is unchanged and there was no claim in 23 years")</f>
        <v>Price increase of 200% between 1995 and 2019 (inflation increased only by 36% over this period) while housing is unchanged and there was no claim in 23 years</v>
      </c>
    </row>
    <row r="115" ht="15.75" customHeight="1">
      <c r="A115" s="2">
        <v>4.0</v>
      </c>
      <c r="B115" s="2" t="s">
        <v>414</v>
      </c>
      <c r="C115" s="2" t="s">
        <v>415</v>
      </c>
      <c r="D115" s="2" t="s">
        <v>20</v>
      </c>
      <c r="E115" s="2" t="s">
        <v>21</v>
      </c>
      <c r="F115" s="2" t="s">
        <v>15</v>
      </c>
      <c r="G115" s="2" t="s">
        <v>116</v>
      </c>
      <c r="H115" s="2" t="s">
        <v>54</v>
      </c>
      <c r="I115" s="2" t="str">
        <f>IFERROR(__xludf.DUMMYFUNCTION("GOOGLETRANSLATE(C115,""fr"",""en"")"),"I was very satisfied with the service and the support that I received from the teleoperator today. It was exceptional. Better than yesterday not pleasant at all and the previous times. Just satisfactory.
Thank you again to the catering cars of the day! C"&amp;"ongratulation.")</f>
        <v>I was very satisfied with the service and the support that I received from the teleoperator today. It was exceptional. Better than yesterday not pleasant at all and the previous times. Just satisfactory.
Thank you again to the catering cars of the day! Congratulation.</v>
      </c>
    </row>
    <row r="116" ht="15.75" customHeight="1">
      <c r="A116" s="2">
        <v>5.0</v>
      </c>
      <c r="B116" s="2" t="s">
        <v>416</v>
      </c>
      <c r="C116" s="2" t="s">
        <v>417</v>
      </c>
      <c r="D116" s="2" t="s">
        <v>418</v>
      </c>
      <c r="E116" s="2" t="s">
        <v>76</v>
      </c>
      <c r="F116" s="2" t="s">
        <v>15</v>
      </c>
      <c r="G116" s="2" t="s">
        <v>419</v>
      </c>
      <c r="H116" s="2" t="s">
        <v>276</v>
      </c>
      <c r="I116" s="2" t="str">
        <f>IFERROR(__xludf.DUMMYFUNCTION("GOOGLETRANSLATE(C116,""fr"",""en"")"),"Top advisor, available, professional, responsive and very clear in the explanations.
I recommend.
Economy made of around 13,000 euros, with better premium guarantees.
Thanks to Imane")</f>
        <v>Top advisor, available, professional, responsive and very clear in the explanations.
I recommend.
Economy made of around 13,000 euros, with better premium guarantees.
Thanks to Imane</v>
      </c>
    </row>
    <row r="117" ht="15.75" customHeight="1">
      <c r="A117" s="2">
        <v>5.0</v>
      </c>
      <c r="B117" s="2" t="s">
        <v>420</v>
      </c>
      <c r="C117" s="2" t="s">
        <v>421</v>
      </c>
      <c r="D117" s="2" t="s">
        <v>31</v>
      </c>
      <c r="E117" s="2" t="s">
        <v>32</v>
      </c>
      <c r="F117" s="2" t="s">
        <v>15</v>
      </c>
      <c r="G117" s="2" t="s">
        <v>422</v>
      </c>
      <c r="H117" s="2" t="s">
        <v>72</v>
      </c>
      <c r="I117" s="2" t="str">
        <f>IFERROR(__xludf.DUMMYFUNCTION("GOOGLETRANSLATE(C117,""fr"",""en"")"),"I am satisfied quick and effective I want to share it with all my friends in France and elsewhere so that he can be aware of the best prices")</f>
        <v>I am satisfied quick and effective I want to share it with all my friends in France and elsewhere so that he can be aware of the best prices</v>
      </c>
    </row>
    <row r="118" ht="15.75" customHeight="1">
      <c r="A118" s="2">
        <v>1.0</v>
      </c>
      <c r="B118" s="2" t="s">
        <v>423</v>
      </c>
      <c r="C118" s="2" t="s">
        <v>424</v>
      </c>
      <c r="D118" s="2" t="s">
        <v>285</v>
      </c>
      <c r="E118" s="2" t="s">
        <v>76</v>
      </c>
      <c r="F118" s="2" t="s">
        <v>15</v>
      </c>
      <c r="G118" s="2" t="s">
        <v>425</v>
      </c>
      <c r="H118" s="2" t="s">
        <v>276</v>
      </c>
      <c r="I118" s="2" t="str">
        <f>IFERROR(__xludf.DUMMYFUNCTION("GOOGLETRANSLATE(C118,""fr"",""en"")"),"Hello,
I am very disappointed with this insurance. There is no worries to take every month but when it comes to operating the system it is more complicated. I have established a complete file (sent with acknowledgment of receipt) concerning my sick lea"&amp;"ve which dates from September 3. I already had a lot of trouble having an interlocutor. 40 minutes of expectations, after the operator was very cordial but a little lost ... I called several times to find out where my file was .... answer: we received it,"&amp;" there is a lot of week late. Ok but it's more weeks, it's months ... I regret the lack of communication, I am annoyed by the lack of response ... I have asked several times if I would be reimbursed for the consultation of my Doctor (request for cardif of"&amp;" a certificate from the attending physician in detail). My doctor refused to bil this consultation at the CPAM ... no advice could answer me.
We finalize, my cardif borrower insurance for having asked him to cost me the price of a medical consultation an"&amp;"d I am not even sure to be able to count on my contract because no response ... Hallucinating processing deadlines ... I am worried about the future with this insurance which does not provide any secure element ...
")</f>
        <v>Hello,
I am very disappointed with this insurance. There is no worries to take every month but when it comes to operating the system it is more complicated. I have established a complete file (sent with acknowledgment of receipt) concerning my sick leave which dates from September 3. I already had a lot of trouble having an interlocutor. 40 minutes of expectations, after the operator was very cordial but a little lost ... I called several times to find out where my file was .... answer: we received it, there is a lot of week late. Ok but it's more weeks, it's months ... I regret the lack of communication, I am annoyed by the lack of response ... I have asked several times if I would be reimbursed for the consultation of my Doctor (request for cardif of a certificate from the attending physician in detail). My doctor refused to bil this consultation at the CPAM ... no advice could answer me.
We finalize, my cardif borrower insurance for having asked him to cost me the price of a medical consultation and I am not even sure to be able to count on my contract because no response ... Hallucinating processing deadlines ... I am worried about the future with this insurance which does not provide any secure element ...
</v>
      </c>
    </row>
    <row r="119" ht="15.75" customHeight="1">
      <c r="A119" s="2">
        <v>1.0</v>
      </c>
      <c r="B119" s="2" t="s">
        <v>426</v>
      </c>
      <c r="C119" s="2" t="s">
        <v>427</v>
      </c>
      <c r="D119" s="2" t="s">
        <v>274</v>
      </c>
      <c r="E119" s="2" t="s">
        <v>14</v>
      </c>
      <c r="F119" s="2" t="s">
        <v>15</v>
      </c>
      <c r="G119" s="2" t="s">
        <v>428</v>
      </c>
      <c r="H119" s="2" t="s">
        <v>429</v>
      </c>
      <c r="I119" s="2" t="str">
        <f>IFERROR(__xludf.DUMMYFUNCTION("GOOGLETRANSLATE(C119,""fr"",""en"")"),"Retired police officer, I have been a member since 1982. I have subscribed to the tradition and I have only very rarely needed my mutual. What was my surprise not to be reimbursed for a simple reimbursement of 15 euros of exceeding for a cardio. At 180 eu"&amp;"ros monthly; I decided to leave")</f>
        <v>Retired police officer, I have been a member since 1982. I have subscribed to the tradition and I have only very rarely needed my mutual. What was my surprise not to be reimbursed for a simple reimbursement of 15 euros of exceeding for a cardio. At 180 euros monthly; I decided to leave</v>
      </c>
    </row>
    <row r="120" ht="15.75" customHeight="1">
      <c r="A120" s="2">
        <v>4.0</v>
      </c>
      <c r="B120" s="2" t="s">
        <v>430</v>
      </c>
      <c r="C120" s="2" t="s">
        <v>431</v>
      </c>
      <c r="D120" s="2" t="s">
        <v>42</v>
      </c>
      <c r="E120" s="2" t="s">
        <v>21</v>
      </c>
      <c r="F120" s="2" t="s">
        <v>15</v>
      </c>
      <c r="G120" s="2" t="s">
        <v>376</v>
      </c>
      <c r="H120" s="2" t="s">
        <v>34</v>
      </c>
      <c r="I120" s="2" t="str">
        <f>IFERROR(__xludf.DUMMYFUNCTION("GOOGLETRANSLATE(C120,""fr"",""en"")"),"I am satisfied with was very fast and simple with little waiting on the phone. The advisers were very clear and quickly responded to my requests")</f>
        <v>I am satisfied with was very fast and simple with little waiting on the phone. The advisers were very clear and quickly responded to my requests</v>
      </c>
    </row>
    <row r="121" ht="15.75" customHeight="1">
      <c r="A121" s="2">
        <v>3.0</v>
      </c>
      <c r="B121" s="2" t="s">
        <v>432</v>
      </c>
      <c r="C121" s="2" t="s">
        <v>433</v>
      </c>
      <c r="D121" s="2" t="s">
        <v>42</v>
      </c>
      <c r="E121" s="2" t="s">
        <v>21</v>
      </c>
      <c r="F121" s="2" t="s">
        <v>15</v>
      </c>
      <c r="G121" s="2" t="s">
        <v>434</v>
      </c>
      <c r="H121" s="2" t="s">
        <v>59</v>
      </c>
      <c r="I121" s="2" t="str">
        <f>IFERROR(__xludf.DUMMYFUNCTION("GOOGLETRANSLATE(C121,""fr"",""en"")"),"Loading...")</f>
        <v>Loading...</v>
      </c>
    </row>
    <row r="122" ht="15.75" customHeight="1">
      <c r="A122" s="2">
        <v>5.0</v>
      </c>
      <c r="B122" s="2" t="s">
        <v>435</v>
      </c>
      <c r="C122" s="2" t="s">
        <v>436</v>
      </c>
      <c r="D122" s="2" t="s">
        <v>62</v>
      </c>
      <c r="E122" s="2" t="s">
        <v>21</v>
      </c>
      <c r="F122" s="2" t="s">
        <v>15</v>
      </c>
      <c r="G122" s="2" t="s">
        <v>437</v>
      </c>
      <c r="H122" s="2" t="s">
        <v>72</v>
      </c>
      <c r="I122" s="2" t="str">
        <f>IFERROR(__xludf.DUMMYFUNCTION("GOOGLETRANSLATE(C122,""fr"",""en"")"),"I am satisfied with the services of Direct Insurances, correct, simple and quick price, very kind contacts, I recommend around me")</f>
        <v>I am satisfied with the services of Direct Insurances, correct, simple and quick price, very kind contacts, I recommend around me</v>
      </c>
    </row>
    <row r="123" ht="15.75" customHeight="1">
      <c r="A123" s="2">
        <v>4.0</v>
      </c>
      <c r="B123" s="2" t="s">
        <v>438</v>
      </c>
      <c r="C123" s="2" t="s">
        <v>439</v>
      </c>
      <c r="D123" s="2" t="s">
        <v>42</v>
      </c>
      <c r="E123" s="2" t="s">
        <v>21</v>
      </c>
      <c r="F123" s="2" t="s">
        <v>15</v>
      </c>
      <c r="G123" s="2" t="s">
        <v>147</v>
      </c>
      <c r="H123" s="2" t="s">
        <v>59</v>
      </c>
      <c r="I123" s="2" t="str">
        <f>IFERROR(__xludf.DUMMYFUNCTION("GOOGLETRANSLATE(C123,""fr"",""en"")"),"Suitable, simple, fast and efficient price!
Very good contact with my interlocutor who was able to take my requests into account for young driver insurance.")</f>
        <v>Suitable, simple, fast and efficient price!
Very good contact with my interlocutor who was able to take my requests into account for young driver insurance.</v>
      </c>
    </row>
    <row r="124" ht="15.75" customHeight="1">
      <c r="A124" s="2">
        <v>4.0</v>
      </c>
      <c r="B124" s="2" t="s">
        <v>440</v>
      </c>
      <c r="C124" s="2" t="s">
        <v>441</v>
      </c>
      <c r="D124" s="2" t="s">
        <v>20</v>
      </c>
      <c r="E124" s="2" t="s">
        <v>21</v>
      </c>
      <c r="F124" s="2" t="s">
        <v>15</v>
      </c>
      <c r="G124" s="2" t="s">
        <v>442</v>
      </c>
      <c r="H124" s="2" t="s">
        <v>54</v>
      </c>
      <c r="I124" s="2" t="str">
        <f>IFERROR(__xludf.DUMMYFUNCTION("GOOGLETRANSLATE(C124,""fr"",""en"")"),"I am satisfied with the service, I get the answers to my requests quickly whether positive or negative. It's simple enough to transmit documents")</f>
        <v>I am satisfied with the service, I get the answers to my requests quickly whether positive or negative. It's simple enough to transmit documents</v>
      </c>
    </row>
    <row r="125" ht="15.75" customHeight="1">
      <c r="A125" s="2">
        <v>5.0</v>
      </c>
      <c r="B125" s="2" t="s">
        <v>443</v>
      </c>
      <c r="C125" s="2" t="s">
        <v>444</v>
      </c>
      <c r="D125" s="2" t="s">
        <v>137</v>
      </c>
      <c r="E125" s="2" t="s">
        <v>21</v>
      </c>
      <c r="F125" s="2" t="s">
        <v>15</v>
      </c>
      <c r="G125" s="2" t="s">
        <v>445</v>
      </c>
      <c r="H125" s="2" t="s">
        <v>92</v>
      </c>
      <c r="I125" s="2" t="str">
        <f>IFERROR(__xludf.DUMMYFUNCTION("GOOGLETRANSLATE(C125,""fr"",""en"")"),"Very good insurance very happy in advance stop all my insurance to go to them")</f>
        <v>Very good insurance very happy in advance stop all my insurance to go to them</v>
      </c>
    </row>
    <row r="126" ht="15.75" customHeight="1">
      <c r="A126" s="2">
        <v>5.0</v>
      </c>
      <c r="B126" s="2" t="s">
        <v>446</v>
      </c>
      <c r="C126" s="2" t="s">
        <v>447</v>
      </c>
      <c r="D126" s="2" t="s">
        <v>62</v>
      </c>
      <c r="E126" s="2" t="s">
        <v>21</v>
      </c>
      <c r="F126" s="2" t="s">
        <v>15</v>
      </c>
      <c r="G126" s="2" t="s">
        <v>448</v>
      </c>
      <c r="H126" s="2" t="s">
        <v>59</v>
      </c>
      <c r="I126" s="2" t="str">
        <f>IFERROR(__xludf.DUMMYFUNCTION("GOOGLETRANSLATE(C126,""fr"",""en"")"),"Perfect if everything is going well for the future.
Until the validation of the quote and online registration everything went well. I'm waiting to see if the rest goes too.")</f>
        <v>Perfect if everything is going well for the future.
Until the validation of the quote and online registration everything went well. I'm waiting to see if the rest goes too.</v>
      </c>
    </row>
    <row r="127" ht="15.75" customHeight="1">
      <c r="A127" s="2">
        <v>5.0</v>
      </c>
      <c r="B127" s="2" t="s">
        <v>449</v>
      </c>
      <c r="C127" s="2" t="s">
        <v>450</v>
      </c>
      <c r="D127" s="2" t="s">
        <v>37</v>
      </c>
      <c r="E127" s="2" t="s">
        <v>14</v>
      </c>
      <c r="F127" s="2" t="s">
        <v>15</v>
      </c>
      <c r="G127" s="2" t="s">
        <v>49</v>
      </c>
      <c r="H127" s="2" t="s">
        <v>39</v>
      </c>
      <c r="I127" s="2" t="str">
        <f>IFERROR(__xludf.DUMMYFUNCTION("GOOGLETRANSLATE(C127,""fr"",""en"")"),"Loading...")</f>
        <v>Loading...</v>
      </c>
    </row>
    <row r="128" ht="15.75" customHeight="1">
      <c r="A128" s="2">
        <v>2.0</v>
      </c>
      <c r="B128" s="2" t="s">
        <v>451</v>
      </c>
      <c r="C128" s="2" t="s">
        <v>452</v>
      </c>
      <c r="D128" s="2" t="s">
        <v>250</v>
      </c>
      <c r="E128" s="2" t="s">
        <v>21</v>
      </c>
      <c r="F128" s="2" t="s">
        <v>15</v>
      </c>
      <c r="G128" s="2" t="s">
        <v>453</v>
      </c>
      <c r="H128" s="2" t="s">
        <v>370</v>
      </c>
      <c r="I128" s="2" t="str">
        <f>IFERROR(__xludf.DUMMYFUNCTION("GOOGLETRANSLATE(C128,""fr"",""en"")"),"Insured all risks and customers for almost 30 years despite an identified third party, a witness and a complaint and confirmation by the MACIF of my total non -responsibility, the MACIF has differentiates the reimbursement of the franchise since January 1"&amp;"1, 2017 on the pretext that it was not able to obtain reimbursement of opposing insurance.")</f>
        <v>Insured all risks and customers for almost 30 years despite an identified third party, a witness and a complaint and confirmation by the MACIF of my total non -responsibility, the MACIF has differentiates the reimbursement of the franchise since January 11, 2017 on the pretext that it was not able to obtain reimbursement of opposing insurance.</v>
      </c>
    </row>
    <row r="129" ht="15.75" customHeight="1">
      <c r="A129" s="2">
        <v>1.0</v>
      </c>
      <c r="B129" s="2" t="s">
        <v>454</v>
      </c>
      <c r="C129" s="2" t="s">
        <v>455</v>
      </c>
      <c r="D129" s="2" t="s">
        <v>456</v>
      </c>
      <c r="E129" s="2" t="s">
        <v>457</v>
      </c>
      <c r="F129" s="2" t="s">
        <v>15</v>
      </c>
      <c r="G129" s="2" t="s">
        <v>458</v>
      </c>
      <c r="H129" s="2" t="s">
        <v>201</v>
      </c>
      <c r="I129" s="2" t="str">
        <f>IFERROR(__xludf.DUMMYFUNCTION("GOOGLETRANSLATE(C129,""fr"",""en"")"),"A real hassle, I provide them with an invoice and they do not understand anything refuse to repay a credit which concerns care")</f>
        <v>A real hassle, I provide them with an invoice and they do not understand anything refuse to repay a credit which concerns care</v>
      </c>
    </row>
    <row r="130" ht="15.75" customHeight="1">
      <c r="A130" s="2">
        <v>5.0</v>
      </c>
      <c r="B130" s="2" t="s">
        <v>459</v>
      </c>
      <c r="C130" s="2" t="s">
        <v>460</v>
      </c>
      <c r="D130" s="2" t="s">
        <v>461</v>
      </c>
      <c r="E130" s="2" t="s">
        <v>32</v>
      </c>
      <c r="F130" s="2" t="s">
        <v>15</v>
      </c>
      <c r="G130" s="2" t="s">
        <v>462</v>
      </c>
      <c r="H130" s="2" t="s">
        <v>161</v>
      </c>
      <c r="I130" s="2" t="str">
        <f>IFERROR(__xludf.DUMMYFUNCTION("GOOGLETRANSLATE(C130,""fr"",""en"")"),"I was very satisfied with the exchange I had with Peyrac Assurances. I have subscribed to this insurance for my scooter because it was the least and the best rated on forums and opinion sites, and I understand why.
Everything was clear, sending the ultra"&amp;" fast green card, and membership in 3 minutes.
My advisor was very pro and charming.
I recommend !")</f>
        <v>I was very satisfied with the exchange I had with Peyrac Assurances. I have subscribed to this insurance for my scooter because it was the least and the best rated on forums and opinion sites, and I understand why.
Everything was clear, sending the ultra fast green card, and membership in 3 minutes.
My advisor was very pro and charming.
I recommend !</v>
      </c>
    </row>
    <row r="131" ht="15.75" customHeight="1">
      <c r="A131" s="2">
        <v>4.0</v>
      </c>
      <c r="B131" s="2" t="s">
        <v>463</v>
      </c>
      <c r="C131" s="2" t="s">
        <v>464</v>
      </c>
      <c r="D131" s="2" t="s">
        <v>62</v>
      </c>
      <c r="E131" s="2" t="s">
        <v>21</v>
      </c>
      <c r="F131" s="2" t="s">
        <v>15</v>
      </c>
      <c r="G131" s="2" t="s">
        <v>147</v>
      </c>
      <c r="H131" s="2" t="s">
        <v>59</v>
      </c>
      <c r="I131" s="2" t="str">
        <f>IFERROR(__xludf.DUMMYFUNCTION("GOOGLETRANSLATE(C131,""fr"",""en"")"),"Loading...")</f>
        <v>Loading...</v>
      </c>
    </row>
    <row r="132" ht="15.75" customHeight="1">
      <c r="A132" s="2">
        <v>1.0</v>
      </c>
      <c r="B132" s="2" t="s">
        <v>465</v>
      </c>
      <c r="C132" s="2" t="s">
        <v>466</v>
      </c>
      <c r="D132" s="2" t="s">
        <v>20</v>
      </c>
      <c r="E132" s="2" t="s">
        <v>129</v>
      </c>
      <c r="F132" s="2" t="s">
        <v>15</v>
      </c>
      <c r="G132" s="2" t="s">
        <v>467</v>
      </c>
      <c r="H132" s="2" t="s">
        <v>154</v>
      </c>
      <c r="I132" s="2" t="str">
        <f>IFERROR(__xludf.DUMMYFUNCTION("GOOGLETRANSLATE(C132,""fr"",""en"")"),"After 42 years, I have just terminated the last contract of the five I had at the GMF.
The reason: if you let the contract renewals spin, we take you for the milk cow. So much so, that a request for GMF quote for a car whose contract I had terminated a y"&amp;"ear earlier, was 40% cheaper for this same vehicle in equal guarantee excluding promotion. Huge !!!")</f>
        <v>After 42 years, I have just terminated the last contract of the five I had at the GMF.
The reason: if you let the contract renewals spin, we take you for the milk cow. So much so, that a request for GMF quote for a car whose contract I had terminated a year earlier, was 40% cheaper for this same vehicle in equal guarantee excluding promotion. Huge !!!</v>
      </c>
    </row>
    <row r="133" ht="15.75" customHeight="1">
      <c r="A133" s="2">
        <v>1.0</v>
      </c>
      <c r="B133" s="2" t="s">
        <v>468</v>
      </c>
      <c r="C133" s="2" t="s">
        <v>469</v>
      </c>
      <c r="D133" s="2" t="s">
        <v>99</v>
      </c>
      <c r="E133" s="2" t="s">
        <v>129</v>
      </c>
      <c r="F133" s="2" t="s">
        <v>15</v>
      </c>
      <c r="G133" s="2" t="s">
        <v>470</v>
      </c>
      <c r="H133" s="2" t="s">
        <v>413</v>
      </c>
      <c r="I133" s="2" t="str">
        <f>IFERROR(__xludf.DUMMYFUNCTION("GOOGLETRANSLATE(C133,""fr"",""en"")"),"Loading...")</f>
        <v>Loading...</v>
      </c>
    </row>
    <row r="134" ht="15.75" customHeight="1">
      <c r="A134" s="2">
        <v>5.0</v>
      </c>
      <c r="B134" s="2" t="s">
        <v>471</v>
      </c>
      <c r="C134" s="2" t="s">
        <v>472</v>
      </c>
      <c r="D134" s="2" t="s">
        <v>274</v>
      </c>
      <c r="E134" s="2" t="s">
        <v>104</v>
      </c>
      <c r="F134" s="2" t="s">
        <v>15</v>
      </c>
      <c r="G134" s="2" t="s">
        <v>64</v>
      </c>
      <c r="H134" s="2" t="s">
        <v>64</v>
      </c>
      <c r="I134" s="2" t="str">
        <f>IFERROR(__xludf.DUMMYFUNCTION("GOOGLETRANSLATE(C134,""fr"",""en"")"),"Satisfied on speed and information.
You can be informed as well by email, website or telephone with fast answers. Different interesting contracts.")</f>
        <v>Satisfied on speed and information.
You can be informed as well by email, website or telephone with fast answers. Different interesting contracts.</v>
      </c>
    </row>
    <row r="135" ht="15.75" customHeight="1">
      <c r="A135" s="2">
        <v>1.0</v>
      </c>
      <c r="B135" s="2" t="s">
        <v>473</v>
      </c>
      <c r="C135" s="2" t="s">
        <v>474</v>
      </c>
      <c r="D135" s="2" t="s">
        <v>62</v>
      </c>
      <c r="E135" s="2" t="s">
        <v>21</v>
      </c>
      <c r="F135" s="2" t="s">
        <v>15</v>
      </c>
      <c r="G135" s="2" t="s">
        <v>475</v>
      </c>
      <c r="H135" s="2" t="s">
        <v>17</v>
      </c>
      <c r="I135" s="2" t="str">
        <f>IFERROR(__xludf.DUMMYFUNCTION("GOOGLETRANSLATE(C135,""fr"",""en"")"),"Flee very quickly. I had an accident on April 24. I was stopped at the fire when the truck on my left decided to fall back on my car ... Until then I keep my calm. We therefore make the observation. The driver is in very bad faith of course and very disre"&amp;"spectful, since he is wrong except that my car is in a state ...... I immediately call the insurer to avoid forgetting on the observation . I come across some reactive appearance .. it is quite different in the end. So I list the front of my vehicle then "&amp;"by wanting to go to my trunk I see that the back of the vehicle and also scratched. . He tells me to take him into account and asks me to send him the observation. We set the partner garage together with which we will perform the repairs. I hang up and ru"&amp;"n for the sending of the observation. From the next day I put the car to the garage which tells me that it has received the list of damage but that the back of my vehicle is not there ... 1st problem. I ask him when MM take the photos from the back becaus"&amp;"e the scratches and the traces of paintings results well from the shock of this damn truck. So the expertise is done on super photos new technologies. I contact the insurer in the process which guarantees me that Larriere has been stipulated but that it i"&amp;"s necessary to go to the course of the menu that the mechanic did not do the necessary.
OK .. I keep my calm, however and remains conciliatory. In Lapres Midi the expert report falls the shock before is taken into account with frankness and the rear fo"&amp;"r the expert is the result of another accident but of course ...
I recontact direct insurance he confirms to me that I have no deductible that the expert has not read their report. (Of course so simple to reject the fault). And that the rear shock had "&amp;"been mentioned ns are therefore on April 26.
Impossible to contact the expert I really start to doubt the work of the insurer.
He guaranteed me that it has done the necessary and therefore offers me a conference call. I'm not going to refuse.
As if by "&amp;"chance no answers.
I had to call the expert a 20tais of times before falling on a secretary that could not be more unpleasant who dares to tell me to make a new observation and that the expert's decision will not change that basically I was a liar ok. "&amp;"I lose patience and ask for the expert who is always unavailable. The insurer with him radio. The next day the insurer maps to tell me to engage a counter expertise at my expense and to manage to find a new expert. When they made their role as interlocuto"&amp;"rs. I do not pay 1000 euros in the contribution in the year for a interlocutor as I know? In short I understand that I will have to fend for myself. The expert finally contacts this Friday 27 Friday and indicates that I have not received the observation ."&amp;".. No but I dream. Already an expertise in photos but without observation it is magnificent.
Therefore 1 the insurer his declaration counts the plums.
From 2 is sure that on photos it is reality.
Of 3 without observation it is always more speakin"&amp;"g.
And tell me that I have had an accident in the past and that Jessaye to slip a door and a rear wing I start to seriously lead. I explain to him to be assured at all risks. My vehicle spends most of its time in parking. He says to me transmit the obs"&amp;"ervation ok.
That he will see this and contact me.
So I still do the work of Direct Assurance. It's normal.
No return of the expert since he is bridge. Nice.
Call to the insurer on Monday the manager of my file A who I have already sent 3 email si"&amp;"nce Thursday is too busy to answer me. I still have a franchise. No return I require an email to the interlocutor and says to me relaunch the expert. We are April 30.
May 1st being a holiday nothing happens
Yesterday therefore May 2 I contact my manag"&amp;"er for the 50th time who has still not responded to my emails last Thursday. I am indicated that it is not available but that I have to return my observation. So 1 week later I am made to understand that he not received this famous observation a scandal. "&amp;"I stay calm. I refer the observation for the 3rd time.
In the evening the manager finally pointed out his nose to tell me that he had the expert I let him speak.
He tells me that the expert maintains his position OK. That he sent him an email dated Ap"&amp;"ril 26 except that since April 26 I have stipulated him that from water to flow and that I had the expert of his bad faith appears I ask him therefore that we were making contact Together, as Précédement proposes. And it is a categorical no. It is not his"&amp;" work he does not have to do that he remains at his work as an insurer (or not) and that g case mm mm contact him ... an endless ping pong game. Listening. A vehicle that does not drive. An incompetent and inconsistent manager in his words. Mythomaniac li"&amp;"mit. I lose patience I will therefore make a complaint against the expert who makes the rain and the good weather on photos and contact my lawyer for the lack of consideration, seriousness, follow -up and professionalism of this direct insurance manager. "&amp;"I am a victim. I pay for a service that is useless and hires incompetent people.")</f>
        <v>Flee very quickly. I had an accident on April 24. I was stopped at the fire when the truck on my left decided to fall back on my car ... Until then I keep my calm. We therefore make the observation. The driver is in very bad faith of course and very disrespectful, since he is wrong except that my car is in a state ...... I immediately call the insurer to avoid forgetting on the observation . I come across some reactive appearance .. it is quite different in the end. So I list the front of my vehicle then by wanting to go to my trunk I see that the back of the vehicle and also scratched. . He tells me to take him into account and asks me to send him the observation. We set the partner garage together with which we will perform the repairs. I hang up and run for the sending of the observation. From the next day I put the car to the garage which tells me that it has received the list of damage but that the back of my vehicle is not there ... 1st problem. I ask him when MM take the photos from the back because the scratches and the traces of paintings results well from the shock of this damn truck. So the expertise is done on super photos new technologies. I contact the insurer in the process which guarantees me that Larriere has been stipulated but that it is necessary to go to the course of the menu that the mechanic did not do the necessary.
OK .. I keep my calm, however and remains conciliatory. In Lapres Midi the expert report falls the shock before is taken into account with frankness and the rear for the expert is the result of another accident but of course ...
I recontact direct insurance he confirms to me that I have no deductible that the expert has not read their report. (Of course so simple to reject the fault). And that the rear shock had been mentioned ns are therefore on April 26.
Impossible to contact the expert I really start to doubt the work of the insurer.
He guaranteed me that it has done the necessary and therefore offers me a conference call. I'm not going to refuse.
As if by chance no answers.
I had to call the expert a 20tais of times before falling on a secretary that could not be more unpleasant who dares to tell me to make a new observation and that the expert's decision will not change that basically I was a liar ok. I lose patience and ask for the expert who is always unavailable. The insurer with him radio. The next day the insurer maps to tell me to engage a counter expertise at my expense and to manage to find a new expert. When they made their role as interlocutors. I do not pay 1000 euros in the contribution in the year for a interlocutor as I know? In short I understand that I will have to fend for myself. The expert finally contacts this Friday 27 Friday and indicates that I have not received the observation ... No but I dream. Already an expertise in photos but without observation it is magnificent.
Therefore 1 the insurer his declaration counts the plums.
From 2 is sure that on photos it is reality.
Of 3 without observation it is always more speaking.
And tell me that I have had an accident in the past and that Jessaye to slip a door and a rear wing I start to seriously lead. I explain to him to be assured at all risks. My vehicle spends most of its time in parking. He says to me transmit the observation ok.
That he will see this and contact me.
So I still do the work of Direct Assurance. It's normal.
No return of the expert since he is bridge. Nice.
Call to the insurer on Monday the manager of my file A who I have already sent 3 email since Thursday is too busy to answer me. I still have a franchise. No return I require an email to the interlocutor and says to me relaunch the expert. We are April 30.
May 1st being a holiday nothing happens
Yesterday therefore May 2 I contact my manager for the 50th time who has still not responded to my emails last Thursday. I am indicated that it is not available but that I have to return my observation. So 1 week later I am made to understand that he not received this famous observation a scandal. I stay calm. I refer the observation for the 3rd time.
In the evening the manager finally pointed out his nose to tell me that he had the expert I let him speak.
He tells me that the expert maintains his position OK. That he sent him an email dated April 26 except that since April 26 I have stipulated him that from water to flow and that I had the expert of his bad faith appears I ask him therefore that we were making contact Together, as Précédement proposes. And it is a categorical no. It is not his work he does not have to do that he remains at his work as an insurer (or not) and that g case mm mm contact him ... an endless ping pong game. Listening. A vehicle that does not drive. An incompetent and inconsistent manager in his words. Mythomaniac limit. I lose patience I will therefore make a complaint against the expert who makes the rain and the good weather on photos and contact my lawyer for the lack of consideration, seriousness, follow -up and professionalism of this direct insurance manager. I am a victim. I pay for a service that is useless and hires incompetent people.</v>
      </c>
    </row>
    <row r="136" ht="15.75" customHeight="1">
      <c r="A136" s="2">
        <v>2.0</v>
      </c>
      <c r="B136" s="2" t="s">
        <v>476</v>
      </c>
      <c r="C136" s="2" t="s">
        <v>477</v>
      </c>
      <c r="D136" s="2" t="s">
        <v>62</v>
      </c>
      <c r="E136" s="2" t="s">
        <v>21</v>
      </c>
      <c r="F136" s="2" t="s">
        <v>15</v>
      </c>
      <c r="G136" s="2" t="s">
        <v>478</v>
      </c>
      <c r="H136" s="2" t="s">
        <v>479</v>
      </c>
      <c r="I136" s="2" t="str">
        <f>IFERROR(__xludf.DUMMYFUNCTION("GOOGLETRANSLATE(C136,""fr"",""en"")"),"The prices are interesting when you are a new customer for example for my car quote on the internet 960 euros for the year and I who has been at Direct Insurance for 3 years 1539 euros")</f>
        <v>The prices are interesting when you are a new customer for example for my car quote on the internet 960 euros for the year and I who has been at Direct Insurance for 3 years 1539 euros</v>
      </c>
    </row>
    <row r="137" ht="15.75" customHeight="1">
      <c r="A137" s="2">
        <v>1.0</v>
      </c>
      <c r="B137" s="2" t="s">
        <v>480</v>
      </c>
      <c r="C137" s="2" t="s">
        <v>481</v>
      </c>
      <c r="D137" s="2" t="s">
        <v>482</v>
      </c>
      <c r="E137" s="2" t="s">
        <v>76</v>
      </c>
      <c r="F137" s="2" t="s">
        <v>15</v>
      </c>
      <c r="G137" s="2" t="s">
        <v>483</v>
      </c>
      <c r="H137" s="2" t="s">
        <v>54</v>
      </c>
      <c r="I137" s="2" t="str">
        <f>IFERROR(__xludf.DUMMYFUNCTION("GOOGLETRANSLATE(C137,""fr"",""en"")"),"Loading...")</f>
        <v>Loading...</v>
      </c>
    </row>
    <row r="138" ht="15.75" customHeight="1">
      <c r="A138" s="2">
        <v>2.0</v>
      </c>
      <c r="B138" s="2" t="s">
        <v>484</v>
      </c>
      <c r="C138" s="2" t="s">
        <v>485</v>
      </c>
      <c r="D138" s="2" t="s">
        <v>62</v>
      </c>
      <c r="E138" s="2" t="s">
        <v>21</v>
      </c>
      <c r="F138" s="2" t="s">
        <v>15</v>
      </c>
      <c r="G138" s="2" t="s">
        <v>486</v>
      </c>
      <c r="H138" s="2" t="s">
        <v>59</v>
      </c>
      <c r="I138" s="2" t="str">
        <f>IFERROR(__xludf.DUMMYFUNCTION("GOOGLETRANSLATE(C138,""fr"",""en"")"),"I am a former customer and all I see is that the price of my insurance is constantly increasing. (2 dwellings and 1 vehicle).
I don't feel like loyalty is rewarded")</f>
        <v>I am a former customer and all I see is that the price of my insurance is constantly increasing. (2 dwellings and 1 vehicle).
I don't feel like loyalty is rewarded</v>
      </c>
    </row>
    <row r="139" ht="15.75" customHeight="1">
      <c r="A139" s="2">
        <v>2.0</v>
      </c>
      <c r="B139" s="2" t="s">
        <v>487</v>
      </c>
      <c r="C139" s="2" t="s">
        <v>488</v>
      </c>
      <c r="D139" s="2" t="s">
        <v>274</v>
      </c>
      <c r="E139" s="2" t="s">
        <v>14</v>
      </c>
      <c r="F139" s="2" t="s">
        <v>15</v>
      </c>
      <c r="G139" s="2" t="s">
        <v>489</v>
      </c>
      <c r="H139" s="2" t="s">
        <v>106</v>
      </c>
      <c r="I139" s="2" t="str">
        <f>IFERROR(__xludf.DUMMYFUNCTION("GOOGLETRANSLATE(C139,""fr"",""en"")"),"I canceled my membership on February 14, 2019
I receive a confirmation letter on February 27, 2019
I am taken by two months February and March on March 06, 2019
I contacted customer service on March 06, 2019 which confirms the reimbursement by March 20"&amp;", 2019
Contact made today nothing is done
They transmit to the litigation service
The sample is illegal because not due")</f>
        <v>I canceled my membership on February 14, 2019
I receive a confirmation letter on February 27, 2019
I am taken by two months February and March on March 06, 2019
I contacted customer service on March 06, 2019 which confirms the reimbursement by March 20, 2019
Contact made today nothing is done
They transmit to the litigation service
The sample is illegal because not due</v>
      </c>
    </row>
    <row r="140" ht="15.75" customHeight="1">
      <c r="A140" s="2">
        <v>5.0</v>
      </c>
      <c r="B140" s="2" t="s">
        <v>490</v>
      </c>
      <c r="C140" s="2" t="s">
        <v>491</v>
      </c>
      <c r="D140" s="2" t="s">
        <v>42</v>
      </c>
      <c r="E140" s="2" t="s">
        <v>21</v>
      </c>
      <c r="F140" s="2" t="s">
        <v>15</v>
      </c>
      <c r="G140" s="2" t="s">
        <v>492</v>
      </c>
      <c r="H140" s="2" t="s">
        <v>123</v>
      </c>
      <c r="I140" s="2" t="str">
        <f>IFERROR(__xludf.DUMMYFUNCTION("GOOGLETRANSLATE(C140,""fr"",""en"")"),"The prices are competitive and modular,
Telephone reception and follow -up is very professional, fast and efficient.
Exclusive customer offers are attractive and well thought out")</f>
        <v>The prices are competitive and modular,
Telephone reception and follow -up is very professional, fast and efficient.
Exclusive customer offers are attractive and well thought out</v>
      </c>
    </row>
    <row r="141" ht="15.75" customHeight="1">
      <c r="A141" s="2">
        <v>2.0</v>
      </c>
      <c r="B141" s="2" t="s">
        <v>493</v>
      </c>
      <c r="C141" s="2" t="s">
        <v>494</v>
      </c>
      <c r="D141" s="2" t="s">
        <v>137</v>
      </c>
      <c r="E141" s="2" t="s">
        <v>129</v>
      </c>
      <c r="F141" s="2" t="s">
        <v>15</v>
      </c>
      <c r="G141" s="2" t="s">
        <v>495</v>
      </c>
      <c r="H141" s="2" t="s">
        <v>266</v>
      </c>
      <c r="I141" s="2" t="str">
        <f>IFERROR(__xludf.DUMMYFUNCTION("GOOGLETRANSLATE(C141,""fr"",""en"")"),"I have 4 contracts at home and I contribute 2200 €/year. I had 2 water damage in 2 years at my home. Everything went well until we receive a letter that informs us that they put an end to our home contract! It is unacceptable to undergo a double penalty t"&amp;"o their customers!
Is it not the operation of insurance: contribute to take care of damage linked to a disaster ?? (not responsible in +...). I inquired and it is a specialty of ""maaf insurance"" despite that they are committed not to do it ...
Anoth"&amp;"er subject, I have been waiting for my body allowance for a year and my reimbursement on my loss of salary following my motorcycle accident caused by a third party!")</f>
        <v>I have 4 contracts at home and I contribute 2200 €/year. I had 2 water damage in 2 years at my home. Everything went well until we receive a letter that informs us that they put an end to our home contract! It is unacceptable to undergo a double penalty to their customers!
Is it not the operation of insurance: contribute to take care of damage linked to a disaster ?? (not responsible in +...). I inquired and it is a specialty of "maaf insurance" despite that they are committed not to do it ...
Another subject, I have been waiting for my body allowance for a year and my reimbursement on my loss of salary following my motorcycle accident caused by a third party!</v>
      </c>
    </row>
    <row r="142" ht="15.75" customHeight="1">
      <c r="A142" s="2">
        <v>4.0</v>
      </c>
      <c r="B142" s="2" t="s">
        <v>496</v>
      </c>
      <c r="C142" s="2" t="s">
        <v>497</v>
      </c>
      <c r="D142" s="2" t="s">
        <v>31</v>
      </c>
      <c r="E142" s="2" t="s">
        <v>32</v>
      </c>
      <c r="F142" s="2" t="s">
        <v>15</v>
      </c>
      <c r="G142" s="2" t="s">
        <v>498</v>
      </c>
      <c r="H142" s="2" t="s">
        <v>72</v>
      </c>
      <c r="I142" s="2" t="str">
        <f>IFERROR(__xludf.DUMMYFUNCTION("GOOGLETRANSLATE(C142,""fr"",""en"")"),"Telephone reception a bit long but satisfied with the answers to my questions.
Relatively simple and quick to be insured.
Nothing to add ..........")</f>
        <v>Telephone reception a bit long but satisfied with the answers to my questions.
Relatively simple and quick to be insured.
Nothing to add ..........</v>
      </c>
    </row>
    <row r="143" ht="15.75" customHeight="1">
      <c r="A143" s="2">
        <v>3.0</v>
      </c>
      <c r="B143" s="2" t="s">
        <v>499</v>
      </c>
      <c r="C143" s="2" t="s">
        <v>500</v>
      </c>
      <c r="D143" s="2" t="s">
        <v>137</v>
      </c>
      <c r="E143" s="2" t="s">
        <v>32</v>
      </c>
      <c r="F143" s="2" t="s">
        <v>15</v>
      </c>
      <c r="G143" s="2" t="s">
        <v>501</v>
      </c>
      <c r="H143" s="2" t="s">
        <v>304</v>
      </c>
      <c r="I143" s="2" t="str">
        <f>IFERROR(__xludf.DUMMYFUNCTION("GOOGLETRANSLATE(C143,""fr"",""en"")"),"All this went well but I changed agency and the whole was Volo never went to the Bourges agency. At least as long as there is the new agency chief")</f>
        <v>All this went well but I changed agency and the whole was Volo never went to the Bourges agency. At least as long as there is the new agency chief</v>
      </c>
    </row>
    <row r="144" ht="15.75" customHeight="1">
      <c r="A144" s="2">
        <v>5.0</v>
      </c>
      <c r="B144" s="2" t="s">
        <v>502</v>
      </c>
      <c r="C144" s="2" t="s">
        <v>503</v>
      </c>
      <c r="D144" s="2" t="s">
        <v>62</v>
      </c>
      <c r="E144" s="2" t="s">
        <v>21</v>
      </c>
      <c r="F144" s="2" t="s">
        <v>15</v>
      </c>
      <c r="G144" s="2" t="s">
        <v>86</v>
      </c>
      <c r="H144" s="2" t="s">
        <v>64</v>
      </c>
      <c r="I144" s="2" t="str">
        <f>IFERROR(__xludf.DUMMYFUNCTION("GOOGLETRANSLATE(C144,""fr"",""en"")"),"No notice yet because I have just subscribed to an automotive insurance offer.
I would be able to judge your business seriously at the first claim.")</f>
        <v>No notice yet because I have just subscribed to an automotive insurance offer.
I would be able to judge your business seriously at the first claim.</v>
      </c>
    </row>
    <row r="145" ht="15.75" customHeight="1">
      <c r="A145" s="2">
        <v>5.0</v>
      </c>
      <c r="B145" s="2" t="s">
        <v>504</v>
      </c>
      <c r="C145" s="2" t="s">
        <v>505</v>
      </c>
      <c r="D145" s="2" t="s">
        <v>42</v>
      </c>
      <c r="E145" s="2" t="s">
        <v>21</v>
      </c>
      <c r="F145" s="2" t="s">
        <v>15</v>
      </c>
      <c r="G145" s="2" t="s">
        <v>483</v>
      </c>
      <c r="H145" s="2" t="s">
        <v>54</v>
      </c>
      <c r="I145" s="2" t="str">
        <f>IFERROR(__xludf.DUMMYFUNCTION("GOOGLETRANSLATE(C145,""fr"",""en"")"),"Loading...")</f>
        <v>Loading...</v>
      </c>
    </row>
    <row r="146" ht="15.75" customHeight="1">
      <c r="A146" s="2">
        <v>2.0</v>
      </c>
      <c r="B146" s="2" t="s">
        <v>506</v>
      </c>
      <c r="C146" s="2" t="s">
        <v>507</v>
      </c>
      <c r="D146" s="2" t="s">
        <v>183</v>
      </c>
      <c r="E146" s="2" t="s">
        <v>14</v>
      </c>
      <c r="F146" s="2" t="s">
        <v>15</v>
      </c>
      <c r="G146" s="2" t="s">
        <v>508</v>
      </c>
      <c r="H146" s="2" t="s">
        <v>287</v>
      </c>
      <c r="I146" s="2" t="str">
        <f>IFERROR(__xludf.DUMMYFUNCTION("GOOGLETRANSLATE(C146,""fr"",""en"")"),"I do not know if they are incompetent or revenge but it made months that I call them (after endless expectations or you are made to wait by rablying that an advisor will take your call for ultimately after 6 minutes Tell you that this is no longer possibl"&amp;"e and to renew your call later) to ask them to take turns from the Health Insurance site in order to be able to benefit from remote transmission.
In vain. Courrier mails phone nothing works.
incompetent or revanchards. Flery away")</f>
        <v>I do not know if they are incompetent or revenge but it made months that I call them (after endless expectations or you are made to wait by rablying that an advisor will take your call for ultimately after 6 minutes Tell you that this is no longer possible and to renew your call later) to ask them to take turns from the Health Insurance site in order to be able to benefit from remote transmission.
In vain. Courrier mails phone nothing works.
incompetent or revanchards. Flery away</v>
      </c>
    </row>
    <row r="147" ht="15.75" customHeight="1">
      <c r="A147" s="2">
        <v>5.0</v>
      </c>
      <c r="B147" s="2" t="s">
        <v>509</v>
      </c>
      <c r="C147" s="2" t="s">
        <v>510</v>
      </c>
      <c r="D147" s="2" t="s">
        <v>42</v>
      </c>
      <c r="E147" s="2" t="s">
        <v>21</v>
      </c>
      <c r="F147" s="2" t="s">
        <v>15</v>
      </c>
      <c r="G147" s="2" t="s">
        <v>511</v>
      </c>
      <c r="H147" s="2" t="s">
        <v>54</v>
      </c>
      <c r="I147" s="2" t="str">
        <f>IFERROR(__xludf.DUMMYFUNCTION("GOOGLETRANSLATE(C147,""fr"",""en"")"),"Loading...")</f>
        <v>Loading...</v>
      </c>
    </row>
    <row r="148" ht="15.75" customHeight="1">
      <c r="A148" s="2">
        <v>1.0</v>
      </c>
      <c r="B148" s="2" t="s">
        <v>512</v>
      </c>
      <c r="C148" s="2" t="s">
        <v>513</v>
      </c>
      <c r="D148" s="2" t="s">
        <v>255</v>
      </c>
      <c r="E148" s="2" t="s">
        <v>129</v>
      </c>
      <c r="F148" s="2" t="s">
        <v>15</v>
      </c>
      <c r="G148" s="2" t="s">
        <v>514</v>
      </c>
      <c r="H148" s="2" t="s">
        <v>515</v>
      </c>
      <c r="I148" s="2" t="str">
        <f>IFERROR(__xludf.DUMMYFUNCTION("GOOGLETRANSLATE(C148,""fr"",""en"")"),"Real story:
In 2015 we underwent water damage (bathroom and HS kitchen) which, partly because of the incompetence of our Allianz insurer, cost us 2 months of hotel, a move and quantity of galleys. The apartment being uninhabitable, we have terminated our"&amp;" insurance contract.
No luck a few days we had re -engaged by check for a year.
We asked for reimbursement in the pro rata without believing too much and of course no refund. Too drowned in the problem, we resigned ourselves to leaving this insurance on"&amp;" uninhabited accommodation for 1 year. Following this we found a new accommodation, took another insurance and we finally turned the page of this difficult experience.
 On 08/18/2017, we receive a call from a recovery agency called Intrum Justicia, then "&amp;"a very aggressive letter on 08/28/2017. We provided the copies of our termination letter + acknowledgment of receipt but nothing to do Allianz claims us € 370 in a new email of 11/23/2017 ...
A advice for you who are looking for insurance:
Flee Allian"&amp;"z, they treat customers like prey and will never let you go.
Our insurance was located: 41 avenue du Général de Gaulle, 94700 Maisons-Alfort
When we needed him, the fetish sentence of the agency director was: ""I never sign anything me"" incredible but "&amp;"true ...
")</f>
        <v>Real story:
In 2015 we underwent water damage (bathroom and HS kitchen) which, partly because of the incompetence of our Allianz insurer, cost us 2 months of hotel, a move and quantity of galleys. The apartment being uninhabitable, we have terminated our insurance contract.
No luck a few days we had re -engaged by check for a year.
We asked for reimbursement in the pro rata without believing too much and of course no refund. Too drowned in the problem, we resigned ourselves to leaving this insurance on uninhabited accommodation for 1 year. Following this we found a new accommodation, took another insurance and we finally turned the page of this difficult experience.
 On 08/18/2017, we receive a call from a recovery agency called Intrum Justicia, then a very aggressive letter on 08/28/2017. We provided the copies of our termination letter + acknowledgment of receipt but nothing to do Allianz claims us € 370 in a new email of 11/23/2017 ...
A advice for you who are looking for insurance:
Flee Allianz, they treat customers like prey and will never let you go.
Our insurance was located: 41 avenue du Général de Gaulle, 94700 Maisons-Alfort
When we needed him, the fetish sentence of the agency director was: "I never sign anything me" incredible but true ...
</v>
      </c>
    </row>
    <row r="149" ht="15.75" customHeight="1">
      <c r="A149" s="2">
        <v>1.0</v>
      </c>
      <c r="B149" s="2" t="s">
        <v>516</v>
      </c>
      <c r="C149" s="2" t="s">
        <v>517</v>
      </c>
      <c r="D149" s="2" t="s">
        <v>95</v>
      </c>
      <c r="E149" s="2" t="s">
        <v>32</v>
      </c>
      <c r="F149" s="2" t="s">
        <v>15</v>
      </c>
      <c r="G149" s="2" t="s">
        <v>175</v>
      </c>
      <c r="H149" s="2" t="s">
        <v>64</v>
      </c>
      <c r="I149" s="2" t="str">
        <f>IFERROR(__xludf.DUMMYFUNCTION("GOOGLETRANSLATE(C149,""fr"",""en"")"),"+ 18 % increase this year 2021-2022 (or + € 100) without any damage since I was insured with them and the unreachable telephone platform = Bye bye the mutual of bikers")</f>
        <v>+ 18 % increase this year 2021-2022 (or + € 100) without any damage since I was insured with them and the unreachable telephone platform = Bye bye the mutual of bikers</v>
      </c>
    </row>
    <row r="150" ht="15.75" customHeight="1">
      <c r="A150" s="2">
        <v>5.0</v>
      </c>
      <c r="B150" s="2" t="s">
        <v>518</v>
      </c>
      <c r="C150" s="2" t="s">
        <v>519</v>
      </c>
      <c r="D150" s="2" t="s">
        <v>31</v>
      </c>
      <c r="E150" s="2" t="s">
        <v>32</v>
      </c>
      <c r="F150" s="2" t="s">
        <v>15</v>
      </c>
      <c r="G150" s="2" t="s">
        <v>520</v>
      </c>
      <c r="H150" s="2" t="s">
        <v>59</v>
      </c>
      <c r="I150" s="2" t="str">
        <f>IFERROR(__xludf.DUMMYFUNCTION("GOOGLETRANSLATE(C150,""fr"",""en"")"),"Very satisfied, fast, pleasant and competent
It is very difficult to find competent people and listen to
I do not panquerzis to advertise for this company")</f>
        <v>Very satisfied, fast, pleasant and competent
It is very difficult to find competent people and listen to
I do not panquerzis to advertise for this company</v>
      </c>
    </row>
    <row r="151" ht="15.75" customHeight="1">
      <c r="A151" s="2">
        <v>4.0</v>
      </c>
      <c r="B151" s="2" t="s">
        <v>521</v>
      </c>
      <c r="C151" s="2" t="s">
        <v>522</v>
      </c>
      <c r="D151" s="2" t="s">
        <v>31</v>
      </c>
      <c r="E151" s="2" t="s">
        <v>32</v>
      </c>
      <c r="F151" s="2" t="s">
        <v>15</v>
      </c>
      <c r="G151" s="2" t="s">
        <v>109</v>
      </c>
      <c r="H151" s="2" t="s">
        <v>54</v>
      </c>
      <c r="I151" s="2" t="str">
        <f>IFERROR(__xludf.DUMMYFUNCTION("GOOGLETRANSLATE(C151,""fr"",""en"")"),"Loading...")</f>
        <v>Loading...</v>
      </c>
    </row>
    <row r="152" ht="15.75" customHeight="1">
      <c r="A152" s="2">
        <v>4.0</v>
      </c>
      <c r="B152" s="2" t="s">
        <v>523</v>
      </c>
      <c r="C152" s="2" t="s">
        <v>524</v>
      </c>
      <c r="D152" s="2" t="s">
        <v>62</v>
      </c>
      <c r="E152" s="2" t="s">
        <v>21</v>
      </c>
      <c r="F152" s="2" t="s">
        <v>15</v>
      </c>
      <c r="G152" s="2" t="s">
        <v>525</v>
      </c>
      <c r="H152" s="2" t="s">
        <v>59</v>
      </c>
      <c r="I152" s="2" t="str">
        <f>IFERROR(__xludf.DUMMYFUNCTION("GOOGLETRANSLATE(C152,""fr"",""en"")"),"The prices are largely below my car insurance that I had currently. I am glad.
I hope not to be on the service despite that it is only online. I never had a problem when I had been at home.")</f>
        <v>The prices are largely below my car insurance that I had currently. I am glad.
I hope not to be on the service despite that it is only online. I never had a problem when I had been at home.</v>
      </c>
    </row>
    <row r="153" ht="15.75" customHeight="1">
      <c r="A153" s="2">
        <v>5.0</v>
      </c>
      <c r="B153" s="2" t="s">
        <v>526</v>
      </c>
      <c r="C153" s="2" t="s">
        <v>527</v>
      </c>
      <c r="D153" s="2" t="s">
        <v>20</v>
      </c>
      <c r="E153" s="2" t="s">
        <v>21</v>
      </c>
      <c r="F153" s="2" t="s">
        <v>15</v>
      </c>
      <c r="G153" s="2" t="s">
        <v>528</v>
      </c>
      <c r="H153" s="2" t="s">
        <v>34</v>
      </c>
      <c r="I153" s="2" t="str">
        <f>IFERROR(__xludf.DUMMYFUNCTION("GOOGLETRANSLATE(C153,""fr"",""en"")"),"Welcome and service. Thank you for our GMF advisers.
The taken suit me except that I wonder by contribution to accidents against wild animals?")</f>
        <v>Welcome and service. Thank you for our GMF advisers.
The taken suit me except that I wonder by contribution to accidents against wild animals?</v>
      </c>
    </row>
    <row r="154" ht="15.75" customHeight="1">
      <c r="A154" s="2">
        <v>3.0</v>
      </c>
      <c r="B154" s="2" t="s">
        <v>529</v>
      </c>
      <c r="C154" s="2" t="s">
        <v>530</v>
      </c>
      <c r="D154" s="2" t="s">
        <v>20</v>
      </c>
      <c r="E154" s="2" t="s">
        <v>21</v>
      </c>
      <c r="F154" s="2" t="s">
        <v>15</v>
      </c>
      <c r="G154" s="2" t="s">
        <v>531</v>
      </c>
      <c r="H154" s="2" t="s">
        <v>215</v>
      </c>
      <c r="I154" s="2" t="str">
        <f>IFERROR(__xludf.DUMMYFUNCTION("GOOGLETRANSLATE(C154,""fr"",""en"")"),"Hello to all!
I just read lots of comments Leave by the insured at the GMF and frankly I am on the ass to see all the dissatisfaction for non -management of claims or others! It's been 15 years that I have been CZ them and I have never had any problems w"&amp;"ith them ... When I see the number of people who are raft almost without reasons, I will be wary of them now!
To tell you, in 2014, and being in all risks, I unfortunately had 2 accidents responsible in the same month, which still cost them the sum of 50"&amp;"00 euros! I paid for my franchise 2 times in a row and the repairs were done in the TPS. However, I lost my bonus of obviously and took a hell of a penalty! But hey, it was the price to pay but my vehicle was repaired 2 times in a row in the same month an"&amp;"d without any problems on their part!
And finally, I also had a break of ice breaks in 2016 worth 600 euros! And always with the same vehicle, I broke down on a departmental on a Sunday and the care was instantaneous and my place the car where I wanted! "&amp;"So in view of your distressing comments, I feel that he will not miss me at the next disaster and I will certainly receive a letter of contract termination! lol
And this week, I plan to change my vehicle, but if it is, it will not even make sure ...")</f>
        <v>Hello to all!
I just read lots of comments Leave by the insured at the GMF and frankly I am on the ass to see all the dissatisfaction for non -management of claims or others! It's been 15 years that I have been CZ them and I have never had any problems with them ... When I see the number of people who are raft almost without reasons, I will be wary of them now!
To tell you, in 2014, and being in all risks, I unfortunately had 2 accidents responsible in the same month, which still cost them the sum of 5000 euros! I paid for my franchise 2 times in a row and the repairs were done in the TPS. However, I lost my bonus of obviously and took a hell of a penalty! But hey, it was the price to pay but my vehicle was repaired 2 times in a row in the same month and without any problems on their part!
And finally, I also had a break of ice breaks in 2016 worth 600 euros! And always with the same vehicle, I broke down on a departmental on a Sunday and the care was instantaneous and my place the car where I wanted! So in view of your distressing comments, I feel that he will not miss me at the next disaster and I will certainly receive a letter of contract termination! lol
And this week, I plan to change my vehicle, but if it is, it will not even make sure ...</v>
      </c>
    </row>
    <row r="155" ht="15.75" customHeight="1">
      <c r="A155" s="2">
        <v>3.0</v>
      </c>
      <c r="B155" s="2" t="s">
        <v>532</v>
      </c>
      <c r="C155" s="2" t="s">
        <v>533</v>
      </c>
      <c r="D155" s="2" t="s">
        <v>62</v>
      </c>
      <c r="E155" s="2" t="s">
        <v>21</v>
      </c>
      <c r="F155" s="2" t="s">
        <v>15</v>
      </c>
      <c r="G155" s="2" t="s">
        <v>44</v>
      </c>
      <c r="H155" s="2" t="s">
        <v>44</v>
      </c>
      <c r="I155" s="2" t="str">
        <f>IFERROR(__xludf.DUMMYFUNCTION("GOOGLETRANSLATE(C155,""fr"",""en"")"),"Extremely heavy customer journey for the quote, while I am already a customer:
Online form asking me for information already known to you, to end up a referral to your telephone platform. 45mn on the phone so as not to succeed for lack of an efficient li"&amp;"nk for online payment ...")</f>
        <v>Extremely heavy customer journey for the quote, while I am already a customer:
Online form asking me for information already known to you, to end up a referral to your telephone platform. 45mn on the phone so as not to succeed for lack of an efficient link for online payment ...</v>
      </c>
    </row>
    <row r="156" ht="15.75" customHeight="1">
      <c r="A156" s="2">
        <v>2.0</v>
      </c>
      <c r="B156" s="2" t="s">
        <v>534</v>
      </c>
      <c r="C156" s="2" t="s">
        <v>535</v>
      </c>
      <c r="D156" s="2" t="s">
        <v>99</v>
      </c>
      <c r="E156" s="2" t="s">
        <v>21</v>
      </c>
      <c r="F156" s="2" t="s">
        <v>15</v>
      </c>
      <c r="G156" s="2" t="s">
        <v>536</v>
      </c>
      <c r="H156" s="2" t="s">
        <v>113</v>
      </c>
      <c r="I156" s="2" t="str">
        <f>IFERROR(__xludf.DUMMYFUNCTION("GOOGLETRANSLATE(C156,""fr"",""en"")"),"We are very disappointed with support and services. We declared a claim that has never been taken care of because we made a statement that did not seem to be in accordance with that of the expert. However, we were well victim of vandalism ... And in addit"&amp;"ion we had to pay staggering sums in one of the garages of the MAIF (we would have called on other providers if we had known!). The worst part is that the repair was poorly executed! A shame. No service rendered, no vehicle replacement and to top it off f"&amp;"rom unpleasant and haughty people on the phone. Flee this insurance.")</f>
        <v>We are very disappointed with support and services. We declared a claim that has never been taken care of because we made a statement that did not seem to be in accordance with that of the expert. However, we were well victim of vandalism ... And in addition we had to pay staggering sums in one of the garages of the MAIF (we would have called on other providers if we had known!). The worst part is that the repair was poorly executed! A shame. No service rendered, no vehicle replacement and to top it off from unpleasant and haughty people on the phone. Flee this insurance.</v>
      </c>
    </row>
    <row r="157" ht="15.75" customHeight="1">
      <c r="A157" s="2">
        <v>1.0</v>
      </c>
      <c r="B157" s="2" t="s">
        <v>537</v>
      </c>
      <c r="C157" s="2" t="s">
        <v>538</v>
      </c>
      <c r="D157" s="2" t="s">
        <v>62</v>
      </c>
      <c r="E157" s="2" t="s">
        <v>21</v>
      </c>
      <c r="F157" s="2" t="s">
        <v>15</v>
      </c>
      <c r="G157" s="2" t="s">
        <v>539</v>
      </c>
      <c r="H157" s="2" t="s">
        <v>34</v>
      </c>
      <c r="I157" s="2" t="str">
        <f>IFERROR(__xludf.DUMMYFUNCTION("GOOGLETRANSLATE(C157,""fr"",""en"")"),"Loading...")</f>
        <v>Loading...</v>
      </c>
    </row>
    <row r="158" ht="15.75" customHeight="1">
      <c r="A158" s="2">
        <v>1.0</v>
      </c>
      <c r="B158" s="2" t="s">
        <v>540</v>
      </c>
      <c r="C158" s="2" t="s">
        <v>541</v>
      </c>
      <c r="D158" s="2" t="s">
        <v>542</v>
      </c>
      <c r="E158" s="2" t="s">
        <v>90</v>
      </c>
      <c r="F158" s="2" t="s">
        <v>15</v>
      </c>
      <c r="G158" s="2" t="s">
        <v>543</v>
      </c>
      <c r="H158" s="2" t="s">
        <v>544</v>
      </c>
      <c r="I158" s="2" t="str">
        <f>IFERROR(__xludf.DUMMYFUNCTION("GOOGLETRANSLATE(C158,""fr"",""en"")"),"Hello everyone, I would like to constitute a collective of Swiss Life victims. Those who believe they are part of it, please contact. But I don't know how we are going to do since we have nicknames. So I give my email address so that you contact me: sgfab"&amp;"ienne@gmail.com
Cordially")</f>
        <v>Hello everyone, I would like to constitute a collective of Swiss Life victims. Those who believe they are part of it, please contact. But I don't know how we are going to do since we have nicknames. So I give my email address so that you contact me: sgfabienne@gmail.com
Cordially</v>
      </c>
    </row>
    <row r="159" ht="15.75" customHeight="1">
      <c r="A159" s="2">
        <v>1.0</v>
      </c>
      <c r="B159" s="2" t="s">
        <v>545</v>
      </c>
      <c r="C159" s="2" t="s">
        <v>546</v>
      </c>
      <c r="D159" s="2" t="s">
        <v>67</v>
      </c>
      <c r="E159" s="2" t="s">
        <v>32</v>
      </c>
      <c r="F159" s="2" t="s">
        <v>15</v>
      </c>
      <c r="G159" s="2" t="s">
        <v>547</v>
      </c>
      <c r="H159" s="2" t="s">
        <v>548</v>
      </c>
      <c r="I159" s="2" t="str">
        <f>IFERROR(__xludf.DUMMYFUNCTION("GOOGLETRANSLATE(C159,""fr"",""en"")"),"Loading...")</f>
        <v>Loading...</v>
      </c>
    </row>
    <row r="160" ht="15.75" customHeight="1">
      <c r="A160" s="2">
        <v>1.0</v>
      </c>
      <c r="B160" s="2" t="s">
        <v>549</v>
      </c>
      <c r="C160" s="2" t="s">
        <v>550</v>
      </c>
      <c r="D160" s="2" t="s">
        <v>20</v>
      </c>
      <c r="E160" s="2" t="s">
        <v>21</v>
      </c>
      <c r="F160" s="2" t="s">
        <v>15</v>
      </c>
      <c r="G160" s="2" t="s">
        <v>551</v>
      </c>
      <c r="H160" s="2" t="s">
        <v>266</v>
      </c>
      <c r="I160" s="2" t="str">
        <f>IFERROR(__xludf.DUMMYFUNCTION("GOOGLETRANSLATE(C160,""fr"",""en"")"),"If all is well not worries, but even a small disaster (declared by phone and misunderstood) it is the gallery !! And above all bad faith of the operator !!. I rejuvenated from scratches and lightly enlightenment of a door of my vehicle assured any risk, I"&amp;" called by phone to declare this situation and I emitted the two damage caused on a Shopping center car park without asserting it, but the operator has not recorded. Donc refusal to take charge and accusation of false declaration, however customer GMF sin"&amp;"ce 1983.
So never make a declaration by phone. Friends and I are going to close all the contracts (approximately more than 15 auto and housing contracts)")</f>
        <v>If all is well not worries, but even a small disaster (declared by phone and misunderstood) it is the gallery !! And above all bad faith of the operator !!. I rejuvenated from scratches and lightly enlightenment of a door of my vehicle assured any risk, I called by phone to declare this situation and I emitted the two damage caused on a Shopping center car park without asserting it, but the operator has not recorded. Donc refusal to take charge and accusation of false declaration, however customer GMF since 1983.
So never make a declaration by phone. Friends and I are going to close all the contracts (approximately more than 15 auto and housing contracts)</v>
      </c>
    </row>
    <row r="161" ht="15.75" customHeight="1">
      <c r="A161" s="2">
        <v>5.0</v>
      </c>
      <c r="B161" s="2" t="s">
        <v>552</v>
      </c>
      <c r="C161" s="2" t="s">
        <v>553</v>
      </c>
      <c r="D161" s="2" t="s">
        <v>62</v>
      </c>
      <c r="E161" s="2" t="s">
        <v>21</v>
      </c>
      <c r="F161" s="2" t="s">
        <v>15</v>
      </c>
      <c r="G161" s="2" t="s">
        <v>43</v>
      </c>
      <c r="H161" s="2" t="s">
        <v>44</v>
      </c>
      <c r="I161" s="2" t="str">
        <f>IFERROR(__xludf.DUMMYFUNCTION("GOOGLETRANSLATE(C161,""fr"",""en"")"),"Loading...")</f>
        <v>Loading...</v>
      </c>
    </row>
    <row r="162" ht="15.75" customHeight="1">
      <c r="A162" s="2">
        <v>5.0</v>
      </c>
      <c r="B162" s="2" t="s">
        <v>554</v>
      </c>
      <c r="C162" s="2" t="s">
        <v>555</v>
      </c>
      <c r="D162" s="2" t="s">
        <v>210</v>
      </c>
      <c r="E162" s="2" t="s">
        <v>14</v>
      </c>
      <c r="F162" s="2" t="s">
        <v>15</v>
      </c>
      <c r="G162" s="2" t="s">
        <v>556</v>
      </c>
      <c r="H162" s="2" t="s">
        <v>28</v>
      </c>
      <c r="I162" s="2" t="str">
        <f>IFERROR(__xludf.DUMMYFUNCTION("GOOGLETRANSLATE(C162,""fr"",""en"")"),"the person Caroline was very kind and effective by reporting to my sending of provisional card by attaining my deffinitive card I am satisfied")</f>
        <v>the person Caroline was very kind and effective by reporting to my sending of provisional card by attaining my deffinitive card I am satisfied</v>
      </c>
    </row>
    <row r="163" ht="15.75" customHeight="1">
      <c r="A163" s="2">
        <v>5.0</v>
      </c>
      <c r="B163" s="2" t="s">
        <v>557</v>
      </c>
      <c r="C163" s="2" t="s">
        <v>558</v>
      </c>
      <c r="D163" s="2" t="s">
        <v>42</v>
      </c>
      <c r="E163" s="2" t="s">
        <v>21</v>
      </c>
      <c r="F163" s="2" t="s">
        <v>15</v>
      </c>
      <c r="G163" s="2" t="s">
        <v>559</v>
      </c>
      <c r="H163" s="2" t="s">
        <v>50</v>
      </c>
      <c r="I163" s="2" t="str">
        <f>IFERROR(__xludf.DUMMYFUNCTION("GOOGLETRANSLATE(C163,""fr"",""en"")"),"Insured for a year I had chosen the olive tree for its interesting price with good guarantees. On the end of a year the premium increased by 15% !!!! I contacted the olive tree which immediately rectified the shot.
Very satisfied")</f>
        <v>Insured for a year I had chosen the olive tree for its interesting price with good guarantees. On the end of a year the premium increased by 15% !!!! I contacted the olive tree which immediately rectified the shot.
Very satisfied</v>
      </c>
    </row>
    <row r="164" ht="15.75" customHeight="1">
      <c r="A164" s="2">
        <v>4.0</v>
      </c>
      <c r="B164" s="2" t="s">
        <v>560</v>
      </c>
      <c r="C164" s="2" t="s">
        <v>561</v>
      </c>
      <c r="D164" s="2" t="s">
        <v>42</v>
      </c>
      <c r="E164" s="2" t="s">
        <v>21</v>
      </c>
      <c r="F164" s="2" t="s">
        <v>15</v>
      </c>
      <c r="G164" s="2" t="s">
        <v>376</v>
      </c>
      <c r="H164" s="2" t="s">
        <v>34</v>
      </c>
      <c r="I164" s="2" t="str">
        <f>IFERROR(__xludf.DUMMYFUNCTION("GOOGLETRANSLATE(C164,""fr"",""en"")"),"Hello, the subscription to the olive insurance is fast and simple, the prices are affordable but we would like to pay less all the same. I don't wish myself a claim but I could not have a good or bad idea of ​​insurance before I used it.")</f>
        <v>Hello, the subscription to the olive insurance is fast and simple, the prices are affordable but we would like to pay less all the same. I don't wish myself a claim but I could not have a good or bad idea of ​​insurance before I used it.</v>
      </c>
    </row>
    <row r="165" ht="15.75" customHeight="1">
      <c r="A165" s="2">
        <v>1.0</v>
      </c>
      <c r="B165" s="2" t="s">
        <v>562</v>
      </c>
      <c r="C165" s="2" t="s">
        <v>563</v>
      </c>
      <c r="D165" s="2" t="s">
        <v>133</v>
      </c>
      <c r="E165" s="2" t="s">
        <v>14</v>
      </c>
      <c r="F165" s="2" t="s">
        <v>15</v>
      </c>
      <c r="G165" s="2" t="s">
        <v>266</v>
      </c>
      <c r="H165" s="2" t="s">
        <v>266</v>
      </c>
      <c r="I165" s="2" t="str">
        <f>IFERROR(__xludf.DUMMYFUNCTION("GOOGLETRANSLATE(C165,""fr"",""en"")"),"Loading...")</f>
        <v>Loading...</v>
      </c>
    </row>
    <row r="166" ht="15.75" customHeight="1">
      <c r="A166" s="2">
        <v>3.0</v>
      </c>
      <c r="B166" s="2" t="s">
        <v>564</v>
      </c>
      <c r="C166" s="2" t="s">
        <v>565</v>
      </c>
      <c r="D166" s="2" t="s">
        <v>62</v>
      </c>
      <c r="E166" s="2" t="s">
        <v>21</v>
      </c>
      <c r="F166" s="2" t="s">
        <v>15</v>
      </c>
      <c r="G166" s="2" t="s">
        <v>64</v>
      </c>
      <c r="H166" s="2" t="s">
        <v>64</v>
      </c>
      <c r="I166" s="2" t="str">
        <f>IFERROR(__xludf.DUMMYFUNCTION("GOOGLETRANSLATE(C166,""fr"",""en"")"),"The finalization of the contract is a real wound. You need a mobile app to transmit the photos of your vehicle but impossible to take a photo so I had to manage to send them ...
The bug has been there for many days .... strange I hope still benefit from "&amp;"my announced discount")</f>
        <v>The finalization of the contract is a real wound. You need a mobile app to transmit the photos of your vehicle but impossible to take a photo so I had to manage to send them ...
The bug has been there for many days .... strange I hope still benefit from my announced discount</v>
      </c>
    </row>
    <row r="167" ht="15.75" customHeight="1">
      <c r="A167" s="2">
        <v>1.0</v>
      </c>
      <c r="B167" s="2" t="s">
        <v>566</v>
      </c>
      <c r="C167" s="2" t="s">
        <v>567</v>
      </c>
      <c r="D167" s="2" t="s">
        <v>285</v>
      </c>
      <c r="E167" s="2" t="s">
        <v>90</v>
      </c>
      <c r="F167" s="2" t="s">
        <v>15</v>
      </c>
      <c r="G167" s="2" t="s">
        <v>568</v>
      </c>
      <c r="H167" s="2" t="s">
        <v>569</v>
      </c>
      <c r="I167" s="2" t="str">
        <f>IFERROR(__xludf.DUMMYFUNCTION("GOOGLETRANSLATE(C167,""fr"",""en"")"),"Loading...")</f>
        <v>Loading...</v>
      </c>
    </row>
    <row r="168" ht="15.75" customHeight="1">
      <c r="A168" s="2">
        <v>3.0</v>
      </c>
      <c r="B168" s="2" t="s">
        <v>570</v>
      </c>
      <c r="C168" s="2" t="s">
        <v>571</v>
      </c>
      <c r="D168" s="2" t="s">
        <v>62</v>
      </c>
      <c r="E168" s="2" t="s">
        <v>21</v>
      </c>
      <c r="F168" s="2" t="s">
        <v>15</v>
      </c>
      <c r="G168" s="2" t="s">
        <v>572</v>
      </c>
      <c r="H168" s="2" t="s">
        <v>154</v>
      </c>
      <c r="I168" s="2" t="str">
        <f>IFERROR(__xludf.DUMMYFUNCTION("GOOGLETRANSLATE(C168,""fr"",""en"")"),"I have not seen the amount of the franchise for me there is not enough explanation concerning the packs. I'm waiting for the final quote to compare")</f>
        <v>I have not seen the amount of the franchise for me there is not enough explanation concerning the packs. I'm waiting for the final quote to compare</v>
      </c>
    </row>
    <row r="169" ht="15.75" customHeight="1">
      <c r="A169" s="2">
        <v>5.0</v>
      </c>
      <c r="B169" s="2" t="s">
        <v>573</v>
      </c>
      <c r="C169" s="2" t="s">
        <v>574</v>
      </c>
      <c r="D169" s="2" t="s">
        <v>42</v>
      </c>
      <c r="E169" s="2" t="s">
        <v>21</v>
      </c>
      <c r="F169" s="2" t="s">
        <v>15</v>
      </c>
      <c r="G169" s="2" t="s">
        <v>575</v>
      </c>
      <c r="H169" s="2" t="s">
        <v>266</v>
      </c>
      <c r="I169" s="2" t="str">
        <f>IFERROR(__xludf.DUMMYFUNCTION("GOOGLETRANSLATE(C169,""fr"",""en"")"),"Since I have subscribed to the Olivier Insurance I am not disappointed with the service of very good advisers who knows their jobs well, place well on the prices and very fast on our request, today to my families is all my friends I advise them this insur"&amp;"ance.")</f>
        <v>Since I have subscribed to the Olivier Insurance I am not disappointed with the service of very good advisers who knows their jobs well, place well on the prices and very fast on our request, today to my families is all my friends I advise them this insurance.</v>
      </c>
    </row>
    <row r="170" ht="15.75" customHeight="1">
      <c r="A170" s="2">
        <v>2.0</v>
      </c>
      <c r="B170" s="2" t="s">
        <v>576</v>
      </c>
      <c r="C170" s="2" t="s">
        <v>577</v>
      </c>
      <c r="D170" s="2" t="s">
        <v>578</v>
      </c>
      <c r="E170" s="2" t="s">
        <v>129</v>
      </c>
      <c r="F170" s="2" t="s">
        <v>15</v>
      </c>
      <c r="G170" s="2" t="s">
        <v>265</v>
      </c>
      <c r="H170" s="2" t="s">
        <v>266</v>
      </c>
      <c r="I170" s="2" t="str">
        <f>IFERROR(__xludf.DUMMYFUNCTION("GOOGLETRANSLATE(C170,""fr"",""en"")"),"Impossible to reach once the claim has been declared ... hours of online expectations, from service to service .. it's incredible ... on the other hand to subscribe and be taken that, it goes very quickly ... I understand Not that it can still exist ...")</f>
        <v>Impossible to reach once the claim has been declared ... hours of online expectations, from service to service .. it's incredible ... on the other hand to subscribe and be taken that, it goes very quickly ... I understand Not that it can still exist ...</v>
      </c>
    </row>
    <row r="171" ht="15.75" customHeight="1">
      <c r="A171" s="2">
        <v>5.0</v>
      </c>
      <c r="B171" s="2" t="s">
        <v>579</v>
      </c>
      <c r="C171" s="2" t="s">
        <v>580</v>
      </c>
      <c r="D171" s="2" t="s">
        <v>42</v>
      </c>
      <c r="E171" s="2" t="s">
        <v>21</v>
      </c>
      <c r="F171" s="2" t="s">
        <v>15</v>
      </c>
      <c r="G171" s="2" t="s">
        <v>581</v>
      </c>
      <c r="H171" s="2" t="s">
        <v>582</v>
      </c>
      <c r="I171" s="2" t="str">
        <f>IFERROR(__xludf.DUMMYFUNCTION("GOOGLETRANSLATE(C171,""fr"",""en"")"),"Loading...")</f>
        <v>Loading...</v>
      </c>
    </row>
    <row r="172" ht="15.75" customHeight="1">
      <c r="A172" s="2">
        <v>1.0</v>
      </c>
      <c r="B172" s="2" t="s">
        <v>583</v>
      </c>
      <c r="C172" s="2" t="s">
        <v>584</v>
      </c>
      <c r="D172" s="2" t="s">
        <v>368</v>
      </c>
      <c r="E172" s="2" t="s">
        <v>21</v>
      </c>
      <c r="F172" s="2" t="s">
        <v>15</v>
      </c>
      <c r="G172" s="2" t="s">
        <v>27</v>
      </c>
      <c r="H172" s="2" t="s">
        <v>28</v>
      </c>
      <c r="I172" s="2" t="str">
        <f>IFERROR(__xludf.DUMMYFUNCTION("GOOGLETRANSLATE(C172,""fr"",""en"")"),"Active Insurance is a trap to avoid absolutely, change prices after acceptance, non -competent customer service, does not respond to emails, poor calculation of Prorata temporis, etc.
This insurance has no interest")</f>
        <v>Active Insurance is a trap to avoid absolutely, change prices after acceptance, non -competent customer service, does not respond to emails, poor calculation of Prorata temporis, etc.
This insurance has no interest</v>
      </c>
    </row>
    <row r="173" ht="15.75" customHeight="1">
      <c r="A173" s="2">
        <v>1.0</v>
      </c>
      <c r="B173" s="2" t="s">
        <v>585</v>
      </c>
      <c r="C173" s="2" t="s">
        <v>586</v>
      </c>
      <c r="D173" s="2" t="s">
        <v>42</v>
      </c>
      <c r="E173" s="2" t="s">
        <v>21</v>
      </c>
      <c r="F173" s="2" t="s">
        <v>15</v>
      </c>
      <c r="G173" s="2" t="s">
        <v>587</v>
      </c>
      <c r="H173" s="2" t="s">
        <v>276</v>
      </c>
      <c r="I173" s="2" t="str">
        <f>IFERROR(__xludf.DUMMYFUNCTION("GOOGLETRANSLATE(C173,""fr"",""en"")"),"I signed at the end of a week they told me that you did not tell us a claim (not responsible I was burned the stop) in your old insurance suddenly the subscription increases by 75 euros
So I strongly advise against this insurance
Commercial gesture on 1"&amp;"5euro management fees ????
No one to avoid")</f>
        <v>I signed at the end of a week they told me that you did not tell us a claim (not responsible I was burned the stop) in your old insurance suddenly the subscription increases by 75 euros
So I strongly advise against this insurance
Commercial gesture on 15euro management fees ????
No one to avoid</v>
      </c>
    </row>
    <row r="174" ht="15.75" customHeight="1">
      <c r="A174" s="2">
        <v>3.0</v>
      </c>
      <c r="B174" s="2" t="s">
        <v>588</v>
      </c>
      <c r="C174" s="2" t="s">
        <v>589</v>
      </c>
      <c r="D174" s="2" t="s">
        <v>542</v>
      </c>
      <c r="E174" s="2" t="s">
        <v>90</v>
      </c>
      <c r="F174" s="2" t="s">
        <v>15</v>
      </c>
      <c r="G174" s="2" t="s">
        <v>590</v>
      </c>
      <c r="H174" s="2" t="s">
        <v>548</v>
      </c>
      <c r="I174" s="2" t="str">
        <f>IFERROR(__xludf.DUMMYFUNCTION("GOOGLETRANSLATE(C174,""fr"",""en"")"),"We received the death capital of mom, a little long, but kind on the phone and no difficulty with the supporting documents.
Given the small sum that Maman paid, good value for money.
I think I assure myself at home to ensure my funeral costs.")</f>
        <v>We received the death capital of mom, a little long, but kind on the phone and no difficulty with the supporting documents.
Given the small sum that Maman paid, good value for money.
I think I assure myself at home to ensure my funeral costs.</v>
      </c>
    </row>
    <row r="175" ht="15.75" customHeight="1">
      <c r="A175" s="2">
        <v>1.0</v>
      </c>
      <c r="B175" s="2" t="s">
        <v>591</v>
      </c>
      <c r="C175" s="2" t="s">
        <v>592</v>
      </c>
      <c r="D175" s="2" t="s">
        <v>285</v>
      </c>
      <c r="E175" s="2" t="s">
        <v>76</v>
      </c>
      <c r="F175" s="2" t="s">
        <v>15</v>
      </c>
      <c r="G175" s="2" t="s">
        <v>593</v>
      </c>
      <c r="H175" s="2" t="s">
        <v>161</v>
      </c>
      <c r="I175" s="2" t="str">
        <f>IFERROR(__xludf.DUMMYFUNCTION("GOOGLETRANSLATE(C175,""fr"",""en"")"),"6 years ago, I made a residential loan at the BNP with cardif insurance. During a sick leave of more than 3 months, I applied for my bank loan. After several weeks and requests for non -response, Cardif asked me for my CPAM surveys for 6 years ... in good"&amp;" faith, I provided everything, the request seems to me all the same very confidential. I have on this, received a negative response and with a notice of radiation, because it is specified to me that I had not mentioned on my medical questionnaire 6 years "&amp;"ago, that I had a stop of 5 weeks (request stops of more than 4 weeks on the questionnaire) ... This judgment having nothing to do with my current illness, and having completely forgotten this problem of 6 years ago, which had no impact On my personal and"&amp;" professional life!
I am offended by such an attitude ... I will take all the necessary measures once I am ready, to assert this right to be forgotten, which should have no consequences on my future.")</f>
        <v>6 years ago, I made a residential loan at the BNP with cardif insurance. During a sick leave of more than 3 months, I applied for my bank loan. After several weeks and requests for non -response, Cardif asked me for my CPAM surveys for 6 years ... in good faith, I provided everything, the request seems to me all the same very confidential. I have on this, received a negative response and with a notice of radiation, because it is specified to me that I had not mentioned on my medical questionnaire 6 years ago, that I had a stop of 5 weeks (request stops of more than 4 weeks on the questionnaire) ... This judgment having nothing to do with my current illness, and having completely forgotten this problem of 6 years ago, which had no impact On my personal and professional life!
I am offended by such an attitude ... I will take all the necessary measures once I am ready, to assert this right to be forgotten, which should have no consequences on my future.</v>
      </c>
    </row>
    <row r="176" ht="15.75" customHeight="1">
      <c r="A176" s="2">
        <v>5.0</v>
      </c>
      <c r="B176" s="2" t="s">
        <v>594</v>
      </c>
      <c r="C176" s="2" t="s">
        <v>595</v>
      </c>
      <c r="D176" s="2" t="s">
        <v>42</v>
      </c>
      <c r="E176" s="2" t="s">
        <v>21</v>
      </c>
      <c r="F176" s="2" t="s">
        <v>15</v>
      </c>
      <c r="G176" s="2" t="s">
        <v>520</v>
      </c>
      <c r="H176" s="2" t="s">
        <v>59</v>
      </c>
      <c r="I176" s="2" t="str">
        <f>IFERROR(__xludf.DUMMYFUNCTION("GOOGLETRANSLATE(C176,""fr"",""en"")"),"PRICs are contained and accessible even for new drivers. In addition, there is no ""acceptance"" problem with this insurance. Finally everything is very well explained and the advisers are very available.")</f>
        <v>PRICs are contained and accessible even for new drivers. In addition, there is no "acceptance" problem with this insurance. Finally everything is very well explained and the advisers are very available.</v>
      </c>
    </row>
    <row r="177" ht="15.75" customHeight="1">
      <c r="A177" s="2">
        <v>3.0</v>
      </c>
      <c r="B177" s="2" t="s">
        <v>596</v>
      </c>
      <c r="C177" s="2" t="s">
        <v>597</v>
      </c>
      <c r="D177" s="2" t="s">
        <v>42</v>
      </c>
      <c r="E177" s="2" t="s">
        <v>21</v>
      </c>
      <c r="F177" s="2" t="s">
        <v>15</v>
      </c>
      <c r="G177" s="2" t="s">
        <v>598</v>
      </c>
      <c r="H177" s="2" t="s">
        <v>569</v>
      </c>
      <c r="I177" s="2" t="str">
        <f>IFERROR(__xludf.DUMMYFUNCTION("GOOGLETRANSLATE(C177,""fr"",""en"")"),"Notice to stunned, seniors and young drivers ...
Endorse 50 euros more expensive than the starting offer simply to finalize the month of obtaining a driving license dating from over 40 years ago. There is no additional risk after 40 years of license and "&amp;"no accident declared during this period, a life.
A good hearing!")</f>
        <v>Notice to stunned, seniors and young drivers ...
Endorse 50 euros more expensive than the starting offer simply to finalize the month of obtaining a driving license dating from over 40 years ago. There is no additional risk after 40 years of license and no accident declared during this period, a life.
A good hearing!</v>
      </c>
    </row>
    <row r="178" ht="15.75" customHeight="1">
      <c r="A178" s="2">
        <v>4.0</v>
      </c>
      <c r="B178" s="2" t="s">
        <v>599</v>
      </c>
      <c r="C178" s="2" t="s">
        <v>600</v>
      </c>
      <c r="D178" s="2" t="s">
        <v>62</v>
      </c>
      <c r="E178" s="2" t="s">
        <v>21</v>
      </c>
      <c r="F178" s="2" t="s">
        <v>15</v>
      </c>
      <c r="G178" s="2" t="s">
        <v>601</v>
      </c>
      <c r="H178" s="2" t="s">
        <v>59</v>
      </c>
      <c r="I178" s="2" t="str">
        <f>IFERROR(__xludf.DUMMYFUNCTION("GOOGLETRANSLATE(C178,""fr"",""en"")"),"I received a promotion code that does not work ...
Weird, it must be to bait the customer, I nevertheless inform the Auto80 promo code, but the amount remained the same ...")</f>
        <v>I received a promotion code that does not work ...
Weird, it must be to bait the customer, I nevertheless inform the Auto80 promo code, but the amount remained the same ...</v>
      </c>
    </row>
    <row r="179" ht="15.75" customHeight="1">
      <c r="A179" s="2">
        <v>1.0</v>
      </c>
      <c r="B179" s="2" t="s">
        <v>602</v>
      </c>
      <c r="C179" s="2" t="s">
        <v>603</v>
      </c>
      <c r="D179" s="2" t="s">
        <v>13</v>
      </c>
      <c r="E179" s="2" t="s">
        <v>14</v>
      </c>
      <c r="F179" s="2" t="s">
        <v>15</v>
      </c>
      <c r="G179" s="2" t="s">
        <v>604</v>
      </c>
      <c r="H179" s="2" t="s">
        <v>141</v>
      </c>
      <c r="I179" s="2" t="str">
        <f>IFERROR(__xludf.DUMMYFUNCTION("GOOGLETRANSLATE(C179,""fr"",""en"")"),"Total disappointment when I needed it.
No reimbursements for exceeding fees even in an emergency.
Debrouille with the public service, completely overwhelmed, and an appointment 6 months later.
I was convinced that I have good health coverage ..... So d"&amp;"on't do like me, don't wait for retirement to hear you say. Change mutual if it does not suit you.
After 40 years of subscription it is time !!")</f>
        <v>Total disappointment when I needed it.
No reimbursements for exceeding fees even in an emergency.
Debrouille with the public service, completely overwhelmed, and an appointment 6 months later.
I was convinced that I have good health coverage ..... So don't do like me, don't wait for retirement to hear you say. Change mutual if it does not suit you.
After 40 years of subscription it is time !!</v>
      </c>
    </row>
    <row r="180" ht="15.75" customHeight="1">
      <c r="A180" s="2">
        <v>1.0</v>
      </c>
      <c r="B180" s="2" t="s">
        <v>605</v>
      </c>
      <c r="C180" s="2" t="s">
        <v>606</v>
      </c>
      <c r="D180" s="2" t="s">
        <v>285</v>
      </c>
      <c r="E180" s="2" t="s">
        <v>90</v>
      </c>
      <c r="F180" s="2" t="s">
        <v>15</v>
      </c>
      <c r="G180" s="2" t="s">
        <v>607</v>
      </c>
      <c r="H180" s="2" t="s">
        <v>608</v>
      </c>
      <c r="I180" s="2" t="str">
        <f>IFERROR(__xludf.DUMMYFUNCTION("GOOGLETRANSLATE(C180,""fr"",""en"")"),"Regarding cardif life protection insurance does not take care of traffic accidents I had a work accident with a super heavy one of the recognized disabled company after my accident would be entitled to the invalidity capital")</f>
        <v>Regarding cardif life protection insurance does not take care of traffic accidents I had a work accident with a super heavy one of the recognized disabled company after my accident would be entitled to the invalidity capital</v>
      </c>
    </row>
    <row r="181" ht="15.75" customHeight="1">
      <c r="A181" s="2">
        <v>3.0</v>
      </c>
      <c r="B181" s="2" t="s">
        <v>609</v>
      </c>
      <c r="C181" s="2" t="s">
        <v>610</v>
      </c>
      <c r="D181" s="2" t="s">
        <v>183</v>
      </c>
      <c r="E181" s="2" t="s">
        <v>14</v>
      </c>
      <c r="F181" s="2" t="s">
        <v>15</v>
      </c>
      <c r="G181" s="2" t="s">
        <v>611</v>
      </c>
      <c r="H181" s="2" t="s">
        <v>612</v>
      </c>
      <c r="I181" s="2" t="str">
        <f>IFERROR(__xludf.DUMMYFUNCTION("GOOGLETRANSLATE(C181,""fr"",""en"")"),"I retracted no Santian problem accepted Mutua Management also from November 1 emails sent to my personal address.
But threat of Mutua Management he claims me money that I will not give them. I retracted. I am not and I will never be a customer. I warned "&amp;"the DDPP. There are laws.")</f>
        <v>I retracted no Santian problem accepted Mutua Management also from November 1 emails sent to my personal address.
But threat of Mutua Management he claims me money that I will not give them. I retracted. I am not and I will never be a customer. I warned the DDPP. There are laws.</v>
      </c>
    </row>
    <row r="182" ht="15.75" customHeight="1">
      <c r="A182" s="2">
        <v>4.0</v>
      </c>
      <c r="B182" s="2" t="s">
        <v>613</v>
      </c>
      <c r="C182" s="2" t="s">
        <v>614</v>
      </c>
      <c r="D182" s="2" t="s">
        <v>42</v>
      </c>
      <c r="E182" s="2" t="s">
        <v>21</v>
      </c>
      <c r="F182" s="2" t="s">
        <v>15</v>
      </c>
      <c r="G182" s="2" t="s">
        <v>615</v>
      </c>
      <c r="H182" s="2" t="s">
        <v>64</v>
      </c>
      <c r="I182" s="2" t="str">
        <f>IFERROR(__xludf.DUMMYFUNCTION("GOOGLETRANSLATE(C182,""fr"",""en"")"),"I am satisfied with the service. Reasonable price. Ergonomic site.
Finally people who know how to code a website, thank you!
I needed more characters.")</f>
        <v>I am satisfied with the service. Reasonable price. Ergonomic site.
Finally people who know how to code a website, thank you!
I needed more characters.</v>
      </c>
    </row>
    <row r="183" ht="15.75" customHeight="1">
      <c r="A183" s="2">
        <v>3.0</v>
      </c>
      <c r="B183" s="2" t="s">
        <v>616</v>
      </c>
      <c r="C183" s="2" t="s">
        <v>617</v>
      </c>
      <c r="D183" s="2" t="s">
        <v>42</v>
      </c>
      <c r="E183" s="2" t="s">
        <v>21</v>
      </c>
      <c r="F183" s="2" t="s">
        <v>15</v>
      </c>
      <c r="G183" s="2" t="s">
        <v>618</v>
      </c>
      <c r="H183" s="2" t="s">
        <v>72</v>
      </c>
      <c r="I183" s="2" t="str">
        <f>IFERROR(__xludf.DUMMYFUNCTION("GOOGLETRANSLATE(C183,""fr"",""en"")"),"I find the description of the quote and contract well detailed. On the other hand, the options are a bit expensive. Civil liability should be in all these options.")</f>
        <v>I find the description of the quote and contract well detailed. On the other hand, the options are a bit expensive. Civil liability should be in all these options.</v>
      </c>
    </row>
    <row r="184" ht="15.75" customHeight="1">
      <c r="A184" s="2">
        <v>5.0</v>
      </c>
      <c r="B184" s="2" t="s">
        <v>619</v>
      </c>
      <c r="C184" s="2" t="s">
        <v>620</v>
      </c>
      <c r="D184" s="2" t="s">
        <v>42</v>
      </c>
      <c r="E184" s="2" t="s">
        <v>21</v>
      </c>
      <c r="F184" s="2" t="s">
        <v>15</v>
      </c>
      <c r="G184" s="2" t="s">
        <v>72</v>
      </c>
      <c r="H184" s="2" t="s">
        <v>72</v>
      </c>
      <c r="I184" s="2" t="str">
        <f>IFERROR(__xludf.DUMMYFUNCTION("GOOGLETRANSLATE(C184,""fr"",""en"")"),"I am very satisfied, the subscription is simple on the internet and very affordable prices. Access to the personal space is easy to use I recommend.")</f>
        <v>I am very satisfied, the subscription is simple on the internet and very affordable prices. Access to the personal space is easy to use I recommend.</v>
      </c>
    </row>
    <row r="185" ht="15.75" customHeight="1">
      <c r="A185" s="2">
        <v>4.0</v>
      </c>
      <c r="B185" s="2" t="s">
        <v>621</v>
      </c>
      <c r="C185" s="2" t="s">
        <v>622</v>
      </c>
      <c r="D185" s="2" t="s">
        <v>26</v>
      </c>
      <c r="E185" s="2" t="s">
        <v>129</v>
      </c>
      <c r="F185" s="2" t="s">
        <v>15</v>
      </c>
      <c r="G185" s="2" t="s">
        <v>623</v>
      </c>
      <c r="H185" s="2" t="s">
        <v>78</v>
      </c>
      <c r="I185" s="2" t="str">
        <f>IFERROR(__xludf.DUMMYFUNCTION("GOOGLETRANSLATE(C185,""fr"",""en"")"),"Loading...")</f>
        <v>Loading...</v>
      </c>
    </row>
    <row r="186" ht="15.75" customHeight="1">
      <c r="A186" s="2">
        <v>4.0</v>
      </c>
      <c r="B186" s="2" t="s">
        <v>624</v>
      </c>
      <c r="C186" s="2" t="s">
        <v>625</v>
      </c>
      <c r="D186" s="2" t="s">
        <v>62</v>
      </c>
      <c r="E186" s="2" t="s">
        <v>21</v>
      </c>
      <c r="F186" s="2" t="s">
        <v>15</v>
      </c>
      <c r="G186" s="2" t="s">
        <v>119</v>
      </c>
      <c r="H186" s="2" t="s">
        <v>59</v>
      </c>
      <c r="I186" s="2" t="str">
        <f>IFERROR(__xludf.DUMMYFUNCTION("GOOGLETRANSLATE(C186,""fr"",""en"")"),"Hello,
Very well ... very satisfied with the Blablasure services. Great availability for monitoring and questions concerning my contract and the terms of my insurance.
Cordially.Camille.")</f>
        <v>Hello,
Very well ... very satisfied with the Blablasure services. Great availability for monitoring and questions concerning my contract and the terms of my insurance.
Cordially.Camille.</v>
      </c>
    </row>
    <row r="187" ht="15.75" customHeight="1">
      <c r="A187" s="2">
        <v>3.0</v>
      </c>
      <c r="B187" s="2" t="s">
        <v>626</v>
      </c>
      <c r="C187" s="2" t="s">
        <v>627</v>
      </c>
      <c r="D187" s="2" t="s">
        <v>62</v>
      </c>
      <c r="E187" s="2" t="s">
        <v>21</v>
      </c>
      <c r="F187" s="2" t="s">
        <v>15</v>
      </c>
      <c r="G187" s="2" t="s">
        <v>615</v>
      </c>
      <c r="H187" s="2" t="s">
        <v>64</v>
      </c>
      <c r="I187" s="2" t="str">
        <f>IFERROR(__xludf.DUMMYFUNCTION("GOOGLETRANSLATE(C187,""fr"",""en"")"),"Loading...")</f>
        <v>Loading...</v>
      </c>
    </row>
    <row r="188" ht="15.75" customHeight="1">
      <c r="A188" s="2">
        <v>1.0</v>
      </c>
      <c r="B188" s="2" t="s">
        <v>628</v>
      </c>
      <c r="C188" s="2" t="s">
        <v>629</v>
      </c>
      <c r="D188" s="2" t="s">
        <v>368</v>
      </c>
      <c r="E188" s="2" t="s">
        <v>21</v>
      </c>
      <c r="F188" s="2" t="s">
        <v>15</v>
      </c>
      <c r="G188" s="2" t="s">
        <v>630</v>
      </c>
      <c r="H188" s="2" t="s">
        <v>631</v>
      </c>
      <c r="I188" s="2" t="str">
        <f>IFERROR(__xludf.DUMMYFUNCTION("GOOGLETRANSLATE(C188,""fr"",""en"")"),"Deplorable customer service Two email shipments No response The phone is a surcharged service of unheard of, for a simple request that would have allowed me to stay on contract with them we go to the termination of Hamon clause and I can tell you that if "&amp;"your direct debits After the termination you go to the trial I wonder even if in view of your ratings and your actions we will not pool our setbacks to launch a lawsuit for your company not to respond with a copied glued")</f>
        <v>Deplorable customer service Two email shipments No response The phone is a surcharged service of unheard of, for a simple request that would have allowed me to stay on contract with them we go to the termination of Hamon clause and I can tell you that if your direct debits After the termination you go to the trial I wonder even if in view of your ratings and your actions we will not pool our setbacks to launch a lawsuit for your company not to respond with a copied glued</v>
      </c>
    </row>
    <row r="189" ht="15.75" customHeight="1">
      <c r="A189" s="2">
        <v>5.0</v>
      </c>
      <c r="B189" s="2" t="s">
        <v>632</v>
      </c>
      <c r="C189" s="2" t="s">
        <v>633</v>
      </c>
      <c r="D189" s="2" t="s">
        <v>274</v>
      </c>
      <c r="E189" s="2" t="s">
        <v>14</v>
      </c>
      <c r="F189" s="2" t="s">
        <v>15</v>
      </c>
      <c r="G189" s="2" t="s">
        <v>634</v>
      </c>
      <c r="H189" s="2" t="s">
        <v>362</v>
      </c>
      <c r="I189" s="2" t="str">
        <f>IFERROR(__xludf.DUMMYFUNCTION("GOOGLETRANSLATE(C189,""fr"",""en"")"),"Mutual always listening, quickly meets my expectations. great I recommend. Quality price level we can always ask more, but better than others according to my professional situation.")</f>
        <v>Mutual always listening, quickly meets my expectations. great I recommend. Quality price level we can always ask more, but better than others according to my professional situation.</v>
      </c>
    </row>
    <row r="190" ht="15.75" customHeight="1">
      <c r="A190" s="2">
        <v>1.0</v>
      </c>
      <c r="B190" s="2" t="s">
        <v>635</v>
      </c>
      <c r="C190" s="2" t="s">
        <v>636</v>
      </c>
      <c r="D190" s="2" t="s">
        <v>637</v>
      </c>
      <c r="E190" s="2" t="s">
        <v>104</v>
      </c>
      <c r="F190" s="2" t="s">
        <v>15</v>
      </c>
      <c r="G190" s="2" t="s">
        <v>638</v>
      </c>
      <c r="H190" s="2" t="s">
        <v>287</v>
      </c>
      <c r="I190" s="2" t="str">
        <f>IFERROR(__xludf.DUMMYFUNCTION("GOOGLETRANSLATE(C190,""fr"",""en"")"),"The Carac does not respond to the recommended letters or telephone calls. They owe life insurance after the death of my parents. The so -called mediator seized on their site does not respond either. Alright more than 6 months soon 7 on my parents died. Al"&amp;"l the papers were sent. Do not rely on polished answers made after the reviews. It's just for readers they still don't move I already had this kind of answer on Google and no one contacted me.")</f>
        <v>The Carac does not respond to the recommended letters or telephone calls. They owe life insurance after the death of my parents. The so -called mediator seized on their site does not respond either. Alright more than 6 months soon 7 on my parents died. All the papers were sent. Do not rely on polished answers made after the reviews. It's just for readers they still don't move I already had this kind of answer on Google and no one contacted me.</v>
      </c>
    </row>
    <row r="191" ht="15.75" customHeight="1">
      <c r="A191" s="2">
        <v>1.0</v>
      </c>
      <c r="B191" s="2" t="s">
        <v>639</v>
      </c>
      <c r="C191" s="2" t="s">
        <v>640</v>
      </c>
      <c r="D191" s="2" t="s">
        <v>26</v>
      </c>
      <c r="E191" s="2" t="s">
        <v>21</v>
      </c>
      <c r="F191" s="2" t="s">
        <v>15</v>
      </c>
      <c r="G191" s="2" t="s">
        <v>641</v>
      </c>
      <c r="H191" s="2" t="s">
        <v>64</v>
      </c>
      <c r="I191" s="2" t="str">
        <f>IFERROR(__xludf.DUMMYFUNCTION("GOOGLETRANSLATE(C191,""fr"",""en"")"),"After a break in ice, in addition to the deductible expect a rate increase of 5.64 %.
Indeed, despite their television advertisement not to increase their price in 2021, I underwent this bonus increase.
Thus, I inquired with the competition, and despite"&amp;" a bonus beyond the 50 or 65% of bonuses, I will pay cheaper while being 50% of bonuses.
And in addition 2 months offered.
So I'm going to leave the Matmut after 29 years of loyalty.
Without regret.
")</f>
        <v>After a break in ice, in addition to the deductible expect a rate increase of 5.64 %.
Indeed, despite their television advertisement not to increase their price in 2021, I underwent this bonus increase.
Thus, I inquired with the competition, and despite a bonus beyond the 50 or 65% of bonuses, I will pay cheaper while being 50% of bonuses.
And in addition 2 months offered.
So I'm going to leave the Matmut after 29 years of loyalty.
Without regret.
</v>
      </c>
    </row>
    <row r="192" ht="15.75" customHeight="1">
      <c r="A192" s="2">
        <v>3.0</v>
      </c>
      <c r="B192" s="2" t="s">
        <v>642</v>
      </c>
      <c r="C192" s="2" t="s">
        <v>643</v>
      </c>
      <c r="D192" s="2" t="s">
        <v>183</v>
      </c>
      <c r="E192" s="2" t="s">
        <v>14</v>
      </c>
      <c r="F192" s="2" t="s">
        <v>15</v>
      </c>
      <c r="G192" s="2" t="s">
        <v>644</v>
      </c>
      <c r="H192" s="2" t="s">
        <v>39</v>
      </c>
      <c r="I192" s="2" t="str">
        <f>IFERROR(__xludf.DUMMYFUNCTION("GOOGLETRANSLATE(C192,""fr"",""en"")"),"Having no news of my requests for reimbursements PAE Le Bais de la account Neoliane, I made a telephone call on 10/26. The Amina advisor informed me that the site is currently in trouble. Why not make it appear? I had to return the documents with the SS s"&amp;"tatements. (waste of time)")</f>
        <v>Having no news of my requests for reimbursements PAE Le Bais de la account Neoliane, I made a telephone call on 10/26. The Amina advisor informed me that the site is currently in trouble. Why not make it appear? I had to return the documents with the SS statements. (waste of time)</v>
      </c>
    </row>
    <row r="193" ht="15.75" customHeight="1">
      <c r="A193" s="2">
        <v>3.0</v>
      </c>
      <c r="B193" s="2" t="s">
        <v>645</v>
      </c>
      <c r="C193" s="2" t="s">
        <v>646</v>
      </c>
      <c r="D193" s="2" t="s">
        <v>62</v>
      </c>
      <c r="E193" s="2" t="s">
        <v>21</v>
      </c>
      <c r="F193" s="2" t="s">
        <v>15</v>
      </c>
      <c r="G193" s="2" t="s">
        <v>647</v>
      </c>
      <c r="H193" s="2" t="s">
        <v>44</v>
      </c>
      <c r="I193" s="2" t="str">
        <f>IFERROR(__xludf.DUMMYFUNCTION("GOOGLETRANSLATE(C193,""fr"",""en"")"),"I have so far been rather satisfied, price, speed, services
I'm waiting to see the rest and the documents that we are going to ask, I think it's a game for which we should know before")</f>
        <v>I have so far been rather satisfied, price, speed, services
I'm waiting to see the rest and the documents that we are going to ask, I think it's a game for which we should know before</v>
      </c>
    </row>
    <row r="194" ht="15.75" customHeight="1">
      <c r="A194" s="2">
        <v>5.0</v>
      </c>
      <c r="B194" s="2" t="s">
        <v>648</v>
      </c>
      <c r="C194" s="2" t="s">
        <v>649</v>
      </c>
      <c r="D194" s="2" t="s">
        <v>31</v>
      </c>
      <c r="E194" s="2" t="s">
        <v>32</v>
      </c>
      <c r="F194" s="2" t="s">
        <v>15</v>
      </c>
      <c r="G194" s="2" t="s">
        <v>650</v>
      </c>
      <c r="H194" s="2" t="s">
        <v>44</v>
      </c>
      <c r="I194" s="2" t="str">
        <f>IFERROR(__xludf.DUMMYFUNCTION("GOOGLETRANSLATE(C194,""fr"",""en"")"),"I am satisfied with your offer and very attractive prices and especially for the quality of fast and efficient service, I wish you a good day thank you very much and see you soon")</f>
        <v>I am satisfied with your offer and very attractive prices and especially for the quality of fast and efficient service, I wish you a good day thank you very much and see you soon</v>
      </c>
    </row>
    <row r="195" ht="15.75" customHeight="1">
      <c r="A195" s="2">
        <v>4.0</v>
      </c>
      <c r="B195" s="2" t="s">
        <v>651</v>
      </c>
      <c r="C195" s="2" t="s">
        <v>652</v>
      </c>
      <c r="D195" s="2" t="s">
        <v>62</v>
      </c>
      <c r="E195" s="2" t="s">
        <v>21</v>
      </c>
      <c r="F195" s="2" t="s">
        <v>15</v>
      </c>
      <c r="G195" s="2" t="s">
        <v>172</v>
      </c>
      <c r="H195" s="2" t="s">
        <v>64</v>
      </c>
      <c r="I195" s="2" t="str">
        <f>IFERROR(__xludf.DUMMYFUNCTION("GOOGLETRANSLATE(C195,""fr"",""en"")"),"Loading...")</f>
        <v>Loading...</v>
      </c>
    </row>
    <row r="196" ht="15.75" customHeight="1">
      <c r="A196" s="2">
        <v>1.0</v>
      </c>
      <c r="B196" s="2" t="s">
        <v>653</v>
      </c>
      <c r="C196" s="2" t="s">
        <v>654</v>
      </c>
      <c r="D196" s="2" t="s">
        <v>183</v>
      </c>
      <c r="E196" s="2" t="s">
        <v>14</v>
      </c>
      <c r="F196" s="2" t="s">
        <v>15</v>
      </c>
      <c r="G196" s="2" t="s">
        <v>644</v>
      </c>
      <c r="H196" s="2" t="s">
        <v>34</v>
      </c>
      <c r="I196" s="2" t="str">
        <f>IFERROR(__xludf.DUMMYFUNCTION("GOOGLETRANSLATE(C196,""fr"",""en"")"),"Having received a call in May 2021 from a Neoliane broker offering us a mutual for our family.
We ask him to make a quote on good insurance concerning orthodontics.
To date people do not answer us on the phone they are unreachable and we are reimbursed "&amp;"for a few euros on care.
Do not get it for them are liars and lets you fall without even finding a solution. I greatly advise you to avoid Neoliane.")</f>
        <v>Having received a call in May 2021 from a Neoliane broker offering us a mutual for our family.
We ask him to make a quote on good insurance concerning orthodontics.
To date people do not answer us on the phone they are unreachable and we are reimbursed for a few euros on care.
Do not get it for them are liars and lets you fall without even finding a solution. I greatly advise you to avoid Neoliane.</v>
      </c>
    </row>
    <row r="197" ht="15.75" customHeight="1">
      <c r="A197" s="2">
        <v>5.0</v>
      </c>
      <c r="B197" s="2" t="s">
        <v>655</v>
      </c>
      <c r="C197" s="2" t="s">
        <v>656</v>
      </c>
      <c r="D197" s="2" t="s">
        <v>62</v>
      </c>
      <c r="E197" s="2" t="s">
        <v>21</v>
      </c>
      <c r="F197" s="2" t="s">
        <v>15</v>
      </c>
      <c r="G197" s="2" t="s">
        <v>657</v>
      </c>
      <c r="H197" s="2" t="s">
        <v>123</v>
      </c>
      <c r="I197" s="2" t="str">
        <f>IFERROR(__xludf.DUMMYFUNCTION("GOOGLETRANSLATE(C197,""fr"",""en"")"),"Very interesting rates level. Insurance recommended by friends, I just ensured my Clio 2.
I intend to ensure my other cars afterwards if I am satisfied in the long term")</f>
        <v>Very interesting rates level. Insurance recommended by friends, I just ensured my Clio 2.
I intend to ensure my other cars afterwards if I am satisfied in the long term</v>
      </c>
    </row>
    <row r="198" ht="15.75" customHeight="1">
      <c r="A198" s="2">
        <v>5.0</v>
      </c>
      <c r="B198" s="2" t="s">
        <v>658</v>
      </c>
      <c r="C198" s="2" t="s">
        <v>659</v>
      </c>
      <c r="D198" s="2" t="s">
        <v>62</v>
      </c>
      <c r="E198" s="2" t="s">
        <v>21</v>
      </c>
      <c r="F198" s="2" t="s">
        <v>15</v>
      </c>
      <c r="G198" s="2" t="s">
        <v>660</v>
      </c>
      <c r="H198" s="2" t="s">
        <v>59</v>
      </c>
      <c r="I198" s="2" t="str">
        <f>IFERROR(__xludf.DUMMYFUNCTION("GOOGLETRANSLATE(C198,""fr"",""en"")"),"Simple, fast and rather correct price and option! Thank you for these quotes and the associated explanations. The options always hesitate but a happy medium has been found :)")</f>
        <v>Simple, fast and rather correct price and option! Thank you for these quotes and the associated explanations. The options always hesitate but a happy medium has been found :)</v>
      </c>
    </row>
    <row r="199" ht="15.75" customHeight="1">
      <c r="A199" s="2">
        <v>2.0</v>
      </c>
      <c r="B199" s="2" t="s">
        <v>661</v>
      </c>
      <c r="C199" s="2" t="s">
        <v>662</v>
      </c>
      <c r="D199" s="2" t="s">
        <v>57</v>
      </c>
      <c r="E199" s="2" t="s">
        <v>14</v>
      </c>
      <c r="F199" s="2" t="s">
        <v>15</v>
      </c>
      <c r="G199" s="2" t="s">
        <v>663</v>
      </c>
      <c r="H199" s="2" t="s">
        <v>64</v>
      </c>
      <c r="I199" s="2" t="str">
        <f>IFERROR(__xludf.DUMMYFUNCTION("GOOGLETRANSLATE(C199,""fr"",""en"")"),"Loading...")</f>
        <v>Loading...</v>
      </c>
    </row>
    <row r="200" ht="15.75" customHeight="1">
      <c r="A200" s="2">
        <v>3.0</v>
      </c>
      <c r="B200" s="2" t="s">
        <v>664</v>
      </c>
      <c r="C200" s="2" t="s">
        <v>665</v>
      </c>
      <c r="D200" s="2" t="s">
        <v>418</v>
      </c>
      <c r="E200" s="2" t="s">
        <v>76</v>
      </c>
      <c r="F200" s="2" t="s">
        <v>15</v>
      </c>
      <c r="G200" s="2" t="s">
        <v>361</v>
      </c>
      <c r="H200" s="2" t="s">
        <v>362</v>
      </c>
      <c r="I200" s="2" t="str">
        <f>IFERROR(__xludf.DUMMYFUNCTION("GOOGLETRANSLATE(C200,""fr"",""en"")"),"Satisfied, efficient communication by email. Looking forward to reaching advisers by phone. Also pending the responsiveness of the advisers")</f>
        <v>Satisfied, efficient communication by email. Looking forward to reaching advisers by phone. Also pending the responsiveness of the advisers</v>
      </c>
    </row>
    <row r="201" ht="15.75" customHeight="1">
      <c r="A201" s="2">
        <v>4.0</v>
      </c>
      <c r="B201" s="2" t="s">
        <v>666</v>
      </c>
      <c r="C201" s="2" t="s">
        <v>667</v>
      </c>
      <c r="D201" s="2" t="s">
        <v>42</v>
      </c>
      <c r="E201" s="2" t="s">
        <v>21</v>
      </c>
      <c r="F201" s="2" t="s">
        <v>15</v>
      </c>
      <c r="G201" s="2" t="s">
        <v>668</v>
      </c>
      <c r="H201" s="2" t="s">
        <v>39</v>
      </c>
      <c r="I201" s="2" t="str">
        <f>IFERROR(__xludf.DUMMYFUNCTION("GOOGLETRANSLATE(C201,""fr"",""en"")"),"Loading...")</f>
        <v>Loading...</v>
      </c>
    </row>
    <row r="202" ht="15.75" customHeight="1">
      <c r="A202" s="2">
        <v>4.0</v>
      </c>
      <c r="B202" s="2" t="s">
        <v>669</v>
      </c>
      <c r="C202" s="2" t="s">
        <v>670</v>
      </c>
      <c r="D202" s="2" t="s">
        <v>42</v>
      </c>
      <c r="E202" s="2" t="s">
        <v>21</v>
      </c>
      <c r="F202" s="2" t="s">
        <v>15</v>
      </c>
      <c r="G202" s="2" t="s">
        <v>279</v>
      </c>
      <c r="H202" s="2" t="s">
        <v>54</v>
      </c>
      <c r="I202" s="2" t="str">
        <f>IFERROR(__xludf.DUMMYFUNCTION("GOOGLETRANSLATE(C202,""fr"",""en"")"),"The telephone reception is fast (no long wait), the staff are friendly and pro.
The prices are competitive.
Satisfied customer; I recommend")</f>
        <v>The telephone reception is fast (no long wait), the staff are friendly and pro.
The prices are competitive.
Satisfied customer; I recommend</v>
      </c>
    </row>
    <row r="203" ht="15.75" customHeight="1">
      <c r="A203" s="2">
        <v>4.0</v>
      </c>
      <c r="B203" s="2" t="s">
        <v>671</v>
      </c>
      <c r="C203" s="2" t="s">
        <v>672</v>
      </c>
      <c r="D203" s="2" t="s">
        <v>62</v>
      </c>
      <c r="E203" s="2" t="s">
        <v>21</v>
      </c>
      <c r="F203" s="2" t="s">
        <v>15</v>
      </c>
      <c r="G203" s="2" t="s">
        <v>241</v>
      </c>
      <c r="H203" s="2" t="s">
        <v>34</v>
      </c>
      <c r="I203" s="2" t="str">
        <f>IFERROR(__xludf.DUMMYFUNCTION("GOOGLETRANSLATE(C203,""fr"",""en"")"),"Loading...")</f>
        <v>Loading...</v>
      </c>
    </row>
    <row r="204" ht="15.75" customHeight="1">
      <c r="A204" s="2">
        <v>1.0</v>
      </c>
      <c r="B204" s="2" t="s">
        <v>673</v>
      </c>
      <c r="C204" s="2" t="s">
        <v>674</v>
      </c>
      <c r="D204" s="2" t="s">
        <v>13</v>
      </c>
      <c r="E204" s="2" t="s">
        <v>14</v>
      </c>
      <c r="F204" s="2" t="s">
        <v>15</v>
      </c>
      <c r="G204" s="2" t="s">
        <v>675</v>
      </c>
      <c r="H204" s="2" t="s">
        <v>362</v>
      </c>
      <c r="I204" s="2" t="str">
        <f>IFERROR(__xludf.DUMMYFUNCTION("GOOGLETRANSLATE(C204,""fr"",""en"")"),"Deplorable! To flee absolutely!
My wife's contract with Mgen Solutions, which she had contracted as part of her job, ended on April 19, 2019. Despite this, MGEN continued to take the deadlines for the following two months.
After two recommended letters "&amp;"with AR (formal notice to reimburse us too perceived) three emails, and approximately ten telephone calls on the usual telephone platform which indicates to you, with each call, that it sends An urgent request to the service concerned ... We are always wi"&amp;"thout news from our file ... We have never been contacted after this multitude of steps ...
We are now in January 2021 and we have still not been reimbursed for 500 euros too collected.
Non -existent customer service! No follow -up of files and requests"&amp;".
Absolutely avoid this mutual health insurance !!
")</f>
        <v>Deplorable! To flee absolutely!
My wife's contract with Mgen Solutions, which she had contracted as part of her job, ended on April 19, 2019. Despite this, MGEN continued to take the deadlines for the following two months.
After two recommended letters with AR (formal notice to reimburse us too perceived) three emails, and approximately ten telephone calls on the usual telephone platform which indicates to you, with each call, that it sends An urgent request to the service concerned ... We are always without news from our file ... We have never been contacted after this multitude of steps ...
We are now in January 2021 and we have still not been reimbursed for 500 euros too collected.
Non -existent customer service! No follow -up of files and requests.
Absolutely avoid this mutual health insurance !!
</v>
      </c>
    </row>
    <row r="205" ht="15.75" customHeight="1">
      <c r="A205" s="2">
        <v>1.0</v>
      </c>
      <c r="B205" s="2" t="s">
        <v>676</v>
      </c>
      <c r="C205" s="2" t="s">
        <v>677</v>
      </c>
      <c r="D205" s="2" t="s">
        <v>62</v>
      </c>
      <c r="E205" s="2" t="s">
        <v>21</v>
      </c>
      <c r="F205" s="2" t="s">
        <v>15</v>
      </c>
      <c r="G205" s="2" t="s">
        <v>678</v>
      </c>
      <c r="H205" s="2" t="s">
        <v>59</v>
      </c>
      <c r="I205" s="2" t="str">
        <f>IFERROR(__xludf.DUMMYFUNCTION("GOOGLETRANSLATE(C205,""fr"",""en"")"),"Loading...")</f>
        <v>Loading...</v>
      </c>
    </row>
    <row r="206" ht="15.75" customHeight="1">
      <c r="A206" s="2">
        <v>5.0</v>
      </c>
      <c r="B206" s="2" t="s">
        <v>679</v>
      </c>
      <c r="C206" s="2" t="s">
        <v>680</v>
      </c>
      <c r="D206" s="2" t="s">
        <v>42</v>
      </c>
      <c r="E206" s="2" t="s">
        <v>21</v>
      </c>
      <c r="F206" s="2" t="s">
        <v>15</v>
      </c>
      <c r="G206" s="2" t="s">
        <v>437</v>
      </c>
      <c r="H206" s="2" t="s">
        <v>72</v>
      </c>
      <c r="I206" s="2" t="str">
        <f>IFERROR(__xludf.DUMMYFUNCTION("GOOGLETRANSLATE(C206,""fr"",""en"")"),"The sending of the quote and the signing of the online contract are rapid;
I am satisfied with the service.
The prices are attractive.
The procedures for exchange and contact via the web space are practical and well explained")</f>
        <v>The sending of the quote and the signing of the online contract are rapid;
I am satisfied with the service.
The prices are attractive.
The procedures for exchange and contact via the web space are practical and well explained</v>
      </c>
    </row>
    <row r="207" ht="15.75" customHeight="1">
      <c r="A207" s="2">
        <v>5.0</v>
      </c>
      <c r="B207" s="2" t="s">
        <v>681</v>
      </c>
      <c r="C207" s="2" t="s">
        <v>682</v>
      </c>
      <c r="D207" s="2" t="s">
        <v>67</v>
      </c>
      <c r="E207" s="2" t="s">
        <v>32</v>
      </c>
      <c r="F207" s="2" t="s">
        <v>15</v>
      </c>
      <c r="G207" s="2" t="s">
        <v>228</v>
      </c>
      <c r="H207" s="2" t="s">
        <v>123</v>
      </c>
      <c r="I207" s="2" t="str">
        <f>IFERROR(__xludf.DUMMYFUNCTION("GOOGLETRANSLATE(C207,""fr"",""en"")"),"Loading...")</f>
        <v>Loading...</v>
      </c>
    </row>
    <row r="208" ht="15.75" customHeight="1">
      <c r="A208" s="2">
        <v>2.0</v>
      </c>
      <c r="B208" s="2" t="s">
        <v>683</v>
      </c>
      <c r="C208" s="2" t="s">
        <v>684</v>
      </c>
      <c r="D208" s="2" t="s">
        <v>368</v>
      </c>
      <c r="E208" s="2" t="s">
        <v>21</v>
      </c>
      <c r="F208" s="2" t="s">
        <v>15</v>
      </c>
      <c r="G208" s="2" t="s">
        <v>685</v>
      </c>
      <c r="H208" s="2" t="s">
        <v>23</v>
      </c>
      <c r="I208" s="2" t="str">
        <f>IFERROR(__xludf.DUMMYFUNCTION("GOOGLETRANSLATE(C208,""fr"",""en"")"),"My car was stolen on 08/31, 4 months after despite daily reminders, the regulations are still not made and better than that, the premiums continue to be withdrawn and will not be reimbursed. TO FLEE")</f>
        <v>My car was stolen on 08/31, 4 months after despite daily reminders, the regulations are still not made and better than that, the premiums continue to be withdrawn and will not be reimbursed. TO FLEE</v>
      </c>
    </row>
    <row r="209" ht="15.75" customHeight="1">
      <c r="A209" s="2">
        <v>5.0</v>
      </c>
      <c r="B209" s="2" t="s">
        <v>686</v>
      </c>
      <c r="C209" s="2" t="s">
        <v>687</v>
      </c>
      <c r="D209" s="2" t="s">
        <v>42</v>
      </c>
      <c r="E209" s="2" t="s">
        <v>21</v>
      </c>
      <c r="F209" s="2" t="s">
        <v>15</v>
      </c>
      <c r="G209" s="2" t="s">
        <v>688</v>
      </c>
      <c r="H209" s="2" t="s">
        <v>34</v>
      </c>
      <c r="I209" s="2" t="str">
        <f>IFERROR(__xludf.DUMMYFUNCTION("GOOGLETRANSLATE(C209,""fr"",""en"")"),"I am very satisfied with customer service, the advisers are really responsive and very kind. My file was processed quickly. Excellent value. I recommend !")</f>
        <v>I am very satisfied with customer service, the advisers are really responsive and very kind. My file was processed quickly. Excellent value. I recommend !</v>
      </c>
    </row>
    <row r="210" ht="15.75" customHeight="1">
      <c r="A210" s="2">
        <v>3.0</v>
      </c>
      <c r="B210" s="2" t="s">
        <v>689</v>
      </c>
      <c r="C210" s="2" t="s">
        <v>690</v>
      </c>
      <c r="D210" s="2" t="s">
        <v>42</v>
      </c>
      <c r="E210" s="2" t="s">
        <v>21</v>
      </c>
      <c r="F210" s="2" t="s">
        <v>15</v>
      </c>
      <c r="G210" s="2" t="s">
        <v>691</v>
      </c>
      <c r="H210" s="2" t="s">
        <v>34</v>
      </c>
      <c r="I210" s="2" t="str">
        <f>IFERROR(__xludf.DUMMYFUNCTION("GOOGLETRANSLATE(C210,""fr"",""en"")"),"I am satisfied with this service thus of the monthly price I am ready to recommend it to another person around me. Please agreer my greetings")</f>
        <v>I am satisfied with this service thus of the monthly price I am ready to recommend it to another person around me. Please agreer my greetings</v>
      </c>
    </row>
    <row r="211" ht="15.75" customHeight="1">
      <c r="A211" s="2">
        <v>4.0</v>
      </c>
      <c r="B211" s="2" t="s">
        <v>692</v>
      </c>
      <c r="C211" s="2" t="s">
        <v>693</v>
      </c>
      <c r="D211" s="2" t="s">
        <v>62</v>
      </c>
      <c r="E211" s="2" t="s">
        <v>21</v>
      </c>
      <c r="F211" s="2" t="s">
        <v>15</v>
      </c>
      <c r="G211" s="2" t="s">
        <v>694</v>
      </c>
      <c r="H211" s="2" t="s">
        <v>54</v>
      </c>
      <c r="I211" s="2" t="str">
        <f>IFERROR(__xludf.DUMMYFUNCTION("GOOGLETRANSLATE(C211,""fr"",""en"")"),"Content for the moment direct and YouDrive applications; We will then see once the car received if my expectations will be confirmed. The price seems interesting especially after the possible discounts promised by the Youdrive offer.")</f>
        <v>Content for the moment direct and YouDrive applications; We will then see once the car received if my expectations will be confirmed. The price seems interesting especially after the possible discounts promised by the Youdrive offer.</v>
      </c>
    </row>
    <row r="212" ht="15.75" customHeight="1">
      <c r="A212" s="2">
        <v>1.0</v>
      </c>
      <c r="B212" s="2" t="s">
        <v>695</v>
      </c>
      <c r="C212" s="2" t="s">
        <v>696</v>
      </c>
      <c r="D212" s="2" t="s">
        <v>62</v>
      </c>
      <c r="E212" s="2" t="s">
        <v>21</v>
      </c>
      <c r="F212" s="2" t="s">
        <v>15</v>
      </c>
      <c r="G212" s="2" t="s">
        <v>697</v>
      </c>
      <c r="H212" s="2" t="s">
        <v>698</v>
      </c>
      <c r="I212" s="2" t="str">
        <f>IFERROR(__xludf.DUMMYFUNCTION("GOOGLETRANSLATE(C212,""fr"",""en"")"),"I do not recommend this insurance.
I currently take steps to terminate.
Staff who does not always understand requests by phone and who provides erroneous answers.")</f>
        <v>I do not recommend this insurance.
I currently take steps to terminate.
Staff who does not always understand requests by phone and who provides erroneous answers.</v>
      </c>
    </row>
    <row r="213" ht="15.75" customHeight="1">
      <c r="A213" s="2">
        <v>4.0</v>
      </c>
      <c r="B213" s="2" t="s">
        <v>699</v>
      </c>
      <c r="C213" s="2" t="s">
        <v>700</v>
      </c>
      <c r="D213" s="2" t="s">
        <v>62</v>
      </c>
      <c r="E213" s="2" t="s">
        <v>21</v>
      </c>
      <c r="F213" s="2" t="s">
        <v>15</v>
      </c>
      <c r="G213" s="2" t="s">
        <v>701</v>
      </c>
      <c r="H213" s="2" t="s">
        <v>44</v>
      </c>
      <c r="I213" s="2" t="str">
        <f>IFERROR(__xludf.DUMMYFUNCTION("GOOGLETRANSLATE(C213,""fr"",""en"")"),"I am satisfied with customer service. The prices are affordable and attractive. Clear information and specify well. I am happy with the performance in general
")</f>
        <v>I am satisfied with customer service. The prices are affordable and attractive. Clear information and specify well. I am happy with the performance in general
</v>
      </c>
    </row>
    <row r="214" ht="15.75" customHeight="1">
      <c r="A214" s="2">
        <v>4.0</v>
      </c>
      <c r="B214" s="2" t="s">
        <v>702</v>
      </c>
      <c r="C214" s="2" t="s">
        <v>703</v>
      </c>
      <c r="D214" s="2" t="s">
        <v>42</v>
      </c>
      <c r="E214" s="2" t="s">
        <v>21</v>
      </c>
      <c r="F214" s="2" t="s">
        <v>15</v>
      </c>
      <c r="G214" s="2" t="s">
        <v>704</v>
      </c>
      <c r="H214" s="2" t="s">
        <v>34</v>
      </c>
      <c r="I214" s="2" t="str">
        <f>IFERROR(__xludf.DUMMYFUNCTION("GOOGLETRANSLATE(C214,""fr"",""en"")"),"Advisers always listening and pleasant in all situations, and support for step by step until the signing of my contract. I therefore recommend the olive assurances to all people who want to have self -insurance at competitive prices and to the human appro"&amp;"ach.")</f>
        <v>Advisers always listening and pleasant in all situations, and support for step by step until the signing of my contract. I therefore recommend the olive assurances to all people who want to have self -insurance at competitive prices and to the human approach.</v>
      </c>
    </row>
    <row r="215" ht="15.75" customHeight="1">
      <c r="A215" s="2">
        <v>3.0</v>
      </c>
      <c r="B215" s="2" t="s">
        <v>705</v>
      </c>
      <c r="C215" s="2" t="s">
        <v>706</v>
      </c>
      <c r="D215" s="2" t="s">
        <v>250</v>
      </c>
      <c r="E215" s="2" t="s">
        <v>21</v>
      </c>
      <c r="F215" s="2" t="s">
        <v>15</v>
      </c>
      <c r="G215" s="2" t="s">
        <v>707</v>
      </c>
      <c r="H215" s="2" t="s">
        <v>64</v>
      </c>
      <c r="I215" s="2" t="str">
        <f>IFERROR(__xludf.DUMMYFUNCTION("GOOGLETRANSLATE(C215,""fr"",""en"")"),"Loading...")</f>
        <v>Loading...</v>
      </c>
    </row>
    <row r="216" ht="15.75" customHeight="1">
      <c r="A216" s="2">
        <v>4.0</v>
      </c>
      <c r="B216" s="2" t="s">
        <v>708</v>
      </c>
      <c r="C216" s="2" t="s">
        <v>709</v>
      </c>
      <c r="D216" s="2" t="s">
        <v>62</v>
      </c>
      <c r="E216" s="2" t="s">
        <v>21</v>
      </c>
      <c r="F216" s="2" t="s">
        <v>15</v>
      </c>
      <c r="G216" s="2" t="s">
        <v>279</v>
      </c>
      <c r="H216" s="2" t="s">
        <v>54</v>
      </c>
      <c r="I216" s="2" t="str">
        <f>IFERROR(__xludf.DUMMYFUNCTION("GOOGLETRANSLATE(C216,""fr"",""en"")"),"Breakdown yesterday with my vehicle everything went well, a taxi brought me back to my home and the convenience store towed me and found a garage, all in two hours")</f>
        <v>Breakdown yesterday with my vehicle everything went well, a taxi brought me back to my home and the convenience store towed me and found a garage, all in two hours</v>
      </c>
    </row>
    <row r="217" ht="15.75" customHeight="1">
      <c r="A217" s="2">
        <v>5.0</v>
      </c>
      <c r="B217" s="2" t="s">
        <v>710</v>
      </c>
      <c r="C217" s="2" t="s">
        <v>711</v>
      </c>
      <c r="D217" s="2" t="s">
        <v>67</v>
      </c>
      <c r="E217" s="2" t="s">
        <v>32</v>
      </c>
      <c r="F217" s="2" t="s">
        <v>15</v>
      </c>
      <c r="G217" s="2" t="s">
        <v>712</v>
      </c>
      <c r="H217" s="2" t="s">
        <v>123</v>
      </c>
      <c r="I217" s="2" t="str">
        <f>IFERROR(__xludf.DUMMYFUNCTION("GOOGLETRANSLATE(C217,""fr"",""en"")"),"I am satisfied with the service offered to ensure my vehicle.
Excellent communication, very satisfactory customer service.
I recommend this service.")</f>
        <v>I am satisfied with the service offered to ensure my vehicle.
Excellent communication, very satisfactory customer service.
I recommend this service.</v>
      </c>
    </row>
    <row r="218" ht="15.75" customHeight="1">
      <c r="A218" s="2">
        <v>2.0</v>
      </c>
      <c r="B218" s="2" t="s">
        <v>713</v>
      </c>
      <c r="C218" s="2" t="s">
        <v>714</v>
      </c>
      <c r="D218" s="2" t="s">
        <v>137</v>
      </c>
      <c r="E218" s="2" t="s">
        <v>129</v>
      </c>
      <c r="F218" s="2" t="s">
        <v>15</v>
      </c>
      <c r="G218" s="2" t="s">
        <v>715</v>
      </c>
      <c r="H218" s="2" t="s">
        <v>716</v>
      </c>
      <c r="I218" s="2" t="str">
        <f>IFERROR(__xludf.DUMMYFUNCTION("GOOGLETRANSLATE(C218,""fr"",""en"")"),"In 2016 I declared a claim on my portal. Given the price of the franchise I took care of it. I put 4 back screws 15 eu of invoice .. the maaf did not tell me more end of the story. Today in March 2019 a storm tears me out of the wall where my gate is seal"&amp;"ed. I have for 1,200EU costs the maaf asks me to justify the 2016 repair except that a ticket of cash from 15th I did not keep it !! So he answers me that he will not reimburse me !! They never told me 3 years ago to report my repair. They never told me a"&amp;"nything and I paid for 3 years to come out today that he will not reimburse me, by what they do not know if it is the wind at 145km which broke the wall or my repair !!! For 3 years listening to them I stayed without a portal waiting for a storm to pass !"&amp;"! This insurance is ready to do anything so as not to compensate customers, it crashes our mouths. Tuesday I have an appointment with UFC consumer service !!! Years that I am with them with my family, she will no longer have a cents !!! Run away !!!")</f>
        <v>In 2016 I declared a claim on my portal. Given the price of the franchise I took care of it. I put 4 back screws 15 eu of invoice .. the maaf did not tell me more end of the story. Today in March 2019 a storm tears me out of the wall where my gate is sealed. I have for 1,200EU costs the maaf asks me to justify the 2016 repair except that a ticket of cash from 15th I did not keep it !! So he answers me that he will not reimburse me !! They never told me 3 years ago to report my repair. They never told me anything and I paid for 3 years to come out today that he will not reimburse me, by what they do not know if it is the wind at 145km which broke the wall or my repair !!! For 3 years listening to them I stayed without a portal waiting for a storm to pass !! This insurance is ready to do anything so as not to compensate customers, it crashes our mouths. Tuesday I have an appointment with UFC consumer service !!! Years that I am with them with my family, she will no longer have a cents !!! Run away !!!</v>
      </c>
    </row>
    <row r="219" ht="15.75" customHeight="1">
      <c r="A219" s="2">
        <v>4.0</v>
      </c>
      <c r="B219" s="2" t="s">
        <v>717</v>
      </c>
      <c r="C219" s="2" t="s">
        <v>718</v>
      </c>
      <c r="D219" s="2" t="s">
        <v>183</v>
      </c>
      <c r="E219" s="2" t="s">
        <v>14</v>
      </c>
      <c r="F219" s="2" t="s">
        <v>15</v>
      </c>
      <c r="G219" s="2" t="s">
        <v>719</v>
      </c>
      <c r="H219" s="2" t="s">
        <v>50</v>
      </c>
      <c r="I219" s="2" t="str">
        <f>IFERROR(__xludf.DUMMYFUNCTION("GOOGLETRANSLATE(C219,""fr"",""en"")"),"Loading...")</f>
        <v>Loading...</v>
      </c>
    </row>
    <row r="220" ht="15.75" customHeight="1">
      <c r="A220" s="2">
        <v>1.0</v>
      </c>
      <c r="B220" s="2" t="s">
        <v>720</v>
      </c>
      <c r="C220" s="2" t="s">
        <v>721</v>
      </c>
      <c r="D220" s="2" t="s">
        <v>42</v>
      </c>
      <c r="E220" s="2" t="s">
        <v>21</v>
      </c>
      <c r="F220" s="2" t="s">
        <v>15</v>
      </c>
      <c r="G220" s="2" t="s">
        <v>722</v>
      </c>
      <c r="H220" s="2" t="s">
        <v>723</v>
      </c>
      <c r="I220" s="2" t="str">
        <f>IFERROR(__xludf.DUMMYFUNCTION("GOOGLETRANSLATE(C220,""fr"",""en"")"),"This insurer is to be avoided at all costs. I had a claim in October 2017 not responsible (an agent of the town hall fractures a window) and I had to make the advance of the deposit on this disaster. This advance 2 and a half months later is always due to"&amp;" me. At the time of the renewal of my contract, it increased by 20%. Having not had any trouble finding another insurance, and having terminated it on time, the olive tree not only debited me before the date of renewal of the contract, against my sandston"&amp;"e being given that the contract was Tented and of course they don't want to know anything.")</f>
        <v>This insurer is to be avoided at all costs. I had a claim in October 2017 not responsible (an agent of the town hall fractures a window) and I had to make the advance of the deposit on this disaster. This advance 2 and a half months later is always due to me. At the time of the renewal of my contract, it increased by 20%. Having not had any trouble finding another insurance, and having terminated it on time, the olive tree not only debited me before the date of renewal of the contract, against my sandstone being given that the contract was Tented and of course they don't want to know anything.</v>
      </c>
    </row>
    <row r="221" ht="15.75" customHeight="1">
      <c r="A221" s="2">
        <v>3.0</v>
      </c>
      <c r="B221" s="2" t="s">
        <v>724</v>
      </c>
      <c r="C221" s="2" t="s">
        <v>725</v>
      </c>
      <c r="D221" s="2" t="s">
        <v>42</v>
      </c>
      <c r="E221" s="2" t="s">
        <v>21</v>
      </c>
      <c r="F221" s="2" t="s">
        <v>15</v>
      </c>
      <c r="G221" s="2" t="s">
        <v>726</v>
      </c>
      <c r="H221" s="2" t="s">
        <v>113</v>
      </c>
      <c r="I221" s="2" t="str">
        <f>IFERROR(__xludf.DUMMYFUNCTION("GOOGLETRANSLATE(C221,""fr"",""en"")"),"Hello,
Following a breakdown on Saturday evening 8:00 p.m. my vehicle was taken care of by a tow truck.
Europe Assistance Mandated by Insurance L’Olivier La Tourqué to the nearest garage.
The adventure for me stops there no replacement vehicle no taxi "&amp;"to return to my accommodation 100 km from my home and no hotel night.
My loved ones had to go and return to get me 200 km and finally lying at 2 am.
Pending no vehicle despite this option provided for in my contract.
In addition, a repair quote for 100"&amp;"0 euros for a simple defective candle.
So you will understand very disappointed by these dream sellers supposedly cheaper who abandons you by the road.
They really have no scruples they only want your money.
For me it's over I prefer to pay a little mo"&amp;"re expensive and be well assured.")</f>
        <v>Hello,
Following a breakdown on Saturday evening 8:00 p.m. my vehicle was taken care of by a tow truck.
Europe Assistance Mandated by Insurance L’Olivier La Tourqué to the nearest garage.
The adventure for me stops there no replacement vehicle no taxi to return to my accommodation 100 km from my home and no hotel night.
My loved ones had to go and return to get me 200 km and finally lying at 2 am.
Pending no vehicle despite this option provided for in my contract.
In addition, a repair quote for 1000 euros for a simple defective candle.
So you will understand very disappointed by these dream sellers supposedly cheaper who abandons you by the road.
They really have no scruples they only want your money.
For me it's over I prefer to pay a little more expensive and be well assured.</v>
      </c>
    </row>
    <row r="222" ht="15.75" customHeight="1">
      <c r="A222" s="2">
        <v>3.0</v>
      </c>
      <c r="B222" s="2" t="s">
        <v>727</v>
      </c>
      <c r="C222" s="2" t="s">
        <v>728</v>
      </c>
      <c r="D222" s="2" t="s">
        <v>62</v>
      </c>
      <c r="E222" s="2" t="s">
        <v>21</v>
      </c>
      <c r="F222" s="2" t="s">
        <v>15</v>
      </c>
      <c r="G222" s="2" t="s">
        <v>282</v>
      </c>
      <c r="H222" s="2" t="s">
        <v>123</v>
      </c>
      <c r="I222" s="2" t="str">
        <f>IFERROR(__xludf.DUMMYFUNCTION("GOOGLETRANSLATE(C222,""fr"",""en"")"),"I had received a promo code of 80 euros but I cannot return it.
I decided to become a customer again because the prices are attractive even if I would have liked my discount of 80 euros to be applied")</f>
        <v>I had received a promo code of 80 euros but I cannot return it.
I decided to become a customer again because the prices are attractive even if I would have liked my discount of 80 euros to be applied</v>
      </c>
    </row>
    <row r="223" ht="15.75" customHeight="1">
      <c r="A223" s="2">
        <v>5.0</v>
      </c>
      <c r="B223" s="2" t="s">
        <v>729</v>
      </c>
      <c r="C223" s="2" t="s">
        <v>730</v>
      </c>
      <c r="D223" s="2" t="s">
        <v>20</v>
      </c>
      <c r="E223" s="2" t="s">
        <v>21</v>
      </c>
      <c r="F223" s="2" t="s">
        <v>15</v>
      </c>
      <c r="G223" s="2" t="s">
        <v>731</v>
      </c>
      <c r="H223" s="2" t="s">
        <v>59</v>
      </c>
      <c r="I223" s="2" t="str">
        <f>IFERROR(__xludf.DUMMYFUNCTION("GOOGLETRANSLATE(C223,""fr"",""en"")"),"I am completely satisfied with the GMF. The answers are always fast and precise. The quality of service seems excellent for prices that remain reasonable")</f>
        <v>I am completely satisfied with the GMF. The answers are always fast and precise. The quality of service seems excellent for prices that remain reasonable</v>
      </c>
    </row>
    <row r="224" ht="15.75" customHeight="1">
      <c r="A224" s="2">
        <v>1.0</v>
      </c>
      <c r="B224" s="2" t="s">
        <v>732</v>
      </c>
      <c r="C224" s="2" t="s">
        <v>733</v>
      </c>
      <c r="D224" s="2" t="s">
        <v>255</v>
      </c>
      <c r="E224" s="2" t="s">
        <v>21</v>
      </c>
      <c r="F224" s="2" t="s">
        <v>15</v>
      </c>
      <c r="G224" s="2" t="s">
        <v>575</v>
      </c>
      <c r="H224" s="2" t="s">
        <v>266</v>
      </c>
      <c r="I224" s="2" t="str">
        <f>IFERROR(__xludf.DUMMYFUNCTION("GOOGLETRANSLATE(C224,""fr"",""en"")"),"I wonder even if I will not terminate all my contracts at home
Total disappointment !!!!!
In every way and for all contracts in particular compared to the amount of contributions
And especially in relation to my death insurance contract I have it 1 lit"&amp;"tle of a way I found it shameful !!!!
In short, it may move in the coming days here !!!!!")</f>
        <v>I wonder even if I will not terminate all my contracts at home
Total disappointment !!!!!
In every way and for all contracts in particular compared to the amount of contributions
And especially in relation to my death insurance contract I have it 1 little of a way I found it shameful !!!!
In short, it may move in the coming days here !!!!!</v>
      </c>
    </row>
    <row r="225" ht="15.75" customHeight="1">
      <c r="A225" s="2">
        <v>1.0</v>
      </c>
      <c r="B225" s="2" t="s">
        <v>734</v>
      </c>
      <c r="C225" s="2" t="s">
        <v>735</v>
      </c>
      <c r="D225" s="2" t="s">
        <v>250</v>
      </c>
      <c r="E225" s="2" t="s">
        <v>32</v>
      </c>
      <c r="F225" s="2" t="s">
        <v>15</v>
      </c>
      <c r="G225" s="2" t="s">
        <v>736</v>
      </c>
      <c r="H225" s="2" t="s">
        <v>737</v>
      </c>
      <c r="I225" s="2" t="str">
        <f>IFERROR(__xludf.DUMMYFUNCTION("GOOGLETRANSLATE(C225,""fr"",""en"")"),"1 and a half years and we are still waiting for the Macif facing his work our son had a motorcycle accident at a hole in the shoeus which was not reporting we are still waiting and still.")</f>
        <v>1 and a half years and we are still waiting for the Macif facing his work our son had a motorcycle accident at a hole in the shoeus which was not reporting we are still waiting and still.</v>
      </c>
    </row>
    <row r="226" ht="15.75" customHeight="1">
      <c r="A226" s="2">
        <v>1.0</v>
      </c>
      <c r="B226" s="2" t="s">
        <v>738</v>
      </c>
      <c r="C226" s="2" t="s">
        <v>739</v>
      </c>
      <c r="D226" s="2" t="s">
        <v>62</v>
      </c>
      <c r="E226" s="2" t="s">
        <v>21</v>
      </c>
      <c r="F226" s="2" t="s">
        <v>15</v>
      </c>
      <c r="G226" s="2" t="s">
        <v>740</v>
      </c>
      <c r="H226" s="2" t="s">
        <v>608</v>
      </c>
      <c r="I226" s="2" t="str">
        <f>IFERROR(__xludf.DUMMYFUNCTION("GOOGLETRANSLATE(C226,""fr"",""en"")"),"Very limited insurance: the costs are just 10% lower (approximately) to the cheapest on the market but with the quality of the very much lower service. It is a profitable company few structural charges (so be careful) and a telephone system that reports ("&amp;"the numbers are not surcharged but well paid, they play on waiting time ...). We do not have one for your money, it is better to pay 10% more and be sure to have a competent service")</f>
        <v>Very limited insurance: the costs are just 10% lower (approximately) to the cheapest on the market but with the quality of the very much lower service. It is a profitable company few structural charges (so be careful) and a telephone system that reports (the numbers are not surcharged but well paid, they play on waiting time ...). We do not have one for your money, it is better to pay 10% more and be sure to have a competent service</v>
      </c>
    </row>
    <row r="227" ht="15.75" customHeight="1">
      <c r="A227" s="2">
        <v>3.0</v>
      </c>
      <c r="B227" s="2" t="s">
        <v>741</v>
      </c>
      <c r="C227" s="2" t="s">
        <v>742</v>
      </c>
      <c r="D227" s="2" t="s">
        <v>62</v>
      </c>
      <c r="E227" s="2" t="s">
        <v>21</v>
      </c>
      <c r="F227" s="2" t="s">
        <v>15</v>
      </c>
      <c r="G227" s="2" t="s">
        <v>743</v>
      </c>
      <c r="H227" s="2" t="s">
        <v>64</v>
      </c>
      <c r="I227" s="2" t="str">
        <f>IFERROR(__xludf.DUMMYFUNCTION("GOOGLETRANSLATE(C227,""fr"",""en"")"),"Loading...")</f>
        <v>Loading...</v>
      </c>
    </row>
    <row r="228" ht="15.75" customHeight="1">
      <c r="A228" s="2">
        <v>2.0</v>
      </c>
      <c r="B228" s="2" t="s">
        <v>744</v>
      </c>
      <c r="C228" s="2" t="s">
        <v>745</v>
      </c>
      <c r="D228" s="2" t="s">
        <v>368</v>
      </c>
      <c r="E228" s="2" t="s">
        <v>21</v>
      </c>
      <c r="F228" s="2" t="s">
        <v>15</v>
      </c>
      <c r="G228" s="2" t="s">
        <v>746</v>
      </c>
      <c r="H228" s="2" t="s">
        <v>252</v>
      </c>
      <c r="I228" s="2" t="str">
        <f>IFERROR(__xludf.DUMMYFUNCTION("GOOGLETRANSLATE(C228,""fr"",""en"")"),"I took insurance for a vehicle purchased at the end of August 2020, paid insurance for 1 year and at the end of September I sold this vehicle because I was very dissatisfied. I warned the sale of the sale, sent a letter as well as the transfer certificate"&amp;" on October 1, they had to reimburse me too much time to process the file. November 12 still not having their news I contact them and I am told that they were waiting for the final gray card (without having asked me by any means of contact whatsoever) and"&amp;" that is why 'They did not reimburse. Fortunately, I had kept a photo in copy of this gray card ... I send them, and since I am still waiting for my refund, we are on December 30, 2020 all the same ... so if with that I do not note them Not bad will have "&amp;"to explain to me why they wouldn't deserve it ???")</f>
        <v>I took insurance for a vehicle purchased at the end of August 2020, paid insurance for 1 year and at the end of September I sold this vehicle because I was very dissatisfied. I warned the sale of the sale, sent a letter as well as the transfer certificate on October 1, they had to reimburse me too much time to process the file. November 12 still not having their news I contact them and I am told that they were waiting for the final gray card (without having asked me by any means of contact whatsoever) and that is why 'They did not reimburse. Fortunately, I had kept a photo in copy of this gray card ... I send them, and since I am still waiting for my refund, we are on December 30, 2020 all the same ... so if with that I do not note them Not bad will have to explain to me why they wouldn't deserve it ???</v>
      </c>
    </row>
    <row r="229" ht="15.75" customHeight="1">
      <c r="A229" s="2">
        <v>1.0</v>
      </c>
      <c r="B229" s="2" t="s">
        <v>747</v>
      </c>
      <c r="C229" s="2" t="s">
        <v>748</v>
      </c>
      <c r="D229" s="2" t="s">
        <v>62</v>
      </c>
      <c r="E229" s="2" t="s">
        <v>21</v>
      </c>
      <c r="F229" s="2" t="s">
        <v>15</v>
      </c>
      <c r="G229" s="2" t="s">
        <v>498</v>
      </c>
      <c r="H229" s="2" t="s">
        <v>72</v>
      </c>
      <c r="I229" s="2" t="str">
        <f>IFERROR(__xludf.DUMMYFUNCTION("GOOGLETRANSLATE(C229,""fr"",""en"")"),"Loading...")</f>
        <v>Loading...</v>
      </c>
    </row>
    <row r="230" ht="15.75" customHeight="1">
      <c r="A230" s="2">
        <v>3.0</v>
      </c>
      <c r="B230" s="2" t="s">
        <v>749</v>
      </c>
      <c r="C230" s="2" t="s">
        <v>750</v>
      </c>
      <c r="D230" s="2" t="s">
        <v>133</v>
      </c>
      <c r="E230" s="2" t="s">
        <v>14</v>
      </c>
      <c r="F230" s="2" t="s">
        <v>15</v>
      </c>
      <c r="G230" s="2" t="s">
        <v>293</v>
      </c>
      <c r="H230" s="2" t="s">
        <v>34</v>
      </c>
      <c r="I230" s="2" t="str">
        <f>IFERROR(__xludf.DUMMYFUNCTION("GOOGLETRANSLATE(C230,""fr"",""en"")"),"Very disappointed with this insurance
Do not take as mutual
I have been asking for a document for 2 months still no answer and when I relaunch they know nothing ....")</f>
        <v>Very disappointed with this insurance
Do not take as mutual
I have been asking for a document for 2 months still no answer and when I relaunch they know nothing ....</v>
      </c>
    </row>
    <row r="231" ht="15.75" customHeight="1">
      <c r="A231" s="2">
        <v>2.0</v>
      </c>
      <c r="B231" s="2" t="s">
        <v>751</v>
      </c>
      <c r="C231" s="2" t="s">
        <v>752</v>
      </c>
      <c r="D231" s="2" t="s">
        <v>42</v>
      </c>
      <c r="E231" s="2" t="s">
        <v>21</v>
      </c>
      <c r="F231" s="2" t="s">
        <v>15</v>
      </c>
      <c r="G231" s="2" t="s">
        <v>753</v>
      </c>
      <c r="H231" s="2" t="s">
        <v>569</v>
      </c>
      <c r="I231" s="2" t="str">
        <f>IFERROR(__xludf.DUMMYFUNCTION("GOOGLETRANSLATE(C231,""fr"",""en"")"),"Loading...")</f>
        <v>Loading...</v>
      </c>
    </row>
    <row r="232" ht="15.75" customHeight="1">
      <c r="A232" s="2">
        <v>5.0</v>
      </c>
      <c r="B232" s="2" t="s">
        <v>754</v>
      </c>
      <c r="C232" s="2" t="s">
        <v>755</v>
      </c>
      <c r="D232" s="2" t="s">
        <v>42</v>
      </c>
      <c r="E232" s="2" t="s">
        <v>21</v>
      </c>
      <c r="F232" s="2" t="s">
        <v>15</v>
      </c>
      <c r="G232" s="2" t="s">
        <v>486</v>
      </c>
      <c r="H232" s="2" t="s">
        <v>59</v>
      </c>
      <c r="I232" s="2" t="str">
        <f>IFERROR(__xludf.DUMMYFUNCTION("GOOGLETRANSLATE(C232,""fr"",""en"")"),"fast demand and perfect website, very clear and easy to use
very fast insurer telephone call
I recommend the olive assurance")</f>
        <v>fast demand and perfect website, very clear and easy to use
very fast insurer telephone call
I recommend the olive assurance</v>
      </c>
    </row>
    <row r="233" ht="15.75" customHeight="1">
      <c r="A233" s="2">
        <v>5.0</v>
      </c>
      <c r="B233" s="2" t="s">
        <v>756</v>
      </c>
      <c r="C233" s="2" t="s">
        <v>757</v>
      </c>
      <c r="D233" s="2" t="s">
        <v>42</v>
      </c>
      <c r="E233" s="2" t="s">
        <v>21</v>
      </c>
      <c r="F233" s="2" t="s">
        <v>15</v>
      </c>
      <c r="G233" s="2" t="s">
        <v>758</v>
      </c>
      <c r="H233" s="2" t="s">
        <v>123</v>
      </c>
      <c r="I233" s="2" t="str">
        <f>IFERROR(__xludf.DUMMYFUNCTION("GOOGLETRANSLATE(C233,""fr"",""en"")"),"I am satisfied with the service the prices suit me, I will recommend this insurance. Available, reassuring, courteous advisor. Remains to be seen on the lag")</f>
        <v>I am satisfied with the service the prices suit me, I will recommend this insurance. Available, reassuring, courteous advisor. Remains to be seen on the lag</v>
      </c>
    </row>
    <row r="234" ht="15.75" customHeight="1">
      <c r="A234" s="2">
        <v>5.0</v>
      </c>
      <c r="B234" s="2" t="s">
        <v>759</v>
      </c>
      <c r="C234" s="2" t="s">
        <v>760</v>
      </c>
      <c r="D234" s="2" t="s">
        <v>42</v>
      </c>
      <c r="E234" s="2" t="s">
        <v>21</v>
      </c>
      <c r="F234" s="2" t="s">
        <v>15</v>
      </c>
      <c r="G234" s="2" t="s">
        <v>498</v>
      </c>
      <c r="H234" s="2" t="s">
        <v>72</v>
      </c>
      <c r="I234" s="2" t="str">
        <f>IFERROR(__xludf.DUMMYFUNCTION("GOOGLETRANSLATE(C234,""fr"",""en"")"),"Fast, practice, top telephone reception, a simple phone call to finalize the contract. Unbeatable prices given the services. No complaints, I recommend.")</f>
        <v>Fast, practice, top telephone reception, a simple phone call to finalize the contract. Unbeatable prices given the services. No complaints, I recommend.</v>
      </c>
    </row>
    <row r="235" ht="15.75" customHeight="1">
      <c r="A235" s="2">
        <v>5.0</v>
      </c>
      <c r="B235" s="2" t="s">
        <v>761</v>
      </c>
      <c r="C235" s="2" t="s">
        <v>762</v>
      </c>
      <c r="D235" s="2" t="s">
        <v>42</v>
      </c>
      <c r="E235" s="2" t="s">
        <v>21</v>
      </c>
      <c r="F235" s="2" t="s">
        <v>15</v>
      </c>
      <c r="G235" s="2" t="s">
        <v>763</v>
      </c>
      <c r="H235" s="2" t="s">
        <v>64</v>
      </c>
      <c r="I235" s="2" t="str">
        <f>IFERROR(__xludf.DUMMYFUNCTION("GOOGLETRANSLATE(C235,""fr"",""en"")"),"Loading...")</f>
        <v>Loading...</v>
      </c>
    </row>
    <row r="236" ht="15.75" customHeight="1">
      <c r="A236" s="2">
        <v>1.0</v>
      </c>
      <c r="B236" s="2" t="s">
        <v>764</v>
      </c>
      <c r="C236" s="2" t="s">
        <v>765</v>
      </c>
      <c r="D236" s="2" t="s">
        <v>57</v>
      </c>
      <c r="E236" s="2" t="s">
        <v>14</v>
      </c>
      <c r="F236" s="2" t="s">
        <v>15</v>
      </c>
      <c r="G236" s="2" t="s">
        <v>184</v>
      </c>
      <c r="H236" s="2" t="s">
        <v>185</v>
      </c>
      <c r="I236" s="2" t="str">
        <f>IFERROR(__xludf.DUMMYFUNCTION("GOOGLETRANSLATE(C236,""fr"",""en"")"),"does not respect our insurance contracts, does not allow us to obtain household aid when we are in chemo, and even less an ambulance when we have suffered an anesthesia, does not take into account our ALD")</f>
        <v>does not respect our insurance contracts, does not allow us to obtain household aid when we are in chemo, and even less an ambulance when we have suffered an anesthesia, does not take into account our ALD</v>
      </c>
    </row>
    <row r="237" ht="15.75" customHeight="1">
      <c r="A237" s="2">
        <v>5.0</v>
      </c>
      <c r="B237" s="2" t="s">
        <v>766</v>
      </c>
      <c r="C237" s="2" t="s">
        <v>767</v>
      </c>
      <c r="D237" s="2" t="s">
        <v>42</v>
      </c>
      <c r="E237" s="2" t="s">
        <v>21</v>
      </c>
      <c r="F237" s="2" t="s">
        <v>15</v>
      </c>
      <c r="G237" s="2" t="s">
        <v>768</v>
      </c>
      <c r="H237" s="2" t="s">
        <v>39</v>
      </c>
      <c r="I237" s="2" t="str">
        <f>IFERROR(__xludf.DUMMYFUNCTION("GOOGLETRANSLATE(C237,""fr"",""en"")"),"Loading...")</f>
        <v>Loading...</v>
      </c>
    </row>
    <row r="238" ht="15.75" customHeight="1">
      <c r="A238" s="2">
        <v>1.0</v>
      </c>
      <c r="B238" s="2" t="s">
        <v>769</v>
      </c>
      <c r="C238" s="2" t="s">
        <v>770</v>
      </c>
      <c r="D238" s="2" t="s">
        <v>196</v>
      </c>
      <c r="E238" s="2" t="s">
        <v>129</v>
      </c>
      <c r="F238" s="2" t="s">
        <v>15</v>
      </c>
      <c r="G238" s="2" t="s">
        <v>771</v>
      </c>
      <c r="H238" s="2" t="s">
        <v>141</v>
      </c>
      <c r="I238" s="2" t="str">
        <f>IFERROR(__xludf.DUMMYFUNCTION("GOOGLETRANSLATE(C238,""fr"",""en"")"),"Sinister wind storm torn off !! According to them that day in my town, the wind was blowing at 90 klm constant and does not take into account the gusts at more than 130 klm/h the insurance takes the damage into account from 100 klm/h constant
Incredible "&amp;"in more than 20 years of disaster insurance is incredible I will terminate my contract and change bank at the same time
Wake you up with these seller commissioning agricultural credit which are only there to sell you products")</f>
        <v>Sinister wind storm torn off !! According to them that day in my town, the wind was blowing at 90 klm constant and does not take into account the gusts at more than 130 klm/h the insurance takes the damage into account from 100 klm/h constant
Incredible in more than 20 years of disaster insurance is incredible I will terminate my contract and change bank at the same time
Wake you up with these seller commissioning agricultural credit which are only there to sell you products</v>
      </c>
    </row>
    <row r="239" ht="15.75" customHeight="1">
      <c r="A239" s="2">
        <v>5.0</v>
      </c>
      <c r="B239" s="2" t="s">
        <v>772</v>
      </c>
      <c r="C239" s="2" t="s">
        <v>773</v>
      </c>
      <c r="D239" s="2" t="s">
        <v>42</v>
      </c>
      <c r="E239" s="2" t="s">
        <v>21</v>
      </c>
      <c r="F239" s="2" t="s">
        <v>15</v>
      </c>
      <c r="G239" s="2" t="s">
        <v>774</v>
      </c>
      <c r="H239" s="2" t="s">
        <v>612</v>
      </c>
      <c r="I239" s="2" t="str">
        <f>IFERROR(__xludf.DUMMYFUNCTION("GOOGLETRANSLATE(C239,""fr"",""en"")"),"I am pleasantly surprised by this insurance I think price are good")</f>
        <v>I am pleasantly surprised by this insurance I think price are good</v>
      </c>
    </row>
    <row r="240" ht="15.75" customHeight="1">
      <c r="A240" s="2">
        <v>1.0</v>
      </c>
      <c r="B240" s="2" t="s">
        <v>775</v>
      </c>
      <c r="C240" s="2" t="s">
        <v>776</v>
      </c>
      <c r="D240" s="2" t="s">
        <v>269</v>
      </c>
      <c r="E240" s="2" t="s">
        <v>14</v>
      </c>
      <c r="F240" s="2" t="s">
        <v>15</v>
      </c>
      <c r="G240" s="2" t="s">
        <v>777</v>
      </c>
      <c r="H240" s="2" t="s">
        <v>78</v>
      </c>
      <c r="I240" s="2" t="str">
        <f>IFERROR(__xludf.DUMMYFUNCTION("GOOGLETRANSLATE(C240,""fr"",""en"")"),"To flee")</f>
        <v>To flee</v>
      </c>
    </row>
    <row r="241" ht="15.75" customHeight="1">
      <c r="A241" s="2">
        <v>5.0</v>
      </c>
      <c r="B241" s="2" t="s">
        <v>778</v>
      </c>
      <c r="C241" s="2" t="s">
        <v>779</v>
      </c>
      <c r="D241" s="2" t="s">
        <v>250</v>
      </c>
      <c r="E241" s="2" t="s">
        <v>129</v>
      </c>
      <c r="F241" s="2" t="s">
        <v>15</v>
      </c>
      <c r="G241" s="2" t="s">
        <v>780</v>
      </c>
      <c r="H241" s="2" t="s">
        <v>215</v>
      </c>
      <c r="I241" s="2" t="str">
        <f>IFERROR(__xludf.DUMMYFUNCTION("GOOGLETRANSLATE(C241,""fr"",""en"")"),"Hello customers Macif for 10 years and one day I have lost my job and the Macif my generously paying almost all of my insurance for two years I will never thank them enough credit mutual na never made a gesture for me before and that is for that I will ch"&amp;"ange my bank account at the Macif because they are really cheap for customers like me who nor checks and neither blue card and nor credit because credit mut really increase")</f>
        <v>Hello customers Macif for 10 years and one day I have lost my job and the Macif my generously paying almost all of my insurance for two years I will never thank them enough credit mutual na never made a gesture for me before and that is for that I will change my bank account at the Macif because they are really cheap for customers like me who nor checks and neither blue card and nor credit because credit mut really increase</v>
      </c>
    </row>
    <row r="242" ht="15.75" customHeight="1">
      <c r="A242" s="2">
        <v>4.0</v>
      </c>
      <c r="B242" s="2" t="s">
        <v>781</v>
      </c>
      <c r="C242" s="2" t="s">
        <v>782</v>
      </c>
      <c r="D242" s="2" t="s">
        <v>42</v>
      </c>
      <c r="E242" s="2" t="s">
        <v>21</v>
      </c>
      <c r="F242" s="2" t="s">
        <v>15</v>
      </c>
      <c r="G242" s="2" t="s">
        <v>783</v>
      </c>
      <c r="H242" s="2" t="s">
        <v>123</v>
      </c>
      <c r="I242" s="2" t="str">
        <f>IFERROR(__xludf.DUMMYFUNCTION("GOOGLETRANSLATE(C242,""fr"",""en"")"),"I am sastifite of prices and simplicity of the online offer
You must now see in practice if insurance is in accordance with demand")</f>
        <v>I am sastifite of prices and simplicity of the online offer
You must now see in practice if insurance is in accordance with demand</v>
      </c>
    </row>
    <row r="243" ht="15.75" customHeight="1">
      <c r="A243" s="2">
        <v>2.0</v>
      </c>
      <c r="B243" s="2" t="s">
        <v>784</v>
      </c>
      <c r="C243" s="2" t="s">
        <v>785</v>
      </c>
      <c r="D243" s="2" t="s">
        <v>250</v>
      </c>
      <c r="E243" s="2" t="s">
        <v>129</v>
      </c>
      <c r="F243" s="2" t="s">
        <v>15</v>
      </c>
      <c r="G243" s="2" t="s">
        <v>786</v>
      </c>
      <c r="H243" s="2" t="s">
        <v>92</v>
      </c>
      <c r="I243" s="2" t="str">
        <f>IFERROR(__xludf.DUMMYFUNCTION("GOOGLETRANSLATE(C243,""fr"",""en"")"),"Loading...")</f>
        <v>Loading...</v>
      </c>
    </row>
    <row r="244" ht="15.75" customHeight="1">
      <c r="A244" s="2">
        <v>3.0</v>
      </c>
      <c r="B244" s="2" t="s">
        <v>787</v>
      </c>
      <c r="C244" s="2" t="s">
        <v>788</v>
      </c>
      <c r="D244" s="2" t="s">
        <v>62</v>
      </c>
      <c r="E244" s="2" t="s">
        <v>21</v>
      </c>
      <c r="F244" s="2" t="s">
        <v>15</v>
      </c>
      <c r="G244" s="2" t="s">
        <v>386</v>
      </c>
      <c r="H244" s="2" t="s">
        <v>59</v>
      </c>
      <c r="I244" s="2" t="str">
        <f>IFERROR(__xludf.DUMMYFUNCTION("GOOGLETRANSLATE(C244,""fr"",""en"")"),"NO
Subscription from an application: send documents (information statement, gray card, identity card, etc.) impeccable.
On the other hand, they want photos of the vehicle and there everything complicates.
The Bug application: Impossible to take photos."&amp;" I manage to have a technician on July 5, 2021 after 3 or 4 call number, knowing that the contract was to be validated no later than July 7. We end up making the photos take.
On July 6, I realize that the contract is terminated. No advisor calls you to u"&amp;"nderstand the problem.
I call and of course we wait fifteen minutes to have an online advisor. He explains to you that the contract is terminated because they have not received the photos and that the electronic signature is not validated.
Morality: if "&amp;"at the subscription of a contract things are complicated then imagined the hassles in the event of a claim.
And when you tell the advisor")</f>
        <v>NO
Subscription from an application: send documents (information statement, gray card, identity card, etc.) impeccable.
On the other hand, they want photos of the vehicle and there everything complicates.
The Bug application: Impossible to take photos. I manage to have a technician on July 5, 2021 after 3 or 4 call number, knowing that the contract was to be validated no later than July 7. We end up making the photos take.
On July 6, I realize that the contract is terminated. No advisor calls you to understand the problem.
I call and of course we wait fifteen minutes to have an online advisor. He explains to you that the contract is terminated because they have not received the photos and that the electronic signature is not validated.
Morality: if at the subscription of a contract things are complicated then imagined the hassles in the event of a claim.
And when you tell the advisor</v>
      </c>
    </row>
    <row r="245" ht="15.75" customHeight="1">
      <c r="A245" s="2">
        <v>4.0</v>
      </c>
      <c r="B245" s="2" t="s">
        <v>789</v>
      </c>
      <c r="C245" s="2" t="s">
        <v>790</v>
      </c>
      <c r="D245" s="2" t="s">
        <v>133</v>
      </c>
      <c r="E245" s="2" t="s">
        <v>14</v>
      </c>
      <c r="F245" s="2" t="s">
        <v>15</v>
      </c>
      <c r="G245" s="2" t="s">
        <v>791</v>
      </c>
      <c r="H245" s="2" t="s">
        <v>631</v>
      </c>
      <c r="I245" s="2" t="str">
        <f>IFERROR(__xludf.DUMMYFUNCTION("GOOGLETRANSLATE(C245,""fr"",""en"")"),"Loading...")</f>
        <v>Loading...</v>
      </c>
    </row>
    <row r="246" ht="15.75" customHeight="1">
      <c r="A246" s="2">
        <v>1.0</v>
      </c>
      <c r="B246" s="2" t="s">
        <v>792</v>
      </c>
      <c r="C246" s="2" t="s">
        <v>793</v>
      </c>
      <c r="D246" s="2" t="s">
        <v>57</v>
      </c>
      <c r="E246" s="2" t="s">
        <v>14</v>
      </c>
      <c r="F246" s="2" t="s">
        <v>15</v>
      </c>
      <c r="G246" s="2" t="s">
        <v>307</v>
      </c>
      <c r="H246" s="2" t="s">
        <v>64</v>
      </c>
      <c r="I246" s="2" t="str">
        <f>IFERROR(__xludf.DUMMYFUNCTION("GOOGLETRANSLATE(C246,""fr"",""en"")"),"Since January 15 I have filed requests on the Cegema site, in order to know the reimbursement for a dental prosthesis. 15 days ago I tried to change glasses, but the optician fails to get in touch with Cegema, and that trying since February 16 every day.")</f>
        <v>Since January 15 I have filed requests on the Cegema site, in order to know the reimbursement for a dental prosthesis. 15 days ago I tried to change glasses, but the optician fails to get in touch with Cegema, and that trying since February 16 every day.</v>
      </c>
    </row>
    <row r="247" ht="15.75" customHeight="1">
      <c r="A247" s="2">
        <v>4.0</v>
      </c>
      <c r="B247" s="2" t="s">
        <v>794</v>
      </c>
      <c r="C247" s="2" t="s">
        <v>795</v>
      </c>
      <c r="D247" s="2" t="s">
        <v>42</v>
      </c>
      <c r="E247" s="2" t="s">
        <v>21</v>
      </c>
      <c r="F247" s="2" t="s">
        <v>15</v>
      </c>
      <c r="G247" s="2" t="s">
        <v>796</v>
      </c>
      <c r="H247" s="2" t="s">
        <v>44</v>
      </c>
      <c r="I247" s="2" t="str">
        <f>IFERROR(__xludf.DUMMYFUNCTION("GOOGLETRANSLATE(C247,""fr"",""en"")"),"Loading...")</f>
        <v>Loading...</v>
      </c>
    </row>
    <row r="248" ht="15.75" customHeight="1">
      <c r="A248" s="2">
        <v>1.0</v>
      </c>
      <c r="B248" s="2" t="s">
        <v>797</v>
      </c>
      <c r="C248" s="2" t="s">
        <v>798</v>
      </c>
      <c r="D248" s="2" t="s">
        <v>250</v>
      </c>
      <c r="E248" s="2" t="s">
        <v>129</v>
      </c>
      <c r="F248" s="2" t="s">
        <v>15</v>
      </c>
      <c r="G248" s="2" t="s">
        <v>422</v>
      </c>
      <c r="H248" s="2" t="s">
        <v>72</v>
      </c>
      <c r="I248" s="2" t="str">
        <f>IFERROR(__xludf.DUMMYFUNCTION("GOOGLETRANSLATE(C248,""fr"",""en"")"),"Impossibility of terminating my contract.
It's been 8 years that I have been at home, I decide to terminate because I move and I do not want to communicate the modalities of my move .... Result as long as I do not provide proof my short contract always, "&amp;"but It's worse than the abuse of a dominant position, roughly speaking, we don't solve you and that's it. But I never saw that. When it is to coax the customer to have it signed they are first on the other hand, customer service person, help no one, and e"&amp;"ven for termination must scroll through their life. But what is this shame is a shame the Macif, flee I tell you. It's really not normal to treat customers in this way")</f>
        <v>Impossibility of terminating my contract.
It's been 8 years that I have been at home, I decide to terminate because I move and I do not want to communicate the modalities of my move .... Result as long as I do not provide proof my short contract always, but It's worse than the abuse of a dominant position, roughly speaking, we don't solve you and that's it. But I never saw that. When it is to coax the customer to have it signed they are first on the other hand, customer service person, help no one, and even for termination must scroll through their life. But what is this shame is a shame the Macif, flee I tell you. It's really not normal to treat customers in this way</v>
      </c>
    </row>
    <row r="249" ht="15.75" customHeight="1">
      <c r="A249" s="2">
        <v>4.0</v>
      </c>
      <c r="B249" s="2" t="s">
        <v>799</v>
      </c>
      <c r="C249" s="2" t="s">
        <v>800</v>
      </c>
      <c r="D249" s="2" t="s">
        <v>62</v>
      </c>
      <c r="E249" s="2" t="s">
        <v>21</v>
      </c>
      <c r="F249" s="2" t="s">
        <v>15</v>
      </c>
      <c r="G249" s="2" t="s">
        <v>422</v>
      </c>
      <c r="H249" s="2" t="s">
        <v>72</v>
      </c>
      <c r="I249" s="2" t="str">
        <f>IFERROR(__xludf.DUMMYFUNCTION("GOOGLETRANSLATE(C249,""fr"",""en"")"),"Loading...")</f>
        <v>Loading...</v>
      </c>
    </row>
    <row r="250" ht="15.75" customHeight="1">
      <c r="A250" s="2">
        <v>5.0</v>
      </c>
      <c r="B250" s="2" t="s">
        <v>801</v>
      </c>
      <c r="C250" s="2" t="s">
        <v>802</v>
      </c>
      <c r="D250" s="2" t="s">
        <v>62</v>
      </c>
      <c r="E250" s="2" t="s">
        <v>21</v>
      </c>
      <c r="F250" s="2" t="s">
        <v>15</v>
      </c>
      <c r="G250" s="2" t="s">
        <v>803</v>
      </c>
      <c r="H250" s="2" t="s">
        <v>54</v>
      </c>
      <c r="I250" s="2" t="str">
        <f>IFERROR(__xludf.DUMMYFUNCTION("GOOGLETRANSLATE(C250,""fr"",""en"")"),"No problem, clear net and the price is very good, the difference is huge with regard to classic insurance ;;;;;;;; Try it; My daughter was at MM ... at the first request for a screw the change was quick")</f>
        <v>No problem, clear net and the price is very good, the difference is huge with regard to classic insurance ;;;;;;;; Try it; My daughter was at MM ... at the first request for a screw the change was quick</v>
      </c>
    </row>
    <row r="251" ht="15.75" customHeight="1">
      <c r="A251" s="2">
        <v>5.0</v>
      </c>
      <c r="B251" s="2" t="s">
        <v>804</v>
      </c>
      <c r="C251" s="2" t="s">
        <v>805</v>
      </c>
      <c r="D251" s="2" t="s">
        <v>42</v>
      </c>
      <c r="E251" s="2" t="s">
        <v>21</v>
      </c>
      <c r="F251" s="2" t="s">
        <v>15</v>
      </c>
      <c r="G251" s="2" t="s">
        <v>172</v>
      </c>
      <c r="H251" s="2" t="s">
        <v>64</v>
      </c>
      <c r="I251" s="2" t="str">
        <f>IFERROR(__xludf.DUMMYFUNCTION("GOOGLETRANSLATE(C251,""fr"",""en"")"),"Very simple formalities following a termination by another insurance, very correct price, even cheaper than my old insurance. Simplicity and efficiency")</f>
        <v>Very simple formalities following a termination by another insurance, very correct price, even cheaper than my old insurance. Simplicity and efficiency</v>
      </c>
    </row>
    <row r="252" ht="15.75" customHeight="1">
      <c r="A252" s="2">
        <v>1.0</v>
      </c>
      <c r="B252" s="2" t="s">
        <v>806</v>
      </c>
      <c r="C252" s="2" t="s">
        <v>807</v>
      </c>
      <c r="D252" s="2" t="s">
        <v>808</v>
      </c>
      <c r="E252" s="2" t="s">
        <v>76</v>
      </c>
      <c r="F252" s="2" t="s">
        <v>15</v>
      </c>
      <c r="G252" s="2" t="s">
        <v>809</v>
      </c>
      <c r="H252" s="2" t="s">
        <v>50</v>
      </c>
      <c r="I252" s="2" t="str">
        <f>IFERROR(__xludf.DUMMYFUNCTION("GOOGLETRANSLATE(C252,""fr"",""en"")"),"Hello
Horrible customer service. I have just renegotiated my bank loan to Crédit Agricole. So I sent the new schedule to Metlife to adjust my insurance. I had the answer that he was not able to complete the document asking by Crédit Agricole and that t"&amp;"heir software does not allow them to make a quote from the monthly amendment. In 2020 it is therefore possible that a society like this is unable to make a quote how is it possible ??? The only way to know the new monthly payment is to give my agreement f"&amp;"or the endorsement without knowing the price.
I’m not going to engage in an unknown sum that could make me lose the renegotiation of my loan.
But in view of other comments on termination difficulties I feel like I'm stuck")</f>
        <v>Hello
Horrible customer service. I have just renegotiated my bank loan to Crédit Agricole. So I sent the new schedule to Metlife to adjust my insurance. I had the answer that he was not able to complete the document asking by Crédit Agricole and that their software does not allow them to make a quote from the monthly amendment. In 2020 it is therefore possible that a society like this is unable to make a quote how is it possible ??? The only way to know the new monthly payment is to give my agreement for the endorsement without knowing the price.
I’m not going to engage in an unknown sum that could make me lose the renegotiation of my loan.
But in view of other comments on termination difficulties I feel like I'm stuck</v>
      </c>
    </row>
    <row r="253" ht="15.75" customHeight="1">
      <c r="A253" s="2">
        <v>5.0</v>
      </c>
      <c r="B253" s="2" t="s">
        <v>810</v>
      </c>
      <c r="C253" s="2" t="s">
        <v>811</v>
      </c>
      <c r="D253" s="2" t="s">
        <v>62</v>
      </c>
      <c r="E253" s="2" t="s">
        <v>21</v>
      </c>
      <c r="F253" s="2" t="s">
        <v>15</v>
      </c>
      <c r="G253" s="2" t="s">
        <v>442</v>
      </c>
      <c r="H253" s="2" t="s">
        <v>54</v>
      </c>
      <c r="I253" s="2" t="str">
        <f>IFERROR(__xludf.DUMMYFUNCTION("GOOGLETRANSLATE(C253,""fr"",""en"")"),"Loading...")</f>
        <v>Loading...</v>
      </c>
    </row>
    <row r="254" ht="15.75" customHeight="1">
      <c r="A254" s="2">
        <v>4.0</v>
      </c>
      <c r="B254" s="2" t="s">
        <v>812</v>
      </c>
      <c r="C254" s="2" t="s">
        <v>813</v>
      </c>
      <c r="D254" s="2" t="s">
        <v>31</v>
      </c>
      <c r="E254" s="2" t="s">
        <v>32</v>
      </c>
      <c r="F254" s="2" t="s">
        <v>15</v>
      </c>
      <c r="G254" s="2" t="s">
        <v>814</v>
      </c>
      <c r="H254" s="2" t="s">
        <v>815</v>
      </c>
      <c r="I254" s="2" t="str">
        <f>IFERROR(__xludf.DUMMYFUNCTION("GOOGLETRANSLATE(C254,""fr"",""en"")"),"Young retiree who wants to rediscover the motorcycle. I went to the Furet.com to seek the best conditions.April was the cheapest but had bad comments on the forums. Not very reassured I still tried. The blow. Everything went well so far. I received my gre"&amp;"en card in due time and I hope I never need them because it would mean that I had a disaster.
 ")</f>
        <v>Young retiree who wants to rediscover the motorcycle. I went to the Furet.com to seek the best conditions.April was the cheapest but had bad comments on the forums. Not very reassured I still tried. The blow. Everything went well so far. I received my green card in due time and I hope I never need them because it would mean that I had a disaster.
 </v>
      </c>
    </row>
    <row r="255" ht="15.75" customHeight="1">
      <c r="A255" s="2">
        <v>5.0</v>
      </c>
      <c r="B255" s="2" t="s">
        <v>816</v>
      </c>
      <c r="C255" s="2" t="s">
        <v>817</v>
      </c>
      <c r="D255" s="2" t="s">
        <v>456</v>
      </c>
      <c r="E255" s="2" t="s">
        <v>457</v>
      </c>
      <c r="F255" s="2" t="s">
        <v>15</v>
      </c>
      <c r="G255" s="2" t="s">
        <v>266</v>
      </c>
      <c r="H255" s="2" t="s">
        <v>266</v>
      </c>
      <c r="I255" s="2" t="str">
        <f>IFERROR(__xludf.DUMMYFUNCTION("GOOGLETRANSLATE(C255,""fr"",""en"")"),"Super animal insurance! I have two Persian cats and I do not regret! Very fast reimbursement and D. A great kindness on the phone .... Nowadays it has no price! Thank you Mr Willy! I recommend health vet 500%!
Take care of yourself and your loved ones .."&amp;".")</f>
        <v>Super animal insurance! I have two Persian cats and I do not regret! Very fast reimbursement and D. A great kindness on the phone .... Nowadays it has no price! Thank you Mr Willy! I recommend health vet 500%!
Take care of yourself and your loved ones ...</v>
      </c>
    </row>
    <row r="256" ht="15.75" customHeight="1">
      <c r="A256" s="2">
        <v>2.0</v>
      </c>
      <c r="B256" s="2" t="s">
        <v>818</v>
      </c>
      <c r="C256" s="2" t="s">
        <v>819</v>
      </c>
      <c r="D256" s="2" t="s">
        <v>42</v>
      </c>
      <c r="E256" s="2" t="s">
        <v>21</v>
      </c>
      <c r="F256" s="2" t="s">
        <v>15</v>
      </c>
      <c r="G256" s="2" t="s">
        <v>820</v>
      </c>
      <c r="H256" s="2" t="s">
        <v>370</v>
      </c>
      <c r="I256" s="2" t="str">
        <f>IFERROR(__xludf.DUMMYFUNCTION("GOOGLETRANSLATE(C256,""fr"",""en"")"),"First disaster in my life. Someone turns, evaluates the distance and comes to hit me by crossing a white line. For me it is quite clear (for the other driver too, by the way). Not for the olive tree who does not consider the shock and the conditions at th"&amp;"e time of the accident but which keeps me responsible .... I am scandalized by the management of claims .... (remember to wait 7 to 10 days by email to have an answer)
When not a lot of money, we pay attention and we follow the rules I think we can find "&amp;"it manklaught.
I do not recommend it to everyone.")</f>
        <v>First disaster in my life. Someone turns, evaluates the distance and comes to hit me by crossing a white line. For me it is quite clear (for the other driver too, by the way). Not for the olive tree who does not consider the shock and the conditions at the time of the accident but which keeps me responsible .... I am scandalized by the management of claims .... (remember to wait 7 to 10 days by email to have an answer)
When not a lot of money, we pay attention and we follow the rules I think we can find it manklaught.
I do not recommend it to everyone.</v>
      </c>
    </row>
    <row r="257" ht="15.75" customHeight="1">
      <c r="A257" s="2">
        <v>1.0</v>
      </c>
      <c r="B257" s="2" t="s">
        <v>821</v>
      </c>
      <c r="C257" s="2" t="s">
        <v>822</v>
      </c>
      <c r="D257" s="2" t="s">
        <v>250</v>
      </c>
      <c r="E257" s="2" t="s">
        <v>32</v>
      </c>
      <c r="F257" s="2" t="s">
        <v>15</v>
      </c>
      <c r="G257" s="2" t="s">
        <v>823</v>
      </c>
      <c r="H257" s="2" t="s">
        <v>824</v>
      </c>
      <c r="I257" s="2" t="str">
        <f>IFERROR(__xludf.DUMMYFUNCTION("GOOGLETRANSLATE(C257,""fr"",""en"")"),"I've been waiting for a regularization of my stolen scooter for a year !!
A few months ago the regularization service told me that he had not received the complaint. Well, it can happen but a revival would not have been refusal. So I sent it two months a"&amp;"go but I always take me for my stolen scooter! So I called customer service last month, they told me that I would be regularized in July. Today I call to make sure of the progress of my regularization and I am told that I would be taken in July and tell m"&amp;"e ""that they have lagged behind in the management of the file"" and that it will be treated in emergency.
Inadmissible for an insurer of this caliber!")</f>
        <v>I've been waiting for a regularization of my stolen scooter for a year !!
A few months ago the regularization service told me that he had not received the complaint. Well, it can happen but a revival would not have been refusal. So I sent it two months ago but I always take me for my stolen scooter! So I called customer service last month, they told me that I would be regularized in July. Today I call to make sure of the progress of my regularization and I am told that I would be taken in July and tell me "that they have lagged behind in the management of the file" and that it will be treated in emergency.
Inadmissible for an insurer of this caliber!</v>
      </c>
    </row>
    <row r="258" ht="15.75" customHeight="1">
      <c r="A258" s="2">
        <v>3.0</v>
      </c>
      <c r="B258" s="2" t="s">
        <v>825</v>
      </c>
      <c r="C258" s="2" t="s">
        <v>826</v>
      </c>
      <c r="D258" s="2" t="s">
        <v>62</v>
      </c>
      <c r="E258" s="2" t="s">
        <v>21</v>
      </c>
      <c r="F258" s="2" t="s">
        <v>15</v>
      </c>
      <c r="G258" s="2" t="s">
        <v>392</v>
      </c>
      <c r="H258" s="2" t="s">
        <v>72</v>
      </c>
      <c r="I258" s="2" t="str">
        <f>IFERROR(__xludf.DUMMYFUNCTION("GOOGLETRANSLATE(C258,""fr"",""en"")"),"This insurance suits me. However, I would have liked that she could ensure the scooter of my son also ....
                                                        ")</f>
        <v>This insurance suits me. However, I would have liked that she could ensure the scooter of my son also ....
                                                        </v>
      </c>
    </row>
    <row r="259" ht="15.75" customHeight="1">
      <c r="A259" s="2">
        <v>1.0</v>
      </c>
      <c r="B259" s="2" t="s">
        <v>827</v>
      </c>
      <c r="C259" s="2" t="s">
        <v>828</v>
      </c>
      <c r="D259" s="2" t="s">
        <v>330</v>
      </c>
      <c r="E259" s="2" t="s">
        <v>90</v>
      </c>
      <c r="F259" s="2" t="s">
        <v>15</v>
      </c>
      <c r="G259" s="2" t="s">
        <v>829</v>
      </c>
      <c r="H259" s="2" t="s">
        <v>815</v>
      </c>
      <c r="I259" s="2" t="str">
        <f>IFERROR(__xludf.DUMMYFUNCTION("GOOGLETRANSLATE(C259,""fr"",""en"")"),"I have placed from Génerali for 20 years I unlocked money a first faith my LA in 2016 that problems")</f>
        <v>I have placed from Génerali for 20 years I unlocked money a first faith my LA in 2016 that problems</v>
      </c>
    </row>
    <row r="260" ht="15.75" customHeight="1">
      <c r="A260" s="2">
        <v>1.0</v>
      </c>
      <c r="B260" s="2" t="s">
        <v>830</v>
      </c>
      <c r="C260" s="2" t="s">
        <v>831</v>
      </c>
      <c r="D260" s="2" t="s">
        <v>62</v>
      </c>
      <c r="E260" s="2" t="s">
        <v>21</v>
      </c>
      <c r="F260" s="2" t="s">
        <v>15</v>
      </c>
      <c r="G260" s="2" t="s">
        <v>678</v>
      </c>
      <c r="H260" s="2" t="s">
        <v>59</v>
      </c>
      <c r="I260" s="2" t="str">
        <f>IFERROR(__xludf.DUMMYFUNCTION("GOOGLETRANSLATE(C260,""fr"",""en"")"),"Price is climbing every year despite bonus acquired, false advertising, after a small comparison on the internet I found a price half as much as expensive.
To flee.")</f>
        <v>Price is climbing every year despite bonus acquired, false advertising, after a small comparison on the internet I found a price half as much as expensive.
To flee.</v>
      </c>
    </row>
    <row r="261" ht="15.75" customHeight="1">
      <c r="A261" s="2">
        <v>3.0</v>
      </c>
      <c r="B261" s="2" t="s">
        <v>832</v>
      </c>
      <c r="C261" s="2" t="s">
        <v>833</v>
      </c>
      <c r="D261" s="2" t="s">
        <v>210</v>
      </c>
      <c r="E261" s="2" t="s">
        <v>14</v>
      </c>
      <c r="F261" s="2" t="s">
        <v>15</v>
      </c>
      <c r="G261" s="2" t="s">
        <v>834</v>
      </c>
      <c r="H261" s="2" t="s">
        <v>123</v>
      </c>
      <c r="I261" s="2" t="str">
        <f>IFERROR(__xludf.DUMMYFUNCTION("GOOGLETRANSLATE(C261,""fr"",""en"")"),"The last telephonic contact was very satisfactory. I therefore note a clear improvement of customer service hoping that this will be maintained in time ....")</f>
        <v>The last telephonic contact was very satisfactory. I therefore note a clear improvement of customer service hoping that this will be maintained in time ....</v>
      </c>
    </row>
    <row r="262" ht="15.75" customHeight="1">
      <c r="A262" s="2">
        <v>1.0</v>
      </c>
      <c r="B262" s="2" t="s">
        <v>835</v>
      </c>
      <c r="C262" s="2" t="s">
        <v>836</v>
      </c>
      <c r="D262" s="2" t="s">
        <v>81</v>
      </c>
      <c r="E262" s="2" t="s">
        <v>104</v>
      </c>
      <c r="F262" s="2" t="s">
        <v>15</v>
      </c>
      <c r="G262" s="2" t="s">
        <v>837</v>
      </c>
      <c r="H262" s="2" t="s">
        <v>838</v>
      </c>
      <c r="I262" s="2" t="str">
        <f>IFERROR(__xludf.DUMMYFUNCTION("GOOGLETRANSLATE(C262,""fr"",""en"")"),"Deadline too long, telephone platform its provider no chance that your file is advancing best to make a report to the management of competition and the repression of frauds the better there will be a better report it will have to question this and if orga"&amp;"nized differently")</f>
        <v>Deadline too long, telephone platform its provider no chance that your file is advancing best to make a report to the management of competition and the repression of frauds the better there will be a better report it will have to question this and if organized differently</v>
      </c>
    </row>
    <row r="263" ht="15.75" customHeight="1">
      <c r="A263" s="2">
        <v>1.0</v>
      </c>
      <c r="B263" s="2" t="s">
        <v>839</v>
      </c>
      <c r="C263" s="2" t="s">
        <v>840</v>
      </c>
      <c r="D263" s="2" t="s">
        <v>250</v>
      </c>
      <c r="E263" s="2" t="s">
        <v>104</v>
      </c>
      <c r="F263" s="2" t="s">
        <v>15</v>
      </c>
      <c r="G263" s="2" t="s">
        <v>134</v>
      </c>
      <c r="H263" s="2" t="s">
        <v>92</v>
      </c>
      <c r="I263" s="2" t="str">
        <f>IFERROR(__xludf.DUMMYFUNCTION("GOOGLETRANSLATE(C263,""fr"",""en"")"),"Hello,
I am so amazed at the Macif's response that I come to share it with as many people as possible.
February 2019, my son fell by bicycle because of one of his comrades who struck him at the back.
Body damage quantified by an expert doctor and sent "&amp;"to the opposing insurer who is the MAE, one of the worst insurance that exists in passing!. After multiple reminders to know the progress of my file, all of them remain in vain because either no answers, or ""boat"" answers which augur the fact that the M"&amp;"acif manages absolutely nothing, I have just received a digital mail From this one 1 year to day after the accident to tell me ....... that the MAE is inert and that I will have to enter the competition of a lawyer at my expense ???? !!!! .... The arms fe"&amp;"ll on the ground and I terminated all my contracts at home after 30 years of blind loyalty.
The objective of an insurer is to protect and ensure that his member is compensated in the event of a claim but not to the Macif where they do not hesitate to sen"&amp;"d you to the roses with the subliminal message to the Key: circulate, there is nothing to see !!.
No frankly with great sincerity, absolutely avoid the Macif is really not or more up to par. The incompetence reigns there supreme!
Cordially")</f>
        <v>Hello,
I am so amazed at the Macif's response that I come to share it with as many people as possible.
February 2019, my son fell by bicycle because of one of his comrades who struck him at the back.
Body damage quantified by an expert doctor and sent to the opposing insurer who is the MAE, one of the worst insurance that exists in passing!. After multiple reminders to know the progress of my file, all of them remain in vain because either no answers, or "boat" answers which augur the fact that the Macif manages absolutely nothing, I have just received a digital mail From this one 1 year to day after the accident to tell me ....... that the MAE is inert and that I will have to enter the competition of a lawyer at my expense ???? !!!! .... The arms fell on the ground and I terminated all my contracts at home after 30 years of blind loyalty.
The objective of an insurer is to protect and ensure that his member is compensated in the event of a claim but not to the Macif where they do not hesitate to send you to the roses with the subliminal message to the Key: circulate, there is nothing to see !!.
No frankly with great sincerity, absolutely avoid the Macif is really not or more up to par. The incompetence reigns there supreme!
Cordially</v>
      </c>
    </row>
    <row r="264" ht="15.75" customHeight="1">
      <c r="A264" s="2">
        <v>1.0</v>
      </c>
      <c r="B264" s="2" t="s">
        <v>841</v>
      </c>
      <c r="C264" s="2" t="s">
        <v>842</v>
      </c>
      <c r="D264" s="2" t="s">
        <v>13</v>
      </c>
      <c r="E264" s="2" t="s">
        <v>14</v>
      </c>
      <c r="F264" s="2" t="s">
        <v>15</v>
      </c>
      <c r="G264" s="2" t="s">
        <v>843</v>
      </c>
      <c r="H264" s="2" t="s">
        <v>34</v>
      </c>
      <c r="I264" s="2" t="str">
        <f>IFERROR(__xludf.DUMMYFUNCTION("GOOGLETRANSLATE(C264,""fr"",""en"")"),"Completely incompetent staff, the update on my personal space is still not made, it is only the year 2020 !! , advice run away from this mutual, personally I expect the end of my commitment and I will go elsewhere")</f>
        <v>Completely incompetent staff, the update on my personal space is still not made, it is only the year 2020 !! , advice run away from this mutual, personally I expect the end of my commitment and I will go elsewhere</v>
      </c>
    </row>
    <row r="265" ht="15.75" customHeight="1">
      <c r="A265" s="2">
        <v>2.0</v>
      </c>
      <c r="B265" s="2" t="s">
        <v>844</v>
      </c>
      <c r="C265" s="2" t="s">
        <v>845</v>
      </c>
      <c r="D265" s="2" t="s">
        <v>67</v>
      </c>
      <c r="E265" s="2" t="s">
        <v>32</v>
      </c>
      <c r="F265" s="2" t="s">
        <v>15</v>
      </c>
      <c r="G265" s="2" t="s">
        <v>722</v>
      </c>
      <c r="H265" s="2" t="s">
        <v>723</v>
      </c>
      <c r="I265" s="2" t="str">
        <f>IFERROR(__xludf.DUMMYFUNCTION("GOOGLETRANSLATE(C265,""fr"",""en"")"),"I asked that my insurance be terminated after the flight of my scooter (I was not insured for the flight). The police, however, found my scooter a few weeks after my termination request, so I asked AMV, who had not yet reimbursed me, to cancel the termina"&amp;"tion. I was not told that it was not possible, but also that I could not take out insurance with them again. Very curious approach on their part than refusing a new customer ...
Contact me by e-mail if you wish.")</f>
        <v>I asked that my insurance be terminated after the flight of my scooter (I was not insured for the flight). The police, however, found my scooter a few weeks after my termination request, so I asked AMV, who had not yet reimbursed me, to cancel the termination. I was not told that it was not possible, but also that I could not take out insurance with them again. Very curious approach on their part than refusing a new customer ...
Contact me by e-mail if you wish.</v>
      </c>
    </row>
    <row r="266" ht="15.75" customHeight="1">
      <c r="A266" s="2">
        <v>5.0</v>
      </c>
      <c r="B266" s="2" t="s">
        <v>846</v>
      </c>
      <c r="C266" s="2" t="s">
        <v>847</v>
      </c>
      <c r="D266" s="2" t="s">
        <v>42</v>
      </c>
      <c r="E266" s="2" t="s">
        <v>21</v>
      </c>
      <c r="F266" s="2" t="s">
        <v>15</v>
      </c>
      <c r="G266" s="2" t="s">
        <v>848</v>
      </c>
      <c r="H266" s="2" t="s">
        <v>54</v>
      </c>
      <c r="I266" s="2" t="str">
        <f>IFERROR(__xludf.DUMMYFUNCTION("GOOGLETRANSLATE(C266,""fr"",""en"")"),"I am very satisfied with the whole.
The prices as well as the guarantees are affordable and fair.
I will recommend this insurance.
The site is very fun and simple.")</f>
        <v>I am very satisfied with the whole.
The prices as well as the guarantees are affordable and fair.
I will recommend this insurance.
The site is very fun and simple.</v>
      </c>
    </row>
    <row r="267" ht="15.75" customHeight="1">
      <c r="A267" s="2">
        <v>1.0</v>
      </c>
      <c r="B267" s="2" t="s">
        <v>849</v>
      </c>
      <c r="C267" s="2" t="s">
        <v>850</v>
      </c>
      <c r="D267" s="2" t="s">
        <v>47</v>
      </c>
      <c r="E267" s="2" t="s">
        <v>104</v>
      </c>
      <c r="F267" s="2" t="s">
        <v>15</v>
      </c>
      <c r="G267" s="2" t="s">
        <v>520</v>
      </c>
      <c r="H267" s="2" t="s">
        <v>59</v>
      </c>
      <c r="I267" s="2" t="str">
        <f>IFERROR(__xludf.DUMMYFUNCTION("GOOGLETRANSLATE(C267,""fr"",""en"")"),"Loading...")</f>
        <v>Loading...</v>
      </c>
    </row>
    <row r="268" ht="15.75" customHeight="1">
      <c r="A268" s="2">
        <v>4.0</v>
      </c>
      <c r="B268" s="2" t="s">
        <v>851</v>
      </c>
      <c r="C268" s="2" t="s">
        <v>852</v>
      </c>
      <c r="D268" s="2" t="s">
        <v>62</v>
      </c>
      <c r="E268" s="2" t="s">
        <v>21</v>
      </c>
      <c r="F268" s="2" t="s">
        <v>15</v>
      </c>
      <c r="G268" s="2" t="s">
        <v>483</v>
      </c>
      <c r="H268" s="2" t="s">
        <v>54</v>
      </c>
      <c r="I268" s="2" t="str">
        <f>IFERROR(__xludf.DUMMYFUNCTION("GOOGLETRANSLATE(C268,""fr"",""en"")"),"Simple, practical, I am generally satisfied. I soon intend to change my vehicle, and I think I stay with Direct Insurance. I also had a small disaster (broken ice on a windshield) and I was satisfied with the services rendered.")</f>
        <v>Simple, practical, I am generally satisfied. I soon intend to change my vehicle, and I think I stay with Direct Insurance. I also had a small disaster (broken ice on a windshield) and I was satisfied with the services rendered.</v>
      </c>
    </row>
    <row r="269" ht="15.75" customHeight="1">
      <c r="A269" s="2">
        <v>1.0</v>
      </c>
      <c r="B269" s="2" t="s">
        <v>853</v>
      </c>
      <c r="C269" s="2" t="s">
        <v>854</v>
      </c>
      <c r="D269" s="2" t="s">
        <v>285</v>
      </c>
      <c r="E269" s="2" t="s">
        <v>90</v>
      </c>
      <c r="F269" s="2" t="s">
        <v>15</v>
      </c>
      <c r="G269" s="2" t="s">
        <v>855</v>
      </c>
      <c r="H269" s="2" t="s">
        <v>370</v>
      </c>
      <c r="I269" s="2" t="str">
        <f>IFERROR(__xludf.DUMMYFUNCTION("GOOGLETRANSLATE(C269,""fr"",""en"")"),"Loading...")</f>
        <v>Loading...</v>
      </c>
    </row>
    <row r="270" ht="15.75" customHeight="1">
      <c r="A270" s="2">
        <v>4.0</v>
      </c>
      <c r="B270" s="2" t="s">
        <v>856</v>
      </c>
      <c r="C270" s="2" t="s">
        <v>857</v>
      </c>
      <c r="D270" s="2" t="s">
        <v>62</v>
      </c>
      <c r="E270" s="2" t="s">
        <v>129</v>
      </c>
      <c r="F270" s="2" t="s">
        <v>15</v>
      </c>
      <c r="G270" s="2" t="s">
        <v>858</v>
      </c>
      <c r="H270" s="2" t="s">
        <v>362</v>
      </c>
      <c r="I270" s="2" t="str">
        <f>IFERROR(__xludf.DUMMYFUNCTION("GOOGLETRANSLATE(C270,""fr"",""en"")"),"I am satisfied with the contract that you offer me these good we can do business on the two dossier dresses and car I see you soon")</f>
        <v>I am satisfied with the contract that you offer me these good we can do business on the two dossier dresses and car I see you soon</v>
      </c>
    </row>
    <row r="271" ht="15.75" customHeight="1">
      <c r="A271" s="2">
        <v>4.0</v>
      </c>
      <c r="B271" s="2" t="s">
        <v>859</v>
      </c>
      <c r="C271" s="2" t="s">
        <v>860</v>
      </c>
      <c r="D271" s="2" t="s">
        <v>62</v>
      </c>
      <c r="E271" s="2" t="s">
        <v>21</v>
      </c>
      <c r="F271" s="2" t="s">
        <v>15</v>
      </c>
      <c r="G271" s="2" t="s">
        <v>763</v>
      </c>
      <c r="H271" s="2" t="s">
        <v>64</v>
      </c>
      <c r="I271" s="2" t="str">
        <f>IFERROR(__xludf.DUMMYFUNCTION("GOOGLETRANSLATE(C271,""fr"",""en"")"),"Loading...")</f>
        <v>Loading...</v>
      </c>
    </row>
    <row r="272" ht="15.75" customHeight="1">
      <c r="A272" s="2">
        <v>3.0</v>
      </c>
      <c r="B272" s="2" t="s">
        <v>861</v>
      </c>
      <c r="C272" s="2" t="s">
        <v>862</v>
      </c>
      <c r="D272" s="2" t="s">
        <v>31</v>
      </c>
      <c r="E272" s="2" t="s">
        <v>32</v>
      </c>
      <c r="F272" s="2" t="s">
        <v>15</v>
      </c>
      <c r="G272" s="2" t="s">
        <v>863</v>
      </c>
      <c r="H272" s="2" t="s">
        <v>370</v>
      </c>
      <c r="I272" s="2" t="str">
        <f>IFERROR(__xludf.DUMMYFUNCTION("GOOGLETRANSLATE(C272,""fr"",""en"")"),"Weird 3 stars, I have been at April Moto for 24 years (formerly AMT and I find this perfect assurance, I put 5 stars in all areas. I must admit that I have the chance to have 50% bonuses since 30 years. I had a few small accidents but my responsibility ha"&amp;"s never been engaged in some 800,000 km
")</f>
        <v>Weird 3 stars, I have been at April Moto for 24 years (formerly AMT and I find this perfect assurance, I put 5 stars in all areas. I must admit that I have the chance to have 50% bonuses since 30 years. I had a few small accidents but my responsibility has never been engaged in some 800,000 km
</v>
      </c>
    </row>
    <row r="273" ht="15.75" customHeight="1">
      <c r="A273" s="2">
        <v>1.0</v>
      </c>
      <c r="B273" s="2" t="s">
        <v>864</v>
      </c>
      <c r="C273" s="2" t="s">
        <v>865</v>
      </c>
      <c r="D273" s="2" t="s">
        <v>62</v>
      </c>
      <c r="E273" s="2" t="s">
        <v>21</v>
      </c>
      <c r="F273" s="2" t="s">
        <v>15</v>
      </c>
      <c r="G273" s="2" t="s">
        <v>866</v>
      </c>
      <c r="H273" s="2" t="s">
        <v>34</v>
      </c>
      <c r="I273" s="2" t="str">
        <f>IFERROR(__xludf.DUMMYFUNCTION("GOOGLETRANSLATE(C273,""fr"",""en"")"),"Impossible to have someone on the phone, the voice server of the Android application number tells us to call for another number, and the voice server of this other number is the same, which asks us to recall it itself Before we hang up on the nose.
Not v"&amp;"ery satisfied with the Youdrive also, which manages to detect me dangerous turns on straight lines of fast track (just look at the GPS location to see that there was no turn). Also considers a dangerous acceleration when you normally fit into a large -ter"&amp;"m circulation (too slow = too dangerous).")</f>
        <v>Impossible to have someone on the phone, the voice server of the Android application number tells us to call for another number, and the voice server of this other number is the same, which asks us to recall it itself Before we hang up on the nose.
Not very satisfied with the Youdrive also, which manages to detect me dangerous turns on straight lines of fast track (just look at the GPS location to see that there was no turn). Also considers a dangerous acceleration when you normally fit into a large -term circulation (too slow = too dangerous).</v>
      </c>
    </row>
    <row r="274" ht="15.75" customHeight="1">
      <c r="A274" s="2">
        <v>1.0</v>
      </c>
      <c r="B274" s="2" t="s">
        <v>867</v>
      </c>
      <c r="C274" s="2" t="s">
        <v>868</v>
      </c>
      <c r="D274" s="2" t="s">
        <v>368</v>
      </c>
      <c r="E274" s="2" t="s">
        <v>21</v>
      </c>
      <c r="F274" s="2" t="s">
        <v>15</v>
      </c>
      <c r="G274" s="2" t="s">
        <v>869</v>
      </c>
      <c r="H274" s="2" t="s">
        <v>34</v>
      </c>
      <c r="I274" s="2" t="str">
        <f>IFERROR(__xludf.DUMMYFUNCTION("GOOGLETRANSLATE(C274,""fr"",""en"")"),"No customer follow -up You have a small hooking you go from 0.50 % to 1.25 % not monstrous insurance to flee absolutely no solution with an advisor, you must pay in order to be able to keep its customers never take ACTI insurance at your own risk and peri"&amp;"ls")</f>
        <v>No customer follow -up You have a small hooking you go from 0.50 % to 1.25 % not monstrous insurance to flee absolutely no solution with an advisor, you must pay in order to be able to keep its customers never take ACTI insurance at your own risk and perils</v>
      </c>
    </row>
    <row r="275" ht="15.75" customHeight="1">
      <c r="A275" s="2">
        <v>4.0</v>
      </c>
      <c r="B275" s="2" t="s">
        <v>870</v>
      </c>
      <c r="C275" s="2" t="s">
        <v>871</v>
      </c>
      <c r="D275" s="2" t="s">
        <v>20</v>
      </c>
      <c r="E275" s="2" t="s">
        <v>21</v>
      </c>
      <c r="F275" s="2" t="s">
        <v>15</v>
      </c>
      <c r="G275" s="2" t="s">
        <v>872</v>
      </c>
      <c r="H275" s="2" t="s">
        <v>72</v>
      </c>
      <c r="I275" s="2" t="str">
        <f>IFERROR(__xludf.DUMMYFUNCTION("GOOGLETRANSLATE(C275,""fr"",""en"")"),"Loading...")</f>
        <v>Loading...</v>
      </c>
    </row>
    <row r="276" ht="15.75" customHeight="1">
      <c r="A276" s="2">
        <v>4.0</v>
      </c>
      <c r="B276" s="2" t="s">
        <v>873</v>
      </c>
      <c r="C276" s="2" t="s">
        <v>874</v>
      </c>
      <c r="D276" s="2" t="s">
        <v>42</v>
      </c>
      <c r="E276" s="2" t="s">
        <v>21</v>
      </c>
      <c r="F276" s="2" t="s">
        <v>15</v>
      </c>
      <c r="G276" s="2" t="s">
        <v>43</v>
      </c>
      <c r="H276" s="2" t="s">
        <v>44</v>
      </c>
      <c r="I276" s="2" t="str">
        <f>IFERROR(__xludf.DUMMYFUNCTION("GOOGLETRANSLATE(C276,""fr"",""en"")"),"Very satisfied with the online subscription procedure, simple steps, the price is attractive, remains to be seen if the insurer responds present")</f>
        <v>Very satisfied with the online subscription procedure, simple steps, the price is attractive, remains to be seen if the insurer responds present</v>
      </c>
    </row>
    <row r="277" ht="15.75" customHeight="1">
      <c r="A277" s="2">
        <v>2.0</v>
      </c>
      <c r="B277" s="2" t="s">
        <v>875</v>
      </c>
      <c r="C277" s="2" t="s">
        <v>876</v>
      </c>
      <c r="D277" s="2" t="s">
        <v>37</v>
      </c>
      <c r="E277" s="2" t="s">
        <v>14</v>
      </c>
      <c r="F277" s="2" t="s">
        <v>15</v>
      </c>
      <c r="G277" s="2" t="s">
        <v>877</v>
      </c>
      <c r="H277" s="2" t="s">
        <v>608</v>
      </c>
      <c r="I277" s="2" t="str">
        <f>IFERROR(__xludf.DUMMYFUNCTION("GOOGLETRANSLATE(C277,""fr"",""en"")"),"Deplorable customer service. Incompetent. From one advisor to another we do not have the same information. Since January that I ask for a contract termination, it was only processed in March because they cannot open the attachments via the insured space, "&amp;"I had to go through a substitution address, and well Sure I have continued to pay since. Regarding reimbursements, it is done at the slingshot. I do not recommend at all.")</f>
        <v>Deplorable customer service. Incompetent. From one advisor to another we do not have the same information. Since January that I ask for a contract termination, it was only processed in March because they cannot open the attachments via the insured space, I had to go through a substitution address, and well Sure I have continued to pay since. Regarding reimbursements, it is done at the slingshot. I do not recommend at all.</v>
      </c>
    </row>
    <row r="278" ht="15.75" customHeight="1">
      <c r="A278" s="2">
        <v>4.0</v>
      </c>
      <c r="B278" s="2" t="s">
        <v>878</v>
      </c>
      <c r="C278" s="2" t="s">
        <v>879</v>
      </c>
      <c r="D278" s="2" t="s">
        <v>62</v>
      </c>
      <c r="E278" s="2" t="s">
        <v>21</v>
      </c>
      <c r="F278" s="2" t="s">
        <v>15</v>
      </c>
      <c r="G278" s="2" t="s">
        <v>880</v>
      </c>
      <c r="H278" s="2" t="s">
        <v>44</v>
      </c>
      <c r="I278" s="2" t="str">
        <f>IFERROR(__xludf.DUMMYFUNCTION("GOOGLETRANSLATE(C278,""fr"",""en"")"),"Simple, fast, concise. A very good insurance company, efficient and inexpensive, good value for money, listening to the customer, frankly they ensure.")</f>
        <v>Simple, fast, concise. A very good insurance company, efficient and inexpensive, good value for money, listening to the customer, frankly they ensure.</v>
      </c>
    </row>
    <row r="279" ht="15.75" customHeight="1">
      <c r="A279" s="2">
        <v>5.0</v>
      </c>
      <c r="B279" s="2" t="s">
        <v>881</v>
      </c>
      <c r="C279" s="2" t="s">
        <v>882</v>
      </c>
      <c r="D279" s="2" t="s">
        <v>31</v>
      </c>
      <c r="E279" s="2" t="s">
        <v>32</v>
      </c>
      <c r="F279" s="2" t="s">
        <v>15</v>
      </c>
      <c r="G279" s="2" t="s">
        <v>327</v>
      </c>
      <c r="H279" s="2" t="s">
        <v>44</v>
      </c>
      <c r="I279" s="2" t="str">
        <f>IFERROR(__xludf.DUMMYFUNCTION("GOOGLETRANSLATE(C279,""fr"",""en"")"),"I am very satisfied with the prices proposed by contribution to worth your quote was clear simple and precion and your site is very detailed thank you to you")</f>
        <v>I am very satisfied with the prices proposed by contribution to worth your quote was clear simple and precion and your site is very detailed thank you to you</v>
      </c>
    </row>
    <row r="280" ht="15.75" customHeight="1">
      <c r="A280" s="2">
        <v>3.0</v>
      </c>
      <c r="B280" s="2" t="s">
        <v>883</v>
      </c>
      <c r="C280" s="2" t="s">
        <v>884</v>
      </c>
      <c r="D280" s="2" t="s">
        <v>20</v>
      </c>
      <c r="E280" s="2" t="s">
        <v>21</v>
      </c>
      <c r="F280" s="2" t="s">
        <v>15</v>
      </c>
      <c r="G280" s="2" t="s">
        <v>885</v>
      </c>
      <c r="H280" s="2" t="s">
        <v>886</v>
      </c>
      <c r="I280" s="2" t="str">
        <f>IFERROR(__xludf.DUMMYFUNCTION("GOOGLETRANSLATE(C280,""fr"",""en"")"),"Ensure for many years: in 20 years: an entirely reimbursed stolen car, 3 broken ice (by vandalism) completely supported.
Effective telephone platform (with a little waiting at certain times of the day). There is probably cheaper, but the service is there")</f>
        <v>Ensure for many years: in 20 years: an entirely reimbursed stolen car, 3 broken ice (by vandalism) completely supported.
Effective telephone platform (with a little waiting at certain times of the day). There is probably cheaper, but the service is there</v>
      </c>
    </row>
    <row r="281" ht="15.75" customHeight="1">
      <c r="A281" s="2">
        <v>1.0</v>
      </c>
      <c r="B281" s="2" t="s">
        <v>887</v>
      </c>
      <c r="C281" s="2" t="s">
        <v>888</v>
      </c>
      <c r="D281" s="2" t="s">
        <v>47</v>
      </c>
      <c r="E281" s="2" t="s">
        <v>129</v>
      </c>
      <c r="F281" s="2" t="s">
        <v>15</v>
      </c>
      <c r="G281" s="2" t="s">
        <v>889</v>
      </c>
      <c r="H281" s="2" t="s">
        <v>838</v>
      </c>
      <c r="I281" s="2" t="str">
        <f>IFERROR(__xludf.DUMMYFUNCTION("GOOGLETRANSLATE(C281,""fr"",""en"")"),"simply AXA is an insurer who takes expertise firms who under esteem while in the event of
sinister
They impose approved businesses for you to have a DIY job
Even insured is new you are entitled to a minimum")</f>
        <v>simply AXA is an insurer who takes expertise firms who under esteem while in the event of
sinister
They impose approved businesses for you to have a DIY job
Even insured is new you are entitled to a minimum</v>
      </c>
    </row>
    <row r="282" ht="15.75" customHeight="1">
      <c r="A282" s="2">
        <v>1.0</v>
      </c>
      <c r="B282" s="2" t="s">
        <v>890</v>
      </c>
      <c r="C282" s="2" t="s">
        <v>891</v>
      </c>
      <c r="D282" s="2" t="s">
        <v>42</v>
      </c>
      <c r="E282" s="2" t="s">
        <v>21</v>
      </c>
      <c r="F282" s="2" t="s">
        <v>15</v>
      </c>
      <c r="G282" s="2" t="s">
        <v>892</v>
      </c>
      <c r="H282" s="2" t="s">
        <v>72</v>
      </c>
      <c r="I282" s="2" t="str">
        <f>IFERROR(__xludf.DUMMYFUNCTION("GOOGLETRANSLATE(C282,""fr"",""en"")"),"To flee.
Following a non -responsible disaster, I underwent the jokes of this insurance. Failure to comply with deadlines, your authoritarian and haughty when explaining the problem and treading it up with the situation, forgetting the transmission of do"&amp;"cument to the expert, inconsistent response (my car being accident and fearing a mechanical problem, the lady answers me that I have to go to do a technical control to check this ...).
In short, the prices paid for young drivers are very high and do not "&amp;"correspond to the quality of service.")</f>
        <v>To flee.
Following a non -responsible disaster, I underwent the jokes of this insurance. Failure to comply with deadlines, your authoritarian and haughty when explaining the problem and treading it up with the situation, forgetting the transmission of document to the expert, inconsistent response (my car being accident and fearing a mechanical problem, the lady answers me that I have to go to do a technical control to check this ...).
In short, the prices paid for young drivers are very high and do not correspond to the quality of service.</v>
      </c>
    </row>
    <row r="283" ht="15.75" customHeight="1">
      <c r="A283" s="2">
        <v>4.0</v>
      </c>
      <c r="B283" s="2" t="s">
        <v>893</v>
      </c>
      <c r="C283" s="2" t="s">
        <v>894</v>
      </c>
      <c r="D283" s="2" t="s">
        <v>62</v>
      </c>
      <c r="E283" s="2" t="s">
        <v>21</v>
      </c>
      <c r="F283" s="2" t="s">
        <v>15</v>
      </c>
      <c r="G283" s="2" t="s">
        <v>376</v>
      </c>
      <c r="H283" s="2" t="s">
        <v>34</v>
      </c>
      <c r="I283" s="2" t="str">
        <f>IFERROR(__xludf.DUMMYFUNCTION("GOOGLETRANSLATE(C283,""fr"",""en"")"),"This is my first car. I am a young graduate. I find that any risk insurance for a Golf VI of 5 horses, € 1050 is a little expensive. But OK")</f>
        <v>This is my first car. I am a young graduate. I find that any risk insurance for a Golf VI of 5 horses, € 1050 is a little expensive. But OK</v>
      </c>
    </row>
    <row r="284" ht="15.75" customHeight="1">
      <c r="A284" s="2">
        <v>2.0</v>
      </c>
      <c r="B284" s="2" t="s">
        <v>895</v>
      </c>
      <c r="C284" s="2" t="s">
        <v>896</v>
      </c>
      <c r="D284" s="2" t="s">
        <v>42</v>
      </c>
      <c r="E284" s="2" t="s">
        <v>21</v>
      </c>
      <c r="F284" s="2" t="s">
        <v>15</v>
      </c>
      <c r="G284" s="2" t="s">
        <v>897</v>
      </c>
      <c r="H284" s="2" t="s">
        <v>304</v>
      </c>
      <c r="I284" s="2" t="str">
        <f>IFERROR(__xludf.DUMMYFUNCTION("GOOGLETRANSLATE(C284,""fr"",""en"")"),"Following my subscription to the olive tree, a registered letter was sent to the former insurer. A few months later the termination had not been taken into account. So I contacted the olive tree who informed me that the address on the letter was not the r"&amp;"ight one. My interlocutor assumed not to have sent the L.R. to the good recipient but refuses any commercial gesture. It is unacceptable!")</f>
        <v>Following my subscription to the olive tree, a registered letter was sent to the former insurer. A few months later the termination had not been taken into account. So I contacted the olive tree who informed me that the address on the letter was not the right one. My interlocutor assumed not to have sent the L.R. to the good recipient but refuses any commercial gesture. It is unacceptable!</v>
      </c>
    </row>
    <row r="285" ht="15.75" customHeight="1">
      <c r="A285" s="2">
        <v>5.0</v>
      </c>
      <c r="B285" s="2" t="s">
        <v>898</v>
      </c>
      <c r="C285" s="2" t="s">
        <v>899</v>
      </c>
      <c r="D285" s="2" t="s">
        <v>42</v>
      </c>
      <c r="E285" s="2" t="s">
        <v>21</v>
      </c>
      <c r="F285" s="2" t="s">
        <v>15</v>
      </c>
      <c r="G285" s="2" t="s">
        <v>900</v>
      </c>
      <c r="H285" s="2" t="s">
        <v>185</v>
      </c>
      <c r="I285" s="2" t="str">
        <f>IFERROR(__xludf.DUMMYFUNCTION("GOOGLETRANSLATE(C285,""fr"",""en"")"),"Loading...")</f>
        <v>Loading...</v>
      </c>
    </row>
    <row r="286" ht="15.75" customHeight="1">
      <c r="A286" s="2">
        <v>3.0</v>
      </c>
      <c r="B286" s="2" t="s">
        <v>901</v>
      </c>
      <c r="C286" s="2" t="s">
        <v>902</v>
      </c>
      <c r="D286" s="2" t="s">
        <v>183</v>
      </c>
      <c r="E286" s="2" t="s">
        <v>14</v>
      </c>
      <c r="F286" s="2" t="s">
        <v>15</v>
      </c>
      <c r="G286" s="2" t="s">
        <v>903</v>
      </c>
      <c r="H286" s="2" t="s">
        <v>904</v>
      </c>
      <c r="I286" s="2" t="str">
        <f>IFERROR(__xludf.DUMMYFUNCTION("GOOGLETRANSLATE(C286,""fr"",""en"")"),"Mutual not too expensive. No particular concerns so far.")</f>
        <v>Mutual not too expensive. No particular concerns so far.</v>
      </c>
    </row>
    <row r="287" ht="15.75" customHeight="1">
      <c r="A287" s="2">
        <v>5.0</v>
      </c>
      <c r="B287" s="2" t="s">
        <v>905</v>
      </c>
      <c r="C287" s="2" t="s">
        <v>906</v>
      </c>
      <c r="D287" s="2" t="s">
        <v>42</v>
      </c>
      <c r="E287" s="2" t="s">
        <v>21</v>
      </c>
      <c r="F287" s="2" t="s">
        <v>15</v>
      </c>
      <c r="G287" s="2" t="s">
        <v>116</v>
      </c>
      <c r="H287" s="2" t="s">
        <v>54</v>
      </c>
      <c r="I287" s="2" t="str">
        <f>IFERROR(__xludf.DUMMYFUNCTION("GOOGLETRANSLATE(C287,""fr"",""en"")"),"Alright. Fast service is practical. Very reasonable. Personal kind is patient. So very practical electronic signature system.")</f>
        <v>Alright. Fast service is practical. Very reasonable. Personal kind is patient. So very practical electronic signature system.</v>
      </c>
    </row>
    <row r="288" ht="15.75" customHeight="1">
      <c r="A288" s="2">
        <v>2.0</v>
      </c>
      <c r="B288" s="2" t="s">
        <v>907</v>
      </c>
      <c r="C288" s="2" t="s">
        <v>908</v>
      </c>
      <c r="D288" s="2" t="s">
        <v>62</v>
      </c>
      <c r="E288" s="2" t="s">
        <v>21</v>
      </c>
      <c r="F288" s="2" t="s">
        <v>15</v>
      </c>
      <c r="G288" s="2" t="s">
        <v>909</v>
      </c>
      <c r="H288" s="2" t="s">
        <v>64</v>
      </c>
      <c r="I288" s="2" t="str">
        <f>IFERROR(__xludf.DUMMYFUNCTION("GOOGLETRANSLATE(C288,""fr"",""en"")"),"hello, 
I am not very satisfied with your services, in fact contacting you for a very specific reason (Ice Broke Request for very specific information) is impossible. It is also impossible to transmit the gray card by the site. Transmitted by email yeste"&amp;"rday, confirmation of receipt of your services at 1:29 p.m. by email, relaunched by your messaging this morning at 07h, incomplete file, CG missing, and on my personal page, still no registered gray card !!!!!. So either, the prices are very affordable, b"&amp;"ut you still have a very heavy project in order to do a real service different from all the services of the net, and which would give us ""the illusion"" of being human and non -virtual customers respected and to have kept a little sovereignty. Thanks to "&amp;"you I will lose 76 euros (partial RBT of the franchise by the additional insurance of my vehicle) thank you direct insurance, let's be direct, right?
Best regards,
Dominique Le Leuch
PS my request was a certificate of payment of the sinister broken ice"&amp;" detailing the regulations: support and amount of the deductible on paper at the head of Direct Insurance - The other insurers are not satisfied with the France Pare Breaze ... .
But we walk on our heads !!!
")</f>
        <v>hello, 
I am not very satisfied with your services, in fact contacting you for a very specific reason (Ice Broke Request for very specific information) is impossible. It is also impossible to transmit the gray card by the site. Transmitted by email yesterday, confirmation of receipt of your services at 1:29 p.m. by email, relaunched by your messaging this morning at 07h, incomplete file, CG missing, and on my personal page, still no registered gray card !!!!!. So either, the prices are very affordable, but you still have a very heavy project in order to do a real service different from all the services of the net, and which would give us "the illusion" of being human and non -virtual customers respected and to have kept a little sovereignty. Thanks to you I will lose 76 euros (partial RBT of the franchise by the additional insurance of my vehicle) thank you direct insurance, let's be direct, right?
Best regards,
Dominique Le Leuch
PS my request was a certificate of payment of the sinister broken ice detailing the regulations: support and amount of the deductible on paper at the head of Direct Insurance - The other insurers are not satisfied with the France Pare Breaze ... .
But we walk on our heads !!!
</v>
      </c>
    </row>
    <row r="289" ht="15.75" customHeight="1">
      <c r="A289" s="2">
        <v>5.0</v>
      </c>
      <c r="B289" s="2" t="s">
        <v>910</v>
      </c>
      <c r="C289" s="2" t="s">
        <v>911</v>
      </c>
      <c r="D289" s="2" t="s">
        <v>31</v>
      </c>
      <c r="E289" s="2" t="s">
        <v>32</v>
      </c>
      <c r="F289" s="2" t="s">
        <v>15</v>
      </c>
      <c r="G289" s="2" t="s">
        <v>164</v>
      </c>
      <c r="H289" s="2" t="s">
        <v>72</v>
      </c>
      <c r="I289" s="2" t="str">
        <f>IFERROR(__xludf.DUMMYFUNCTION("GOOGLETRANSLATE(C289,""fr"",""en"")"),"Loading...")</f>
        <v>Loading...</v>
      </c>
    </row>
    <row r="290" ht="15.75" customHeight="1">
      <c r="A290" s="2">
        <v>1.0</v>
      </c>
      <c r="B290" s="2" t="s">
        <v>912</v>
      </c>
      <c r="C290" s="2" t="s">
        <v>913</v>
      </c>
      <c r="D290" s="2" t="s">
        <v>37</v>
      </c>
      <c r="E290" s="2" t="s">
        <v>14</v>
      </c>
      <c r="F290" s="2" t="s">
        <v>15</v>
      </c>
      <c r="G290" s="2" t="s">
        <v>914</v>
      </c>
      <c r="H290" s="2" t="s">
        <v>304</v>
      </c>
      <c r="I290" s="2" t="str">
        <f>IFERROR(__xludf.DUMMYFUNCTION("GOOGLETRANSLATE(C290,""fr"",""en"")"),"I left my former health insurance for April in December 2016 on the basis of an annual subscription equivalent to that of my former complementary. Excluding early 2017 the price increased significantly. It had not been said to me during the subscription I"&amp;" may complain about April, they don't want to know anything. They offer me an amicable termination! This means that I left my former insurer with my seniority and that I go back to zero to look for a new one!")</f>
        <v>I left my former health insurance for April in December 2016 on the basis of an annual subscription equivalent to that of my former complementary. Excluding early 2017 the price increased significantly. It had not been said to me during the subscription I may complain about April, they don't want to know anything. They offer me an amicable termination! This means that I left my former insurer with my seniority and that I go back to zero to look for a new one!</v>
      </c>
    </row>
    <row r="291" ht="15.75" customHeight="1">
      <c r="A291" s="2">
        <v>1.0</v>
      </c>
      <c r="B291" s="2" t="s">
        <v>915</v>
      </c>
      <c r="C291" s="2" t="s">
        <v>916</v>
      </c>
      <c r="D291" s="2" t="s">
        <v>47</v>
      </c>
      <c r="E291" s="2" t="s">
        <v>90</v>
      </c>
      <c r="F291" s="2" t="s">
        <v>15</v>
      </c>
      <c r="G291" s="2" t="s">
        <v>917</v>
      </c>
      <c r="H291" s="2" t="s">
        <v>608</v>
      </c>
      <c r="I291" s="2" t="str">
        <f>IFERROR(__xludf.DUMMYFUNCTION("GOOGLETRANSLATE(C291,""fr"",""en"")"),"Avoid going to the Axa Villiers sur Marne agency, I have had free life insurance since 2000 at the Garches Axa Agency. Last year on several occasions the AXA advisor contacted me to inform me that my contract after all these years was no longer taxable an"&amp;"d that one could invest without one more penny as expenses.
We decided with my wife at first to go see an agency near us in order to transfer the existing insurance contract, so she went to the Villiers sur Marne agency which convinced us that We can mak"&amp;"e the transfer of contracts without problem and without risk of loss of capital, we agreed to make the transfer and at the same time to make a deposit of our economy that we had on our booklet A to our free figures, it We also told us about a promotional "&amp;"offer being underway with a premium of 6% of the capital paid after 8 years without any case fees.
But we first wanted the transfer of our contract to be free and the deposit on this account.
After our request for transferring the contract, we awaited c"&amp;"onfirmation from the new agency of Villiers sur Marne. But after two months, we received documents for a new contract that had nothing to do with our transfer request, informing us of the subscription to an Alegro contract with significant costs that have"&amp;" been levied and no trace of the transfer From our old contract free figure, or we never wanted or sign for this type of contract and other documents or contracts (GPS).
On several occasions, we went to the Villiers agency to obtain an answer to our mess"&amp;"ages by email and to our registered letter, to request the refund, but the speech of the manager had not changed, he always makes us wait , he even offered us the documents for a new contract to sign in order to cover his maneuvre, the documents were retr"&amp;"o dated in January, when we were in March. This means that, if we had signed these documents in March when they were dated in January, we could not even give up since the period of reflection was widely exceeded.
March 22 after he contacted me to get to "&amp;"his agency, we discussed in order to find an amicable outcome and he signed up to make our money in urgent and he resumed The contracts he had transmitted to my wife to sing.
Without again from him on Wednesday, March 27, I go to the agency and once agai"&amp;"n he showed another image and this time he was violent and put me downright at the agency's door, while He had confirmed to us that he was going to do the necessary for the refund,
We are scandalized by the behavior of the manager and have the impression"&amp;" of being the victim of the fraudulent gangs, we do not understand why the AXA company allows this type of person tarnishing its reputation?
We now want to recover our money in an emergency and no longer have to do this type of society, I will not hesita"&amp;"te to get justice.
")</f>
        <v>Avoid going to the Axa Villiers sur Marne agency, I have had free life insurance since 2000 at the Garches Axa Agency. Last year on several occasions the AXA advisor contacted me to inform me that my contract after all these years was no longer taxable and that one could invest without one more penny as expenses.
We decided with my wife at first to go see an agency near us in order to transfer the existing insurance contract, so she went to the Villiers sur Marne agency which convinced us that We can make the transfer of contracts without problem and without risk of loss of capital, we agreed to make the transfer and at the same time to make a deposit of our economy that we had on our booklet A to our free figures, it We also told us about a promotional offer being underway with a premium of 6% of the capital paid after 8 years without any case fees.
But we first wanted the transfer of our contract to be free and the deposit on this account.
After our request for transferring the contract, we awaited confirmation from the new agency of Villiers sur Marne. But after two months, we received documents for a new contract that had nothing to do with our transfer request, informing us of the subscription to an Alegro contract with significant costs that have been levied and no trace of the transfer From our old contract free figure, or we never wanted or sign for this type of contract and other documents or contracts (GPS).
On several occasions, we went to the Villiers agency to obtain an answer to our messages by email and to our registered letter, to request the refund, but the speech of the manager had not changed, he always makes us wait , he even offered us the documents for a new contract to sign in order to cover his maneuvre, the documents were retro dated in January, when we were in March. This means that, if we had signed these documents in March when they were dated in January, we could not even give up since the period of reflection was widely exceeded.
March 22 after he contacted me to get to his agency, we discussed in order to find an amicable outcome and he signed up to make our money in urgent and he resumed The contracts he had transmitted to my wife to sing.
Without again from him on Wednesday, March 27, I go to the agency and once again he showed another image and this time he was violent and put me downright at the agency's door, while He had confirmed to us that he was going to do the necessary for the refund,
We are scandalized by the behavior of the manager and have the impression of being the victim of the fraudulent gangs, we do not understand why the AXA company allows this type of person tarnishing its reputation?
We now want to recover our money in an emergency and no longer have to do this type of society, I will not hesitate to get justice.
</v>
      </c>
    </row>
    <row r="292" ht="15.75" customHeight="1">
      <c r="A292" s="2">
        <v>4.0</v>
      </c>
      <c r="B292" s="2" t="s">
        <v>918</v>
      </c>
      <c r="C292" s="2" t="s">
        <v>919</v>
      </c>
      <c r="D292" s="2" t="s">
        <v>274</v>
      </c>
      <c r="E292" s="2" t="s">
        <v>14</v>
      </c>
      <c r="F292" s="2" t="s">
        <v>15</v>
      </c>
      <c r="G292" s="2" t="s">
        <v>920</v>
      </c>
      <c r="H292" s="2" t="s">
        <v>276</v>
      </c>
      <c r="I292" s="2" t="str">
        <f>IFERROR(__xludf.DUMMYFUNCTION("GOOGLETRANSLATE(C292,""fr"",""en"")"),"Very good contact sympathetic welcome and listening interlocutor and anxious to satisfy you.
The latter informed me about the exact date of the resumption of appointment with the optician
")</f>
        <v>Very good contact sympathetic welcome and listening interlocutor and anxious to satisfy you.
The latter informed me about the exact date of the resumption of appointment with the optician
</v>
      </c>
    </row>
    <row r="293" ht="15.75" customHeight="1">
      <c r="A293" s="2">
        <v>4.0</v>
      </c>
      <c r="B293" s="2" t="s">
        <v>921</v>
      </c>
      <c r="C293" s="2" t="s">
        <v>922</v>
      </c>
      <c r="D293" s="2" t="s">
        <v>31</v>
      </c>
      <c r="E293" s="2" t="s">
        <v>32</v>
      </c>
      <c r="F293" s="2" t="s">
        <v>15</v>
      </c>
      <c r="G293" s="2" t="s">
        <v>923</v>
      </c>
      <c r="H293" s="2" t="s">
        <v>39</v>
      </c>
      <c r="I293" s="2" t="str">
        <f>IFERROR(__xludf.DUMMYFUNCTION("GOOGLETRANSLATE(C293,""fr"",""en"")"),"Easy to subscribe, clear conditions, and affordable prices (and more attractive than competition). I am satisfied with the service, I will eventually recommend.")</f>
        <v>Easy to subscribe, clear conditions, and affordable prices (and more attractive than competition). I am satisfied with the service, I will eventually recommend.</v>
      </c>
    </row>
    <row r="294" ht="15.75" customHeight="1">
      <c r="A294" s="2">
        <v>1.0</v>
      </c>
      <c r="B294" s="2" t="s">
        <v>924</v>
      </c>
      <c r="C294" s="2" t="s">
        <v>925</v>
      </c>
      <c r="D294" s="2" t="s">
        <v>926</v>
      </c>
      <c r="E294" s="2" t="s">
        <v>14</v>
      </c>
      <c r="F294" s="2" t="s">
        <v>15</v>
      </c>
      <c r="G294" s="2" t="s">
        <v>927</v>
      </c>
      <c r="H294" s="2" t="s">
        <v>304</v>
      </c>
      <c r="I294" s="2" t="str">
        <f>IFERROR(__xludf.DUMMYFUNCTION("GOOGLETRANSLATE(C294,""fr"",""en"")"),"Inability - I paid for my daughter from 27 to 30 years old even though this insurance announces that she was no longer covered since the age of 27 ... Of course without opinion ... I Ask for his termination, and without being warned, they terminated me an"&amp;"d my wife without being warned - shameful scandalous, unlikely agents, it must stop.")</f>
        <v>Inability - I paid for my daughter from 27 to 30 years old even though this insurance announces that she was no longer covered since the age of 27 ... Of course without opinion ... I Ask for his termination, and without being warned, they terminated me and my wife without being warned - shameful scandalous, unlikely agents, it must stop.</v>
      </c>
    </row>
    <row r="295" ht="15.75" customHeight="1">
      <c r="A295" s="2">
        <v>5.0</v>
      </c>
      <c r="B295" s="2" t="s">
        <v>928</v>
      </c>
      <c r="C295" s="2" t="s">
        <v>929</v>
      </c>
      <c r="D295" s="2" t="s">
        <v>62</v>
      </c>
      <c r="E295" s="2" t="s">
        <v>21</v>
      </c>
      <c r="F295" s="2" t="s">
        <v>15</v>
      </c>
      <c r="G295" s="2" t="s">
        <v>930</v>
      </c>
      <c r="H295" s="2" t="s">
        <v>72</v>
      </c>
      <c r="I295" s="2" t="str">
        <f>IFERROR(__xludf.DUMMYFUNCTION("GOOGLETRANSLATE(C295,""fr"",""en"")"),"Simple and practical I am satisfied with the Direct Insurance Service to date I have never had any problem for any information and other. I recommend")</f>
        <v>Simple and practical I am satisfied with the Direct Insurance Service to date I have never had any problem for any information and other. I recommend</v>
      </c>
    </row>
    <row r="296" ht="15.75" customHeight="1">
      <c r="A296" s="2">
        <v>4.0</v>
      </c>
      <c r="B296" s="2" t="s">
        <v>931</v>
      </c>
      <c r="C296" s="2" t="s">
        <v>932</v>
      </c>
      <c r="D296" s="2" t="s">
        <v>62</v>
      </c>
      <c r="E296" s="2" t="s">
        <v>21</v>
      </c>
      <c r="F296" s="2" t="s">
        <v>15</v>
      </c>
      <c r="G296" s="2" t="s">
        <v>933</v>
      </c>
      <c r="H296" s="2" t="s">
        <v>44</v>
      </c>
      <c r="I296" s="2" t="str">
        <f>IFERROR(__xludf.DUMMYFUNCTION("GOOGLETRANSLATE(C296,""fr"",""en"")"),"Quite simple and clear quote to do either. Response relating to the phone for more precision; VERY GOOD. Nothing more to add more except that I hope the same reactivity in case of worries")</f>
        <v>Quite simple and clear quote to do either. Response relating to the phone for more precision; VERY GOOD. Nothing more to add more except that I hope the same reactivity in case of worries</v>
      </c>
    </row>
    <row r="297" ht="15.75" customHeight="1">
      <c r="A297" s="2">
        <v>4.0</v>
      </c>
      <c r="B297" s="2" t="s">
        <v>934</v>
      </c>
      <c r="C297" s="2" t="s">
        <v>935</v>
      </c>
      <c r="D297" s="2" t="s">
        <v>42</v>
      </c>
      <c r="E297" s="2" t="s">
        <v>21</v>
      </c>
      <c r="F297" s="2" t="s">
        <v>15</v>
      </c>
      <c r="G297" s="2" t="s">
        <v>936</v>
      </c>
      <c r="H297" s="2" t="s">
        <v>54</v>
      </c>
      <c r="I297" s="2" t="str">
        <f>IFERROR(__xludf.DUMMYFUNCTION("GOOGLETRANSLATE(C297,""fr"",""en"")"),"I am satisfied with the service and prices of Olivine Assurance. During the subscription the advisor explains very well and was very cordial")</f>
        <v>I am satisfied with the service and prices of Olivine Assurance. During the subscription the advisor explains very well and was very cordial</v>
      </c>
    </row>
    <row r="298" ht="15.75" customHeight="1">
      <c r="A298" s="2">
        <v>1.0</v>
      </c>
      <c r="B298" s="2" t="s">
        <v>937</v>
      </c>
      <c r="C298" s="2" t="s">
        <v>938</v>
      </c>
      <c r="D298" s="2" t="s">
        <v>159</v>
      </c>
      <c r="E298" s="2" t="s">
        <v>21</v>
      </c>
      <c r="F298" s="2" t="s">
        <v>15</v>
      </c>
      <c r="G298" s="2" t="s">
        <v>939</v>
      </c>
      <c r="H298" s="2" t="s">
        <v>886</v>
      </c>
      <c r="I298" s="2" t="str">
        <f>IFERROR(__xludf.DUMMYFUNCTION("GOOGLETRANSLATE(C298,""fr"",""en"")"),"Insurance that terminates an insurance contract with the sole reason: our internal policy has decided not to renew your contract ... in 4 years of insurance with them 1 non -responsible accident (2015) and 1 responsible accident (2017) . Unacceptable")</f>
        <v>Insurance that terminates an insurance contract with the sole reason: our internal policy has decided not to renew your contract ... in 4 years of insurance with them 1 non -responsible accident (2015) and 1 responsible accident (2017) . Unacceptable</v>
      </c>
    </row>
    <row r="299" ht="15.75" customHeight="1">
      <c r="A299" s="2">
        <v>4.0</v>
      </c>
      <c r="B299" s="2" t="s">
        <v>940</v>
      </c>
      <c r="C299" s="2" t="s">
        <v>941</v>
      </c>
      <c r="D299" s="2" t="s">
        <v>62</v>
      </c>
      <c r="E299" s="2" t="s">
        <v>21</v>
      </c>
      <c r="F299" s="2" t="s">
        <v>15</v>
      </c>
      <c r="G299" s="2" t="s">
        <v>942</v>
      </c>
      <c r="H299" s="2" t="s">
        <v>64</v>
      </c>
      <c r="I299" s="2" t="str">
        <f>IFERROR(__xludf.DUMMYFUNCTION("GOOGLETRANSLATE(C299,""fr"",""en"")"),"Hello, I had to spend 6 hours in the last 3 days to take out all -risk insurance with serenity pack for my vehicle! The prices given by your customer advisers are different from those simulated on the Direct Insurance portal, it is impossible to activate "&amp;"the Poulpeo cashback (€ 18+free ice cream franchise) Yet Direct Insurance Partner. The quotes sent by email are increased by 3 € when payment (?!) ... All the customer officers I had on the phone (4 calls for sometimes more than an hour!) were great ... Y"&amp;"ou can congratulate them! On the other hand, there is still work to do on your website!")</f>
        <v>Hello, I had to spend 6 hours in the last 3 days to take out all -risk insurance with serenity pack for my vehicle! The prices given by your customer advisers are different from those simulated on the Direct Insurance portal, it is impossible to activate the Poulpeo cashback (€ 18+free ice cream franchise) Yet Direct Insurance Partner. The quotes sent by email are increased by 3 € when payment (?!) ... All the customer officers I had on the phone (4 calls for sometimes more than an hour!) were great ... You can congratulate them! On the other hand, there is still work to do on your website!</v>
      </c>
    </row>
    <row r="300" ht="15.75" customHeight="1">
      <c r="A300" s="2">
        <v>4.0</v>
      </c>
      <c r="B300" s="2" t="s">
        <v>943</v>
      </c>
      <c r="C300" s="2" t="s">
        <v>944</v>
      </c>
      <c r="D300" s="2" t="s">
        <v>42</v>
      </c>
      <c r="E300" s="2" t="s">
        <v>21</v>
      </c>
      <c r="F300" s="2" t="s">
        <v>15</v>
      </c>
      <c r="G300" s="2" t="s">
        <v>59</v>
      </c>
      <c r="H300" s="2" t="s">
        <v>59</v>
      </c>
      <c r="I300" s="2" t="str">
        <f>IFERROR(__xludf.DUMMYFUNCTION("GOOGLETRANSLATE(C300,""fr"",""en"")"),"For the moment everything is ok. Price and telephone contact. The electronic procedure is very practical and fast. The prices are competitive and the welcome is pleasant")</f>
        <v>For the moment everything is ok. Price and telephone contact. The electronic procedure is very practical and fast. The prices are competitive and the welcome is pleasant</v>
      </c>
    </row>
    <row r="301" ht="15.75" customHeight="1">
      <c r="A301" s="2">
        <v>1.0</v>
      </c>
      <c r="B301" s="2" t="s">
        <v>945</v>
      </c>
      <c r="C301" s="2" t="s">
        <v>946</v>
      </c>
      <c r="D301" s="2" t="s">
        <v>26</v>
      </c>
      <c r="E301" s="2" t="s">
        <v>21</v>
      </c>
      <c r="F301" s="2" t="s">
        <v>15</v>
      </c>
      <c r="G301" s="2" t="s">
        <v>947</v>
      </c>
      <c r="H301" s="2" t="s">
        <v>225</v>
      </c>
      <c r="I301" s="2" t="str">
        <f>IFERROR(__xludf.DUMMYFUNCTION("GOOGLETRANSLATE(C301,""fr"",""en"")"),"Hello, my pregnant spouse and with her two children aged 10 and 8 broke down the highway by going to CDG this Wednesday and the insurance has managed the situation very badly.
First we asked to take CDG because the children had a plane to take. Instead, "&amp;"we were offered a rental car which was not necessarily a bad idea if it had been well organized. However, the rental car was in Orleans which moved us away from our final destination knowing that we had a plane to take and that we were 1 hour from CDG. Or"&amp;"léans is 2:30 am from the airport.
Second, arriving at the location is informed that the rental is impossible because my spouse has less than a year of license which did not be a problem when establishing our contract at the Matmut. Thirdly my spouse had"&amp;" to go to our place of home on his own after 6 hours of breakdown.
Today we ask that our broken down car be repatriated to our place of home and we are categorically refused this option because it is too far.
This affair is scandalous we intend to termi"&amp;"nate our contract with you.")</f>
        <v>Hello, my pregnant spouse and with her two children aged 10 and 8 broke down the highway by going to CDG this Wednesday and the insurance has managed the situation very badly.
First we asked to take CDG because the children had a plane to take. Instead, we were offered a rental car which was not necessarily a bad idea if it had been well organized. However, the rental car was in Orleans which moved us away from our final destination knowing that we had a plane to take and that we were 1 hour from CDG. Orléans is 2:30 am from the airport.
Second, arriving at the location is informed that the rental is impossible because my spouse has less than a year of license which did not be a problem when establishing our contract at the Matmut. Thirdly my spouse had to go to our place of home on his own after 6 hours of breakdown.
Today we ask that our broken down car be repatriated to our place of home and we are categorically refused this option because it is too far.
This affair is scandalous we intend to terminate our contract with you.</v>
      </c>
    </row>
    <row r="302" ht="15.75" customHeight="1">
      <c r="A302" s="2">
        <v>4.0</v>
      </c>
      <c r="B302" s="2" t="s">
        <v>948</v>
      </c>
      <c r="C302" s="2" t="s">
        <v>949</v>
      </c>
      <c r="D302" s="2" t="s">
        <v>67</v>
      </c>
      <c r="E302" s="2" t="s">
        <v>32</v>
      </c>
      <c r="F302" s="2" t="s">
        <v>15</v>
      </c>
      <c r="G302" s="2" t="s">
        <v>950</v>
      </c>
      <c r="H302" s="2" t="s">
        <v>44</v>
      </c>
      <c r="I302" s="2" t="str">
        <f>IFERROR(__xludf.DUMMYFUNCTION("GOOGLETRANSLATE(C302,""fr"",""en"")"),"I am satisfied with customer service. The slightly high price, but remains in the resonable. Rappidity of the service and good telephonic welcome. Cordially")</f>
        <v>I am satisfied with customer service. The slightly high price, but remains in the resonable. Rappidity of the service and good telephonic welcome. Cordially</v>
      </c>
    </row>
    <row r="303" ht="15.75" customHeight="1">
      <c r="A303" s="2">
        <v>1.0</v>
      </c>
      <c r="B303" s="2" t="s">
        <v>951</v>
      </c>
      <c r="C303" s="2" t="s">
        <v>952</v>
      </c>
      <c r="D303" s="2" t="s">
        <v>926</v>
      </c>
      <c r="E303" s="2" t="s">
        <v>14</v>
      </c>
      <c r="F303" s="2" t="s">
        <v>15</v>
      </c>
      <c r="G303" s="2" t="s">
        <v>953</v>
      </c>
      <c r="H303" s="2" t="s">
        <v>59</v>
      </c>
      <c r="I303" s="2" t="str">
        <f>IFERROR(__xludf.DUMMYFUNCTION("GOOGLETRANSLATE(C303,""fr"",""en"")"),"Loading...")</f>
        <v>Loading...</v>
      </c>
    </row>
    <row r="304" ht="15.75" customHeight="1">
      <c r="A304" s="2">
        <v>4.0</v>
      </c>
      <c r="B304" s="2" t="s">
        <v>954</v>
      </c>
      <c r="C304" s="2" t="s">
        <v>955</v>
      </c>
      <c r="D304" s="2" t="s">
        <v>42</v>
      </c>
      <c r="E304" s="2" t="s">
        <v>21</v>
      </c>
      <c r="F304" s="2" t="s">
        <v>15</v>
      </c>
      <c r="G304" s="2" t="s">
        <v>956</v>
      </c>
      <c r="H304" s="2" t="s">
        <v>957</v>
      </c>
      <c r="I304" s="2" t="str">
        <f>IFERROR(__xludf.DUMMYFUNCTION("GOOGLETRANSLATE(C304,""fr"",""en"")"),"Simple and quick. Satisfied . I will recommend your company. In addition you take care of the termination of my old contract, which makes things easier.")</f>
        <v>Simple and quick. Satisfied . I will recommend your company. In addition you take care of the termination of my old contract, which makes things easier.</v>
      </c>
    </row>
    <row r="305" ht="15.75" customHeight="1">
      <c r="A305" s="2">
        <v>1.0</v>
      </c>
      <c r="B305" s="2" t="s">
        <v>958</v>
      </c>
      <c r="C305" s="2" t="s">
        <v>959</v>
      </c>
      <c r="D305" s="2" t="s">
        <v>67</v>
      </c>
      <c r="E305" s="2" t="s">
        <v>32</v>
      </c>
      <c r="F305" s="2" t="s">
        <v>15</v>
      </c>
      <c r="G305" s="2" t="s">
        <v>960</v>
      </c>
      <c r="H305" s="2" t="s">
        <v>515</v>
      </c>
      <c r="I305" s="2" t="str">
        <f>IFERROR(__xludf.DUMMYFUNCTION("GOOGLETRANSLATE(C305,""fr"",""en"")"),"Victim Sinister Flight in August from customer service for me by giving me bogus apologies always no news from the expert or his identity for the contact to flee insurance and unpleasant service to flee .....")</f>
        <v>Victim Sinister Flight in August from customer service for me by giving me bogus apologies always no news from the expert or his identity for the contact to flee insurance and unpleasant service to flee .....</v>
      </c>
    </row>
    <row r="306" ht="15.75" customHeight="1">
      <c r="A306" s="2">
        <v>2.0</v>
      </c>
      <c r="B306" s="2" t="s">
        <v>961</v>
      </c>
      <c r="C306" s="2" t="s">
        <v>962</v>
      </c>
      <c r="D306" s="2" t="s">
        <v>963</v>
      </c>
      <c r="E306" s="2" t="s">
        <v>129</v>
      </c>
      <c r="F306" s="2" t="s">
        <v>15</v>
      </c>
      <c r="G306" s="2" t="s">
        <v>964</v>
      </c>
      <c r="H306" s="2" t="s">
        <v>28</v>
      </c>
      <c r="I306" s="2" t="str">
        <f>IFERROR(__xludf.DUMMYFUNCTION("GOOGLETRANSLATE(C306,""fr"",""en"")"),"I had 2 water damage in 2 different apartments. For the first they sent me a company that botched the work and Sali my accommodation. For the second, it was declared in early May and we are at the end of October, despite reminders the insulation and paint"&amp;"ing have still not been redone.")</f>
        <v>I had 2 water damage in 2 different apartments. For the first they sent me a company that botched the work and Sali my accommodation. For the second, it was declared in early May and we are at the end of October, despite reminders the insulation and painting have still not been redone.</v>
      </c>
    </row>
    <row r="307" ht="15.75" customHeight="1">
      <c r="A307" s="2">
        <v>4.0</v>
      </c>
      <c r="B307" s="2" t="s">
        <v>965</v>
      </c>
      <c r="C307" s="2" t="s">
        <v>966</v>
      </c>
      <c r="D307" s="2" t="s">
        <v>62</v>
      </c>
      <c r="E307" s="2" t="s">
        <v>21</v>
      </c>
      <c r="F307" s="2" t="s">
        <v>15</v>
      </c>
      <c r="G307" s="2" t="s">
        <v>647</v>
      </c>
      <c r="H307" s="2" t="s">
        <v>44</v>
      </c>
      <c r="I307" s="2" t="str">
        <f>IFERROR(__xludf.DUMMYFUNCTION("GOOGLETRANSLATE(C307,""fr"",""en"")"),"Loading...")</f>
        <v>Loading...</v>
      </c>
    </row>
    <row r="308" ht="15.75" customHeight="1">
      <c r="A308" s="2">
        <v>2.0</v>
      </c>
      <c r="B308" s="2" t="s">
        <v>967</v>
      </c>
      <c r="C308" s="2" t="s">
        <v>968</v>
      </c>
      <c r="D308" s="2" t="s">
        <v>81</v>
      </c>
      <c r="E308" s="2" t="s">
        <v>14</v>
      </c>
      <c r="F308" s="2" t="s">
        <v>15</v>
      </c>
      <c r="G308" s="2" t="s">
        <v>969</v>
      </c>
      <c r="H308" s="2" t="s">
        <v>276</v>
      </c>
      <c r="I308" s="2" t="str">
        <f>IFERROR(__xludf.DUMMYFUNCTION("GOOGLETRANSLATE(C308,""fr"",""en"")"),"Complicated for reimbursement the additional share for radios. 2 emails still nothing. Waited for 1/4 hour that I have someone but never had anyone")</f>
        <v>Complicated for reimbursement the additional share for radios. 2 emails still nothing. Waited for 1/4 hour that I have someone but never had anyone</v>
      </c>
    </row>
    <row r="309" ht="15.75" customHeight="1">
      <c r="A309" s="2">
        <v>3.0</v>
      </c>
      <c r="B309" s="2" t="s">
        <v>970</v>
      </c>
      <c r="C309" s="2" t="s">
        <v>971</v>
      </c>
      <c r="D309" s="2" t="s">
        <v>62</v>
      </c>
      <c r="E309" s="2" t="s">
        <v>21</v>
      </c>
      <c r="F309" s="2" t="s">
        <v>15</v>
      </c>
      <c r="G309" s="2" t="s">
        <v>972</v>
      </c>
      <c r="H309" s="2" t="s">
        <v>123</v>
      </c>
      <c r="I309" s="2" t="str">
        <f>IFERROR(__xludf.DUMMYFUNCTION("GOOGLETRANSLATE(C309,""fr"",""en"")"),"I am satisfied but as always too expensive while waiting to see how the management of a possible disaster takes place. The telephone service had to remind me at 6:00 p.m. it is 6:47 p.m. still no call!")</f>
        <v>I am satisfied but as always too expensive while waiting to see how the management of a possible disaster takes place. The telephone service had to remind me at 6:00 p.m. it is 6:47 p.m. still no call!</v>
      </c>
    </row>
    <row r="310" ht="15.75" customHeight="1">
      <c r="A310" s="2">
        <v>1.0</v>
      </c>
      <c r="B310" s="2" t="s">
        <v>973</v>
      </c>
      <c r="C310" s="2" t="s">
        <v>974</v>
      </c>
      <c r="D310" s="2" t="s">
        <v>62</v>
      </c>
      <c r="E310" s="2" t="s">
        <v>21</v>
      </c>
      <c r="F310" s="2" t="s">
        <v>15</v>
      </c>
      <c r="G310" s="2" t="s">
        <v>975</v>
      </c>
      <c r="H310" s="2" t="s">
        <v>64</v>
      </c>
      <c r="I310" s="2" t="str">
        <f>IFERROR(__xludf.DUMMYFUNCTION("GOOGLETRANSLATE(C310,""fr"",""en"")"),"I'm really not satisfied at all.
I subscribe to a car contract by phone after making a quote.
I am told that I will be able to change the effective date if necessary (depending on the reception of my bank check).
Indeed I receive my bank check two days"&amp;" before the scheduled date; I then call the number that I have been communicated to change the date.
After receipt by email of my new provisional insurance certificate, I realize that the price of my insurance contract has increased. I had to pay and I i"&amp;"nitially signed for an amount of 135.07 euros and I find myself having to pay 143.86 euros.
Quite surprise I remind the same number where I am told that we do not understand where this change comes from and that I will be reminded.
I'm waiting for three"&amp;" days and still no news. I then remind you and I am told that the change of effective date can cause additional costs and that it should have been clarified.
You can imagine that nobody warned me of all this, otherwise I would obviously have waited two d"&amp;"ays before recovering my car and I would have paid the amount for which I had chosen this insurance and this contract.
After having a good number of different people and services on the phone and without having the assurance that I was going to be reimbu"&amp;"rsed for costs already paid; I find myself forced to sign the new contract and pay 143.86 euros each month for a year.
I can't find it correct at all. And unfortunately I have the impression that you don't shock you.
I imagine that you understand now wh"&amp;"y I am not satisfied, even if I have the intimate conviction that this opinion does not really interest you and that my situation will not change.
Thank you anyway to the one who has taken the time to read me.")</f>
        <v>I'm really not satisfied at all.
I subscribe to a car contract by phone after making a quote.
I am told that I will be able to change the effective date if necessary (depending on the reception of my bank check).
Indeed I receive my bank check two days before the scheduled date; I then call the number that I have been communicated to change the date.
After receipt by email of my new provisional insurance certificate, I realize that the price of my insurance contract has increased. I had to pay and I initially signed for an amount of 135.07 euros and I find myself having to pay 143.86 euros.
Quite surprise I remind the same number where I am told that we do not understand where this change comes from and that I will be reminded.
I'm waiting for three days and still no news. I then remind you and I am told that the change of effective date can cause additional costs and that it should have been clarified.
You can imagine that nobody warned me of all this, otherwise I would obviously have waited two days before recovering my car and I would have paid the amount for which I had chosen this insurance and this contract.
After having a good number of different people and services on the phone and without having the assurance that I was going to be reimbursed for costs already paid; I find myself forced to sign the new contract and pay 143.86 euros each month for a year.
I can't find it correct at all. And unfortunately I have the impression that you don't shock you.
I imagine that you understand now why I am not satisfied, even if I have the intimate conviction that this opinion does not really interest you and that my situation will not change.
Thank you anyway to the one who has taken the time to read me.</v>
      </c>
    </row>
    <row r="311" ht="15.75" customHeight="1">
      <c r="A311" s="2">
        <v>2.0</v>
      </c>
      <c r="B311" s="2" t="s">
        <v>976</v>
      </c>
      <c r="C311" s="2" t="s">
        <v>977</v>
      </c>
      <c r="D311" s="2" t="s">
        <v>37</v>
      </c>
      <c r="E311" s="2" t="s">
        <v>14</v>
      </c>
      <c r="F311" s="2" t="s">
        <v>15</v>
      </c>
      <c r="G311" s="2" t="s">
        <v>978</v>
      </c>
      <c r="H311" s="2" t="s">
        <v>64</v>
      </c>
      <c r="I311" s="2" t="str">
        <f>IFERROR(__xludf.DUMMYFUNCTION("GOOGLETRANSLATE(C311,""fr"",""en"")"),"Loading...")</f>
        <v>Loading...</v>
      </c>
    </row>
    <row r="312" ht="15.75" customHeight="1">
      <c r="A312" s="2">
        <v>1.0</v>
      </c>
      <c r="B312" s="2" t="s">
        <v>979</v>
      </c>
      <c r="C312" s="2" t="s">
        <v>980</v>
      </c>
      <c r="D312" s="2" t="s">
        <v>250</v>
      </c>
      <c r="E312" s="2" t="s">
        <v>21</v>
      </c>
      <c r="F312" s="2" t="s">
        <v>15</v>
      </c>
      <c r="G312" s="2" t="s">
        <v>981</v>
      </c>
      <c r="H312" s="2" t="s">
        <v>548</v>
      </c>
      <c r="I312" s="2" t="str">
        <f>IFERROR(__xludf.DUMMYFUNCTION("GOOGLETRANSLATE(C312,""fr"",""en"")"),"Non -responsible sinister (any risk) with a leakage offense of the other driver with false plate. I find myself paying a deductible of € 420. I kindly asked for a commercial gesture on the franchise, she tells me that no unless I subscribe a Macif Banque "&amp;"product ... Unheard of ... lamentable to do her on a victim, I almost got angry At the agency ... I pay my franchise and I terminate all my insurance at home.
I sent email to Macif customer relations.")</f>
        <v>Non -responsible sinister (any risk) with a leakage offense of the other driver with false plate. I find myself paying a deductible of € 420. I kindly asked for a commercial gesture on the franchise, she tells me that no unless I subscribe a Macif Banque product ... Unheard of ... lamentable to do her on a victim, I almost got angry At the agency ... I pay my franchise and I terminate all my insurance at home.
I sent email to Macif customer relations.</v>
      </c>
    </row>
    <row r="313" ht="15.75" customHeight="1">
      <c r="A313" s="2">
        <v>3.0</v>
      </c>
      <c r="B313" s="2" t="s">
        <v>982</v>
      </c>
      <c r="C313" s="2" t="s">
        <v>983</v>
      </c>
      <c r="D313" s="2" t="s">
        <v>62</v>
      </c>
      <c r="E313" s="2" t="s">
        <v>21</v>
      </c>
      <c r="F313" s="2" t="s">
        <v>15</v>
      </c>
      <c r="G313" s="2" t="s">
        <v>984</v>
      </c>
      <c r="H313" s="2" t="s">
        <v>123</v>
      </c>
      <c r="I313" s="2" t="str">
        <f>IFERROR(__xludf.DUMMYFUNCTION("GOOGLETRANSLATE(C313,""fr"",""en"")"),"Loading...")</f>
        <v>Loading...</v>
      </c>
    </row>
    <row r="314" ht="15.75" customHeight="1">
      <c r="A314" s="2">
        <v>4.0</v>
      </c>
      <c r="B314" s="2" t="s">
        <v>985</v>
      </c>
      <c r="C314" s="2" t="s">
        <v>986</v>
      </c>
      <c r="D314" s="2" t="s">
        <v>42</v>
      </c>
      <c r="E314" s="2" t="s">
        <v>21</v>
      </c>
      <c r="F314" s="2" t="s">
        <v>15</v>
      </c>
      <c r="G314" s="2" t="s">
        <v>987</v>
      </c>
      <c r="H314" s="2" t="s">
        <v>72</v>
      </c>
      <c r="I314" s="2" t="str">
        <f>IFERROR(__xludf.DUMMYFUNCTION("GOOGLETRANSLATE(C314,""fr"",""en"")"),"Satisfied with the procedure. Second contract with the Olivier Assurances Auto.
Interesting and facilitated price for procedures. I recommend your insurance.")</f>
        <v>Satisfied with the procedure. Second contract with the Olivier Assurances Auto.
Interesting and facilitated price for procedures. I recommend your insurance.</v>
      </c>
    </row>
    <row r="315" ht="15.75" customHeight="1">
      <c r="A315" s="2">
        <v>3.0</v>
      </c>
      <c r="B315" s="2" t="s">
        <v>988</v>
      </c>
      <c r="C315" s="2" t="s">
        <v>989</v>
      </c>
      <c r="D315" s="2" t="s">
        <v>31</v>
      </c>
      <c r="E315" s="2" t="s">
        <v>32</v>
      </c>
      <c r="F315" s="2" t="s">
        <v>15</v>
      </c>
      <c r="G315" s="2" t="s">
        <v>293</v>
      </c>
      <c r="H315" s="2" t="s">
        <v>34</v>
      </c>
      <c r="I315" s="2" t="str">
        <f>IFERROR(__xludf.DUMMYFUNCTION("GOOGLETRANSLATE(C315,""fr"",""en"")"),"I am satisfied with the service of your insurance and your company I eat thank you for the ease to which we can access your site on the Internet Regards")</f>
        <v>I am satisfied with the service of your insurance and your company I eat thank you for the ease to which we can access your site on the Internet Regards</v>
      </c>
    </row>
    <row r="316" ht="15.75" customHeight="1">
      <c r="A316" s="2">
        <v>5.0</v>
      </c>
      <c r="B316" s="2" t="s">
        <v>990</v>
      </c>
      <c r="C316" s="2" t="s">
        <v>991</v>
      </c>
      <c r="D316" s="2" t="s">
        <v>62</v>
      </c>
      <c r="E316" s="2" t="s">
        <v>21</v>
      </c>
      <c r="F316" s="2" t="s">
        <v>15</v>
      </c>
      <c r="G316" s="2" t="s">
        <v>290</v>
      </c>
      <c r="H316" s="2" t="s">
        <v>72</v>
      </c>
      <c r="I316" s="2" t="str">
        <f>IFERROR(__xludf.DUMMYFUNCTION("GOOGLETRANSLATE(C316,""fr"",""en"")"),"Very welcome and explanations. Very satisfied with the services offered and prices, speed of execution and very clear explanations. I recommend.")</f>
        <v>Very welcome and explanations. Very satisfied with the services offered and prices, speed of execution and very clear explanations. I recommend.</v>
      </c>
    </row>
    <row r="317" ht="15.75" customHeight="1">
      <c r="A317" s="2">
        <v>1.0</v>
      </c>
      <c r="B317" s="2" t="s">
        <v>992</v>
      </c>
      <c r="C317" s="2" t="s">
        <v>993</v>
      </c>
      <c r="D317" s="2" t="s">
        <v>137</v>
      </c>
      <c r="E317" s="2" t="s">
        <v>129</v>
      </c>
      <c r="F317" s="2" t="s">
        <v>15</v>
      </c>
      <c r="G317" s="2" t="s">
        <v>994</v>
      </c>
      <c r="H317" s="2" t="s">
        <v>287</v>
      </c>
      <c r="I317" s="2" t="str">
        <f>IFERROR(__xludf.DUMMYFUNCTION("GOOGLETRANSLATE(C317,""fr"",""en"")"),"Now Maaf does not respect the customer. In two or three months she requests the documents impossible to provide, therefore no compensation. I had two claims and always the same thing")</f>
        <v>Now Maaf does not respect the customer. In two or three months she requests the documents impossible to provide, therefore no compensation. I had two claims and always the same thing</v>
      </c>
    </row>
    <row r="318" ht="15.75" customHeight="1">
      <c r="A318" s="2">
        <v>5.0</v>
      </c>
      <c r="B318" s="2" t="s">
        <v>995</v>
      </c>
      <c r="C318" s="2" t="s">
        <v>996</v>
      </c>
      <c r="D318" s="2" t="s">
        <v>42</v>
      </c>
      <c r="E318" s="2" t="s">
        <v>21</v>
      </c>
      <c r="F318" s="2" t="s">
        <v>15</v>
      </c>
      <c r="G318" s="2" t="s">
        <v>997</v>
      </c>
      <c r="H318" s="2" t="s">
        <v>123</v>
      </c>
      <c r="I318" s="2" t="str">
        <f>IFERROR(__xludf.DUMMYFUNCTION("GOOGLETRANSLATE(C318,""fr"",""en"")"),"Perfect very well inform
very reactive inexpensive insurance
I highly recommend the olive assurance for all very good online insurance I recommend")</f>
        <v>Perfect very well inform
very reactive inexpensive insurance
I highly recommend the olive assurance for all very good online insurance I recommend</v>
      </c>
    </row>
    <row r="319" ht="15.75" customHeight="1">
      <c r="A319" s="2">
        <v>1.0</v>
      </c>
      <c r="B319" s="2" t="s">
        <v>998</v>
      </c>
      <c r="C319" s="2" t="s">
        <v>999</v>
      </c>
      <c r="D319" s="2" t="s">
        <v>26</v>
      </c>
      <c r="E319" s="2" t="s">
        <v>129</v>
      </c>
      <c r="F319" s="2" t="s">
        <v>15</v>
      </c>
      <c r="G319" s="2" t="s">
        <v>1000</v>
      </c>
      <c r="H319" s="2" t="s">
        <v>215</v>
      </c>
      <c r="I319" s="2" t="str">
        <f>IFERROR(__xludf.DUMMYFUNCTION("GOOGLETRANSLATE(C319,""fr"",""en"")"),"Being immobilized following an operation I was entitled with the matmut assistance at 2 p.m. household aid only on the 1st month. I can't put my foot for 2 months and I have to manage on one foot to clean up. It is shameful knowing that we pay insurance o"&amp;"ver 1 year. I will change insurance")</f>
        <v>Being immobilized following an operation I was entitled with the matmut assistance at 2 p.m. household aid only on the 1st month. I can't put my foot for 2 months and I have to manage on one foot to clean up. It is shameful knowing that we pay insurance over 1 year. I will change insurance</v>
      </c>
    </row>
    <row r="320" ht="15.75" customHeight="1">
      <c r="A320" s="2">
        <v>3.0</v>
      </c>
      <c r="B320" s="2" t="s">
        <v>1001</v>
      </c>
      <c r="C320" s="2" t="s">
        <v>1002</v>
      </c>
      <c r="D320" s="2" t="s">
        <v>183</v>
      </c>
      <c r="E320" s="2" t="s">
        <v>14</v>
      </c>
      <c r="F320" s="2" t="s">
        <v>15</v>
      </c>
      <c r="G320" s="2" t="s">
        <v>1003</v>
      </c>
      <c r="H320" s="2" t="s">
        <v>413</v>
      </c>
      <c r="I320" s="2" t="str">
        <f>IFERROR(__xludf.DUMMYFUNCTION("GOOGLETRANSLATE(C320,""fr"",""en"")"),"Hello
I contacted you I was at Mutua Management 5 years when I signed my contract I paid 86 euros the first year after the new year it went to 96 euros
Without warning that I wanted to terminate and to date they still haven't taken")</f>
        <v>Hello
I contacted you I was at Mutua Management 5 years when I signed my contract I paid 86 euros the first year after the new year it went to 96 euros
Without warning that I wanted to terminate and to date they still haven't taken</v>
      </c>
    </row>
    <row r="321" ht="15.75" customHeight="1">
      <c r="A321" s="2">
        <v>5.0</v>
      </c>
      <c r="B321" s="2" t="s">
        <v>1004</v>
      </c>
      <c r="C321" s="2" t="s">
        <v>1005</v>
      </c>
      <c r="D321" s="2" t="s">
        <v>62</v>
      </c>
      <c r="E321" s="2" t="s">
        <v>21</v>
      </c>
      <c r="F321" s="2" t="s">
        <v>15</v>
      </c>
      <c r="G321" s="2" t="s">
        <v>1006</v>
      </c>
      <c r="H321" s="2" t="s">
        <v>123</v>
      </c>
      <c r="I321" s="2" t="str">
        <f>IFERROR(__xludf.DUMMYFUNCTION("GOOGLETRANSLATE(C321,""fr"",""en"")"),"I am satisfied with vau prodrui thank you for interest you are good insurance I will recommend this assurance as but close thank you for accepting me to assurz")</f>
        <v>I am satisfied with vau prodrui thank you for interest you are good insurance I will recommend this assurance as but close thank you for accepting me to assurz</v>
      </c>
    </row>
    <row r="322" ht="15.75" customHeight="1">
      <c r="A322" s="2">
        <v>1.0</v>
      </c>
      <c r="B322" s="2" t="s">
        <v>1007</v>
      </c>
      <c r="C322" s="2" t="s">
        <v>1008</v>
      </c>
      <c r="D322" s="2" t="s">
        <v>137</v>
      </c>
      <c r="E322" s="2" t="s">
        <v>21</v>
      </c>
      <c r="F322" s="2" t="s">
        <v>15</v>
      </c>
      <c r="G322" s="2" t="s">
        <v>164</v>
      </c>
      <c r="H322" s="2" t="s">
        <v>72</v>
      </c>
      <c r="I322" s="2" t="str">
        <f>IFERROR(__xludf.DUMMYFUNCTION("GOOGLETRANSLATE(C322,""fr"",""en"")"),"I have been at the Montereau agency for 1 hour. Only one person to take care of customers, the passenger director are time to discuss rain and good weather. Already 3 furious customers have left. This behavior is completely disrespectful of the customers "&amp;"that we are")</f>
        <v>I have been at the Montereau agency for 1 hour. Only one person to take care of customers, the passenger director are time to discuss rain and good weather. Already 3 furious customers have left. This behavior is completely disrespectful of the customers that we are</v>
      </c>
    </row>
    <row r="323" ht="15.75" customHeight="1">
      <c r="A323" s="2">
        <v>1.0</v>
      </c>
      <c r="B323" s="2" t="s">
        <v>1009</v>
      </c>
      <c r="C323" s="2" t="s">
        <v>1010</v>
      </c>
      <c r="D323" s="2" t="s">
        <v>1011</v>
      </c>
      <c r="E323" s="2" t="s">
        <v>457</v>
      </c>
      <c r="F323" s="2" t="s">
        <v>15</v>
      </c>
      <c r="G323" s="2" t="s">
        <v>1012</v>
      </c>
      <c r="H323" s="2" t="s">
        <v>50</v>
      </c>
      <c r="I323" s="2" t="str">
        <f>IFERROR(__xludf.DUMMYFUNCTION("GOOGLETRANSLATE(C323,""fr"",""en"")"),"Loading...")</f>
        <v>Loading...</v>
      </c>
    </row>
    <row r="324" ht="15.75" customHeight="1">
      <c r="A324" s="2">
        <v>5.0</v>
      </c>
      <c r="B324" s="2" t="s">
        <v>1013</v>
      </c>
      <c r="C324" s="2" t="s">
        <v>1014</v>
      </c>
      <c r="D324" s="2" t="s">
        <v>62</v>
      </c>
      <c r="E324" s="2" t="s">
        <v>21</v>
      </c>
      <c r="F324" s="2" t="s">
        <v>15</v>
      </c>
      <c r="G324" s="2" t="s">
        <v>1015</v>
      </c>
      <c r="H324" s="2" t="s">
        <v>44</v>
      </c>
      <c r="I324" s="2" t="str">
        <f>IFERROR(__xludf.DUMMYFUNCTION("GOOGLETRANSLATE(C324,""fr"",""en"")"),"I am satisfied with the services offered and the attractive prices of your insurance The mobile application which allows you to do.
")</f>
        <v>I am satisfied with the services offered and the attractive prices of your insurance The mobile application which allows you to do.
</v>
      </c>
    </row>
    <row r="325" ht="15.75" customHeight="1">
      <c r="A325" s="2">
        <v>2.0</v>
      </c>
      <c r="B325" s="2" t="s">
        <v>1016</v>
      </c>
      <c r="C325" s="2" t="s">
        <v>1017</v>
      </c>
      <c r="D325" s="2" t="s">
        <v>42</v>
      </c>
      <c r="E325" s="2" t="s">
        <v>21</v>
      </c>
      <c r="F325" s="2" t="s">
        <v>15</v>
      </c>
      <c r="G325" s="2" t="s">
        <v>909</v>
      </c>
      <c r="H325" s="2" t="s">
        <v>64</v>
      </c>
      <c r="I325" s="2" t="str">
        <f>IFERROR(__xludf.DUMMYFUNCTION("GOOGLETRANSLATE(C325,""fr"",""en"")"),"I am unhappy that a natural event (hail) of which I am absolutely not responsible, make me an increase in contribution so important !!")</f>
        <v>I am unhappy that a natural event (hail) of which I am absolutely not responsible, make me an increase in contribution so important !!</v>
      </c>
    </row>
    <row r="326" ht="15.75" customHeight="1">
      <c r="A326" s="2">
        <v>1.0</v>
      </c>
      <c r="B326" s="2" t="s">
        <v>1018</v>
      </c>
      <c r="C326" s="2" t="s">
        <v>1019</v>
      </c>
      <c r="D326" s="2" t="s">
        <v>62</v>
      </c>
      <c r="E326" s="2" t="s">
        <v>21</v>
      </c>
      <c r="F326" s="2" t="s">
        <v>15</v>
      </c>
      <c r="G326" s="2" t="s">
        <v>1020</v>
      </c>
      <c r="H326" s="2" t="s">
        <v>515</v>
      </c>
      <c r="I326" s="2" t="str">
        <f>IFERROR(__xludf.DUMMYFUNCTION("GOOGLETRANSLATE(C326,""fr"",""en"")"),"I took insurance at home on 01.09.2017 at third party.
The price a year was 740 euros.
To date I pay 836 euros when I have had no accidents and my bonus increased.
Believing that I pay too much, I made a comparator on the internet and what do I see wit"&amp;"h my amazed eyes, a proposal for D.A of 518 euros (???)
I contacted them to ask them to change my contract .... Refusal.
In fact it is only a call price and as other people who have given their opinions have written, its increases each year.
So I will "&amp;"take another insurance, but I find it unfortunate that they do not make efforts to keep their (good) customers, especially since with the Hamon law we can change insurer after a year of seniority.")</f>
        <v>I took insurance at home on 01.09.2017 at third party.
The price a year was 740 euros.
To date I pay 836 euros when I have had no accidents and my bonus increased.
Believing that I pay too much, I made a comparator on the internet and what do I see with my amazed eyes, a proposal for D.A of 518 euros (???)
I contacted them to ask them to change my contract .... Refusal.
In fact it is only a call price and as other people who have given their opinions have written, its increases each year.
So I will take another insurance, but I find it unfortunate that they do not make efforts to keep their (good) customers, especially since with the Hamon law we can change insurer after a year of seniority.</v>
      </c>
    </row>
    <row r="327" ht="15.75" customHeight="1">
      <c r="A327" s="2">
        <v>3.0</v>
      </c>
      <c r="B327" s="2" t="s">
        <v>1021</v>
      </c>
      <c r="C327" s="2" t="s">
        <v>1022</v>
      </c>
      <c r="D327" s="2" t="s">
        <v>183</v>
      </c>
      <c r="E327" s="2" t="s">
        <v>14</v>
      </c>
      <c r="F327" s="2" t="s">
        <v>15</v>
      </c>
      <c r="G327" s="2" t="s">
        <v>1023</v>
      </c>
      <c r="H327" s="2" t="s">
        <v>698</v>
      </c>
      <c r="I327" s="2" t="str">
        <f>IFERROR(__xludf.DUMMYFUNCTION("GOOGLETRANSLATE(C327,""fr"",""en"")"),"Hello,
A broker called me on Friday September 20, 2019 for complementary health insurance. He forced to take out the subscription and I can't find this normal. Especially since I told him that I didn't need it. I would like to cancel my health+provident "&amp;"adhesion total. Thanks in advance.
I will not fail to file a complaint with the gendarmerie.")</f>
        <v>Hello,
A broker called me on Friday September 20, 2019 for complementary health insurance. He forced to take out the subscription and I can't find this normal. Especially since I told him that I didn't need it. I would like to cancel my health+provident adhesion total. Thanks in advance.
I will not fail to file a complaint with the gendarmerie.</v>
      </c>
    </row>
    <row r="328" ht="15.75" customHeight="1">
      <c r="A328" s="2">
        <v>5.0</v>
      </c>
      <c r="B328" s="2" t="s">
        <v>1024</v>
      </c>
      <c r="C328" s="2" t="s">
        <v>1025</v>
      </c>
      <c r="D328" s="2" t="s">
        <v>274</v>
      </c>
      <c r="E328" s="2" t="s">
        <v>14</v>
      </c>
      <c r="F328" s="2" t="s">
        <v>15</v>
      </c>
      <c r="G328" s="2" t="s">
        <v>587</v>
      </c>
      <c r="H328" s="2" t="s">
        <v>276</v>
      </c>
      <c r="I328" s="2" t="str">
        <f>IFERROR(__xludf.DUMMYFUNCTION("GOOGLETRANSLATE(C328,""fr"",""en"")"),"Always listening, good advice and information, kind, helpful, questions answer, satisfactory; I have been there since 1972 and never had a problem; come confident.")</f>
        <v>Always listening, good advice and information, kind, helpful, questions answer, satisfactory; I have been there since 1972 and never had a problem; come confident.</v>
      </c>
    </row>
    <row r="329" ht="15.75" customHeight="1">
      <c r="A329" s="2">
        <v>2.0</v>
      </c>
      <c r="B329" s="2" t="s">
        <v>1026</v>
      </c>
      <c r="C329" s="2" t="s">
        <v>1027</v>
      </c>
      <c r="D329" s="2" t="s">
        <v>255</v>
      </c>
      <c r="E329" s="2" t="s">
        <v>21</v>
      </c>
      <c r="F329" s="2" t="s">
        <v>15</v>
      </c>
      <c r="G329" s="2" t="s">
        <v>1028</v>
      </c>
      <c r="H329" s="2" t="s">
        <v>113</v>
      </c>
      <c r="I329" s="2" t="str">
        <f>IFERROR(__xludf.DUMMYFUNCTION("GOOGLETRANSLATE(C329,""fr"",""en"")"),"Accident with offense of flight, I find the car that put me in a tree, on the right corner, and it was I who informed Allianz that he was insurer of this dirty person who left me on the edge from the road (when they had the license plate) the joke lasted "&amp;"1 year. More sounds more images")</f>
        <v>Accident with offense of flight, I find the car that put me in a tree, on the right corner, and it was I who informed Allianz that he was insurer of this dirty person who left me on the edge from the road (when they had the license plate) the joke lasted 1 year. More sounds more images</v>
      </c>
    </row>
    <row r="330" ht="15.75" customHeight="1">
      <c r="A330" s="2">
        <v>5.0</v>
      </c>
      <c r="B330" s="2" t="s">
        <v>1029</v>
      </c>
      <c r="C330" s="2" t="s">
        <v>1030</v>
      </c>
      <c r="D330" s="2" t="s">
        <v>62</v>
      </c>
      <c r="E330" s="2" t="s">
        <v>21</v>
      </c>
      <c r="F330" s="2" t="s">
        <v>15</v>
      </c>
      <c r="G330" s="2" t="s">
        <v>572</v>
      </c>
      <c r="H330" s="2" t="s">
        <v>154</v>
      </c>
      <c r="I330" s="2" t="str">
        <f>IFERROR(__xludf.DUMMYFUNCTION("GOOGLETRANSLATE(C330,""fr"",""en"")"),"satisfied with the use as well as the service allows you to have the prices live and quickly by entering these information as well as those of the vehicle")</f>
        <v>satisfied with the use as well as the service allows you to have the prices live and quickly by entering these information as well as those of the vehicle</v>
      </c>
    </row>
    <row r="331" ht="15.75" customHeight="1">
      <c r="A331" s="2">
        <v>4.0</v>
      </c>
      <c r="B331" s="2" t="s">
        <v>1031</v>
      </c>
      <c r="C331" s="2" t="s">
        <v>1032</v>
      </c>
      <c r="D331" s="2" t="s">
        <v>62</v>
      </c>
      <c r="E331" s="2" t="s">
        <v>21</v>
      </c>
      <c r="F331" s="2" t="s">
        <v>15</v>
      </c>
      <c r="G331" s="2" t="s">
        <v>373</v>
      </c>
      <c r="H331" s="2" t="s">
        <v>123</v>
      </c>
      <c r="I331" s="2" t="str">
        <f>IFERROR(__xludf.DUMMYFUNCTION("GOOGLETRANSLATE(C331,""fr"",""en"")"),"Loading...")</f>
        <v>Loading...</v>
      </c>
    </row>
    <row r="332" ht="15.75" customHeight="1">
      <c r="A332" s="2">
        <v>5.0</v>
      </c>
      <c r="B332" s="2" t="s">
        <v>1033</v>
      </c>
      <c r="C332" s="2" t="s">
        <v>1034</v>
      </c>
      <c r="D332" s="2" t="s">
        <v>67</v>
      </c>
      <c r="E332" s="2" t="s">
        <v>32</v>
      </c>
      <c r="F332" s="2" t="s">
        <v>15</v>
      </c>
      <c r="G332" s="2" t="s">
        <v>422</v>
      </c>
      <c r="H332" s="2" t="s">
        <v>72</v>
      </c>
      <c r="I332" s="2" t="str">
        <f>IFERROR(__xludf.DUMMYFUNCTION("GOOGLETRANSLATE(C332,""fr"",""en"")"),"Insured at AMV for fifteen years, I have read everything and its opposite on the internet. The price is attractive but what was it with the rest.
Following a claim, the file was very well processed by AMV. The whole negotiation part has been well managed"&amp;".
No complaints, I recommend.")</f>
        <v>Insured at AMV for fifteen years, I have read everything and its opposite on the internet. The price is attractive but what was it with the rest.
Following a claim, the file was very well processed by AMV. The whole negotiation part has been well managed.
No complaints, I recommend.</v>
      </c>
    </row>
    <row r="333" ht="15.75" customHeight="1">
      <c r="A333" s="2">
        <v>3.0</v>
      </c>
      <c r="B333" s="2" t="s">
        <v>1035</v>
      </c>
      <c r="C333" s="2" t="s">
        <v>1036</v>
      </c>
      <c r="D333" s="2" t="s">
        <v>67</v>
      </c>
      <c r="E333" s="2" t="s">
        <v>32</v>
      </c>
      <c r="F333" s="2" t="s">
        <v>15</v>
      </c>
      <c r="G333" s="2" t="s">
        <v>950</v>
      </c>
      <c r="H333" s="2" t="s">
        <v>44</v>
      </c>
      <c r="I333" s="2" t="str">
        <f>IFERROR(__xludf.DUMMYFUNCTION("GOOGLETRANSLATE(C333,""fr"",""en"")"),"Loading...")</f>
        <v>Loading...</v>
      </c>
    </row>
    <row r="334" ht="15.75" customHeight="1">
      <c r="A334" s="2">
        <v>5.0</v>
      </c>
      <c r="B334" s="2" t="s">
        <v>1037</v>
      </c>
      <c r="C334" s="2" t="s">
        <v>1038</v>
      </c>
      <c r="D334" s="2" t="s">
        <v>31</v>
      </c>
      <c r="E334" s="2" t="s">
        <v>32</v>
      </c>
      <c r="F334" s="2" t="s">
        <v>15</v>
      </c>
      <c r="G334" s="2" t="s">
        <v>327</v>
      </c>
      <c r="H334" s="2" t="s">
        <v>44</v>
      </c>
      <c r="I334" s="2" t="str">
        <f>IFERROR(__xludf.DUMMYFUNCTION("GOOGLETRANSLATE(C334,""fr"",""en"")"),"Super fast, satisfied with the service. What is superb is the principle. A crazy time saving. I was advised to ensure my motorcycle here. It is therefore without hesitation that I am here.")</f>
        <v>Super fast, satisfied with the service. What is superb is the principle. A crazy time saving. I was advised to ensure my motorcycle here. It is therefore without hesitation that I am here.</v>
      </c>
    </row>
    <row r="335" ht="15.75" customHeight="1">
      <c r="A335" s="2">
        <v>1.0</v>
      </c>
      <c r="B335" s="2" t="s">
        <v>1039</v>
      </c>
      <c r="C335" s="2" t="s">
        <v>1040</v>
      </c>
      <c r="D335" s="2" t="s">
        <v>133</v>
      </c>
      <c r="E335" s="2" t="s">
        <v>14</v>
      </c>
      <c r="F335" s="2" t="s">
        <v>15</v>
      </c>
      <c r="G335" s="2" t="s">
        <v>525</v>
      </c>
      <c r="H335" s="2" t="s">
        <v>59</v>
      </c>
      <c r="I335" s="2" t="str">
        <f>IFERROR(__xludf.DUMMYFUNCTION("GOOGLETRANSLATE(C335,""fr"",""en"")"),"Loading...")</f>
        <v>Loading...</v>
      </c>
    </row>
    <row r="336" ht="15.75" customHeight="1">
      <c r="A336" s="2">
        <v>5.0</v>
      </c>
      <c r="B336" s="2" t="s">
        <v>1041</v>
      </c>
      <c r="C336" s="2" t="s">
        <v>1042</v>
      </c>
      <c r="D336" s="2" t="s">
        <v>62</v>
      </c>
      <c r="E336" s="2" t="s">
        <v>21</v>
      </c>
      <c r="F336" s="2" t="s">
        <v>15</v>
      </c>
      <c r="G336" s="2" t="s">
        <v>1043</v>
      </c>
      <c r="H336" s="2" t="s">
        <v>44</v>
      </c>
      <c r="I336" s="2" t="str">
        <f>IFERROR(__xludf.DUMMYFUNCTION("GOOGLETRANSLATE(C336,""fr"",""en"")"),"I am very satisfied with the service and the price remains quite competitive. The subscription request is simple quick and effective. Registration is very intuitive.")</f>
        <v>I am very satisfied with the service and the price remains quite competitive. The subscription request is simple quick and effective. Registration is very intuitive.</v>
      </c>
    </row>
    <row r="337" ht="15.75" customHeight="1">
      <c r="A337" s="2">
        <v>5.0</v>
      </c>
      <c r="B337" s="2" t="s">
        <v>1044</v>
      </c>
      <c r="C337" s="2" t="s">
        <v>1045</v>
      </c>
      <c r="D337" s="2" t="s">
        <v>67</v>
      </c>
      <c r="E337" s="2" t="s">
        <v>32</v>
      </c>
      <c r="F337" s="2" t="s">
        <v>15</v>
      </c>
      <c r="G337" s="2" t="s">
        <v>647</v>
      </c>
      <c r="H337" s="2" t="s">
        <v>44</v>
      </c>
      <c r="I337" s="2" t="str">
        <f>IFERROR(__xludf.DUMMYFUNCTION("GOOGLETRANSLATE(C337,""fr"",""en"")"),"Loading...")</f>
        <v>Loading...</v>
      </c>
    </row>
    <row r="338" ht="15.75" customHeight="1">
      <c r="A338" s="2">
        <v>5.0</v>
      </c>
      <c r="B338" s="2" t="s">
        <v>1046</v>
      </c>
      <c r="C338" s="2" t="s">
        <v>1047</v>
      </c>
      <c r="D338" s="2" t="s">
        <v>37</v>
      </c>
      <c r="E338" s="2" t="s">
        <v>14</v>
      </c>
      <c r="F338" s="2" t="s">
        <v>15</v>
      </c>
      <c r="G338" s="2" t="s">
        <v>1048</v>
      </c>
      <c r="H338" s="2" t="s">
        <v>39</v>
      </c>
      <c r="I338" s="2" t="str">
        <f>IFERROR(__xludf.DUMMYFUNCTION("GOOGLETRANSLATE(C338,""fr"",""en"")"),"Simple and quick I recommend very good site quote received very quickly explanations very well described very correct price for students in short I recommend")</f>
        <v>Simple and quick I recommend very good site quote received very quickly explanations very well described very correct price for students in short I recommend</v>
      </c>
    </row>
    <row r="339" ht="15.75" customHeight="1">
      <c r="A339" s="2">
        <v>4.0</v>
      </c>
      <c r="B339" s="2" t="s">
        <v>1049</v>
      </c>
      <c r="C339" s="2" t="s">
        <v>1050</v>
      </c>
      <c r="D339" s="2" t="s">
        <v>62</v>
      </c>
      <c r="E339" s="2" t="s">
        <v>21</v>
      </c>
      <c r="F339" s="2" t="s">
        <v>15</v>
      </c>
      <c r="G339" s="2" t="s">
        <v>618</v>
      </c>
      <c r="H339" s="2" t="s">
        <v>72</v>
      </c>
      <c r="I339" s="2" t="str">
        <f>IFERROR(__xludf.DUMMYFUNCTION("GOOGLETRANSLATE(C339,""fr"",""en"")"),"Loading...")</f>
        <v>Loading...</v>
      </c>
    </row>
    <row r="340" ht="15.75" customHeight="1">
      <c r="A340" s="2">
        <v>1.0</v>
      </c>
      <c r="B340" s="2" t="s">
        <v>1051</v>
      </c>
      <c r="C340" s="2" t="s">
        <v>1052</v>
      </c>
      <c r="D340" s="2" t="s">
        <v>62</v>
      </c>
      <c r="E340" s="2" t="s">
        <v>21</v>
      </c>
      <c r="F340" s="2" t="s">
        <v>15</v>
      </c>
      <c r="G340" s="2" t="s">
        <v>615</v>
      </c>
      <c r="H340" s="2" t="s">
        <v>64</v>
      </c>
      <c r="I340" s="2" t="str">
        <f>IFERROR(__xludf.DUMMYFUNCTION("GOOGLETRANSLATE(C340,""fr"",""en"")"),"I have paid your insurance too much for years, without having a claim. The only time I had a problem (vandalism with inscriptions on my door), your franchise was more important than the repair itself. So I gave up playing insurance.
During my last renewa"&amp;"l, you increased my insurance policy while for 4 years I had no claim.
In addition, during the containment period you have not reduced your prices unlike a good part of the insurance.
I am happy to terminate and will not come back to you anymore.
")</f>
        <v>I have paid your insurance too much for years, without having a claim. The only time I had a problem (vandalism with inscriptions on my door), your franchise was more important than the repair itself. So I gave up playing insurance.
During my last renewal, you increased my insurance policy while for 4 years I had no claim.
In addition, during the containment period you have not reduced your prices unlike a good part of the insurance.
I am happy to terminate and will not come back to you anymore.
</v>
      </c>
    </row>
    <row r="341" ht="15.75" customHeight="1">
      <c r="A341" s="2">
        <v>4.0</v>
      </c>
      <c r="B341" s="2" t="s">
        <v>1053</v>
      </c>
      <c r="C341" s="2" t="s">
        <v>1054</v>
      </c>
      <c r="D341" s="2" t="s">
        <v>42</v>
      </c>
      <c r="E341" s="2" t="s">
        <v>21</v>
      </c>
      <c r="F341" s="2" t="s">
        <v>15</v>
      </c>
      <c r="G341" s="2" t="s">
        <v>1055</v>
      </c>
      <c r="H341" s="2" t="s">
        <v>54</v>
      </c>
      <c r="I341" s="2" t="str">
        <f>IFERROR(__xludf.DUMMYFUNCTION("GOOGLETRANSLATE(C341,""fr"",""en"")"),"I am satisfied, a fairly good responsiveness. The advisor I had on the phone was very clear and friendly. The prices are also rather satisfactory.")</f>
        <v>I am satisfied, a fairly good responsiveness. The advisor I had on the phone was very clear and friendly. The prices are also rather satisfactory.</v>
      </c>
    </row>
    <row r="342" ht="15.75" customHeight="1">
      <c r="A342" s="2">
        <v>1.0</v>
      </c>
      <c r="B342" s="2" t="s">
        <v>1056</v>
      </c>
      <c r="C342" s="2" t="s">
        <v>1057</v>
      </c>
      <c r="D342" s="2" t="s">
        <v>926</v>
      </c>
      <c r="E342" s="2" t="s">
        <v>14</v>
      </c>
      <c r="F342" s="2" t="s">
        <v>15</v>
      </c>
      <c r="G342" s="2" t="s">
        <v>1058</v>
      </c>
      <c r="H342" s="2" t="s">
        <v>113</v>
      </c>
      <c r="I342" s="2" t="str">
        <f>IFERROR(__xludf.DUMMYFUNCTION("GOOGLETRANSLATE(C342,""fr"",""en"")"),"Very disappointed with the management and the harmony application and I, we are told that you have to go to the app to see when an advisor is available on the phone ... Where do we find this option?
What about the refused reimbursements? Do you have a ju"&amp;"stification for these refusals ????
Only one thing, run away until there is time!")</f>
        <v>Very disappointed with the management and the harmony application and I, we are told that you have to go to the app to see when an advisor is available on the phone ... Where do we find this option?
What about the refused reimbursements? Do you have a justification for these refusals ????
Only one thing, run away until there is time!</v>
      </c>
    </row>
    <row r="343" ht="15.75" customHeight="1">
      <c r="A343" s="2">
        <v>5.0</v>
      </c>
      <c r="B343" s="2" t="s">
        <v>1059</v>
      </c>
      <c r="C343" s="2" t="s">
        <v>1060</v>
      </c>
      <c r="D343" s="2" t="s">
        <v>42</v>
      </c>
      <c r="E343" s="2" t="s">
        <v>21</v>
      </c>
      <c r="F343" s="2" t="s">
        <v>15</v>
      </c>
      <c r="G343" s="2" t="s">
        <v>1061</v>
      </c>
      <c r="H343" s="2" t="s">
        <v>72</v>
      </c>
      <c r="I343" s="2" t="str">
        <f>IFERROR(__xludf.DUMMYFUNCTION("GOOGLETRANSLATE(C343,""fr"",""en"")"),"I am satisfied with the price and the advisers I had on the phone.
It is good to have that French advisers based in France.
I saved € 300 compared to my old insurance.")</f>
        <v>I am satisfied with the price and the advisers I had on the phone.
It is good to have that French advisers based in France.
I saved € 300 compared to my old insurance.</v>
      </c>
    </row>
    <row r="344" ht="15.75" customHeight="1">
      <c r="A344" s="2">
        <v>1.0</v>
      </c>
      <c r="B344" s="2" t="s">
        <v>1062</v>
      </c>
      <c r="C344" s="2" t="s">
        <v>1063</v>
      </c>
      <c r="D344" s="2" t="s">
        <v>37</v>
      </c>
      <c r="E344" s="2" t="s">
        <v>76</v>
      </c>
      <c r="F344" s="2" t="s">
        <v>15</v>
      </c>
      <c r="G344" s="2" t="s">
        <v>1061</v>
      </c>
      <c r="H344" s="2" t="s">
        <v>72</v>
      </c>
      <c r="I344" s="2" t="str">
        <f>IFERROR(__xludf.DUMMYFUNCTION("GOOGLETRANSLATE(C344,""fr"",""en"")"),"Hello, after a fall on August 5, 2018 my wrist broke then I had an algodystrophy so I stayed long in work stop. April took care of my loan after 3 months of frankness but until January 6, 2020 when the expert doctor of social security summons me and told "&amp;"me to stop extending my stops. I made a dispute because I still hurt the wrist I was again summoned by the doctor who accepted me. Social security pay me but April wanted me to see an expert doctor from their home I accepted but they have long long found "&amp;"me an expert doctor. I could not see this expert doctor until January 2021 who barely listened to me. Result April refuses to take care of the loan and if I want to contest I have to pay an expert doctor (around 300th) for a counter expertise !! I cannot "&amp;"pay such a sum and even if I pay the expert doctor will even more than 1 year after necessarily my wrist is better !! it is not logical!")</f>
        <v>Hello, after a fall on August 5, 2018 my wrist broke then I had an algodystrophy so I stayed long in work stop. April took care of my loan after 3 months of frankness but until January 6, 2020 when the expert doctor of social security summons me and told me to stop extending my stops. I made a dispute because I still hurt the wrist I was again summoned by the doctor who accepted me. Social security pay me but April wanted me to see an expert doctor from their home I accepted but they have long long found me an expert doctor. I could not see this expert doctor until January 2021 who barely listened to me. Result April refuses to take care of the loan and if I want to contest I have to pay an expert doctor (around 300th) for a counter expertise !! I cannot pay such a sum and even if I pay the expert doctor will even more than 1 year after necessarily my wrist is better !! it is not logical!</v>
      </c>
    </row>
    <row r="345" ht="15.75" customHeight="1">
      <c r="A345" s="2">
        <v>4.0</v>
      </c>
      <c r="B345" s="2" t="s">
        <v>1064</v>
      </c>
      <c r="C345" s="2" t="s">
        <v>1065</v>
      </c>
      <c r="D345" s="2" t="s">
        <v>26</v>
      </c>
      <c r="E345" s="2" t="s">
        <v>21</v>
      </c>
      <c r="F345" s="2" t="s">
        <v>15</v>
      </c>
      <c r="G345" s="2" t="s">
        <v>1066</v>
      </c>
      <c r="H345" s="2" t="s">
        <v>28</v>
      </c>
      <c r="I345" s="2" t="str">
        <f>IFERROR(__xludf.DUMMYFUNCTION("GOOGLETRANSLATE(C345,""fr"",""en"")"),"I have been in this insurance for 30 years, nothing to complain about total satisfaction. In case of concerns everything was nickel. Very good contact with the interlocutors. No complaints to make them. I recommend this insurance without problem and moreo"&amp;"ver some of my relatives are there today.")</f>
        <v>I have been in this insurance for 30 years, nothing to complain about total satisfaction. In case of concerns everything was nickel. Very good contact with the interlocutors. No complaints to make them. I recommend this insurance without problem and moreover some of my relatives are there today.</v>
      </c>
    </row>
    <row r="346" ht="15.75" customHeight="1">
      <c r="A346" s="2">
        <v>5.0</v>
      </c>
      <c r="B346" s="2" t="s">
        <v>1067</v>
      </c>
      <c r="C346" s="2" t="s">
        <v>1068</v>
      </c>
      <c r="D346" s="2" t="s">
        <v>42</v>
      </c>
      <c r="E346" s="2" t="s">
        <v>21</v>
      </c>
      <c r="F346" s="2" t="s">
        <v>15</v>
      </c>
      <c r="G346" s="2" t="s">
        <v>43</v>
      </c>
      <c r="H346" s="2" t="s">
        <v>44</v>
      </c>
      <c r="I346" s="2" t="str">
        <f>IFERROR(__xludf.DUMMYFUNCTION("GOOGLETRANSLATE(C346,""fr"",""en"")"),"Very well, easy to subscribe, no one easily reachable, reasonable price for young people, too bad you do not make motorcycles insurance")</f>
        <v>Very well, easy to subscribe, no one easily reachable, reasonable price for young people, too bad you do not make motorcycles insurance</v>
      </c>
    </row>
    <row r="347" ht="15.75" customHeight="1">
      <c r="A347" s="2">
        <v>2.0</v>
      </c>
      <c r="B347" s="2" t="s">
        <v>1069</v>
      </c>
      <c r="C347" s="2" t="s">
        <v>1070</v>
      </c>
      <c r="D347" s="2" t="s">
        <v>137</v>
      </c>
      <c r="E347" s="2" t="s">
        <v>21</v>
      </c>
      <c r="F347" s="2" t="s">
        <v>15</v>
      </c>
      <c r="G347" s="2" t="s">
        <v>1071</v>
      </c>
      <c r="H347" s="2" t="s">
        <v>154</v>
      </c>
      <c r="I347" s="2" t="str">
        <f>IFERROR(__xludf.DUMMYFUNCTION("GOOGLETRANSLATE(C347,""fr"",""en"")"),"After 30 years having assured everything at home house with all the guarantees and all the 3 cars a motorcycle.
I bought a car from where I had absolutely no luck. 2 years ago broke down on the highway, the year after cracking at the windshield and the l"&amp;"ast my vehicle sets fire while I drive.
I was very afraid and I was very lucky that one person but warned that the fire was under the vehicle which left me time to stop.
No concern for customer service which has been reactive very well, on the other han"&amp;"d, on the other hand, the fully unpleasant director, the designer tells me about the desire not to want to make a vehicle anymore.
His answer was you understand that cost us a little expensive reimbursement of your vehicle.
As if I had done it on purpos"&amp;"e while I ride my car.
So I understood that for her OK to have big insurance but only provided that it does not happen I am more than disappointed with the maaf.")</f>
        <v>After 30 years having assured everything at home house with all the guarantees and all the 3 cars a motorcycle.
I bought a car from where I had absolutely no luck. 2 years ago broke down on the highway, the year after cracking at the windshield and the last my vehicle sets fire while I drive.
I was very afraid and I was very lucky that one person but warned that the fire was under the vehicle which left me time to stop.
No concern for customer service which has been reactive very well, on the other hand, on the other hand, the fully unpleasant director, the designer tells me about the desire not to want to make a vehicle anymore.
His answer was you understand that cost us a little expensive reimbursement of your vehicle.
As if I had done it on purpose while I ride my car.
So I understood that for her OK to have big insurance but only provided that it does not happen I am more than disappointed with the maaf.</v>
      </c>
    </row>
    <row r="348" ht="15.75" customHeight="1">
      <c r="A348" s="2">
        <v>2.0</v>
      </c>
      <c r="B348" s="2" t="s">
        <v>1072</v>
      </c>
      <c r="C348" s="2" t="s">
        <v>1073</v>
      </c>
      <c r="D348" s="2" t="s">
        <v>183</v>
      </c>
      <c r="E348" s="2" t="s">
        <v>14</v>
      </c>
      <c r="F348" s="2" t="s">
        <v>15</v>
      </c>
      <c r="G348" s="2" t="s">
        <v>262</v>
      </c>
      <c r="H348" s="2" t="s">
        <v>34</v>
      </c>
      <c r="I348" s="2" t="str">
        <f>IFERROR(__xludf.DUMMYFUNCTION("GOOGLETRANSLATE(C348,""fr"",""en"")"),"I share my dissatisfaction with you, because I made a request for care through my optician more than a week ago, I still haven't had an answer
I am very disappointed, if that does not improve we will end our contract within
Provided by law.
Cordially")</f>
        <v>I share my dissatisfaction with you, because I made a request for care through my optician more than a week ago, I still haven't had an answer
I am very disappointed, if that does not improve we will end our contract within
Provided by law.
Cordially</v>
      </c>
    </row>
    <row r="349" ht="15.75" customHeight="1">
      <c r="A349" s="2">
        <v>4.0</v>
      </c>
      <c r="B349" s="2" t="s">
        <v>1074</v>
      </c>
      <c r="C349" s="2" t="s">
        <v>1075</v>
      </c>
      <c r="D349" s="2" t="s">
        <v>42</v>
      </c>
      <c r="E349" s="2" t="s">
        <v>21</v>
      </c>
      <c r="F349" s="2" t="s">
        <v>15</v>
      </c>
      <c r="G349" s="2" t="s">
        <v>1076</v>
      </c>
      <c r="H349" s="2" t="s">
        <v>723</v>
      </c>
      <c r="I349" s="2" t="str">
        <f>IFERROR(__xludf.DUMMYFUNCTION("GOOGLETRANSLATE(C349,""fr"",""en"")"),"Loading...")</f>
        <v>Loading...</v>
      </c>
    </row>
    <row r="350" ht="15.75" customHeight="1">
      <c r="A350" s="2">
        <v>1.0</v>
      </c>
      <c r="B350" s="2" t="s">
        <v>1077</v>
      </c>
      <c r="C350" s="2" t="s">
        <v>1078</v>
      </c>
      <c r="D350" s="2" t="s">
        <v>99</v>
      </c>
      <c r="E350" s="2" t="s">
        <v>21</v>
      </c>
      <c r="F350" s="2" t="s">
        <v>15</v>
      </c>
      <c r="G350" s="2" t="s">
        <v>1079</v>
      </c>
      <c r="H350" s="2" t="s">
        <v>72</v>
      </c>
      <c r="I350" s="2" t="str">
        <f>IFERROR(__xludf.DUMMYFUNCTION("GOOGLETRANSLATE(C350,""fr"",""en"")"),"
- I contacted you, for an insurance request, for a new vehicle.
Following a long 45 -minute discussion, on the Marseille site, through Mr B ... Olivier, I saw myself refused access to my vehicle's insurance.
We have been insured at home for at least 2"&amp;"1 years, I do not count before.
This person, did not want to discuss, or tried to understand, my request for vehicle insurance, the only possibility was by negation, I think that a little dialogue would have been beneficial, for everyone.
I have not tri"&amp;"ed to search, to go further in the conversation, because this was no longer possible.
However, this person blocked my internet account, without any consultation, or no information, from him.
- Regarding the professional price increase on a new vehic"&amp;"le, we have not received any information, concerning this.
- I looked on the information document ""Price evolution 2021"" and at no time, it is alluded, of professional pricing development.
- This is an unspeakable lack of information.
On the ot"&amp;"her hand, I made a document request on the MAIF website, concerning, a copy of green card certificate, this has happened twice, and again to date, I always wait for this paper.
To follow, I do not believe that all this is still worth the point of makin"&amp;"g believe, that all members are egalitarian.
")</f>
        <v>
- I contacted you, for an insurance request, for a new vehicle.
Following a long 45 -minute discussion, on the Marseille site, through Mr B ... Olivier, I saw myself refused access to my vehicle's insurance.
We have been insured at home for at least 21 years, I do not count before.
This person, did not want to discuss, or tried to understand, my request for vehicle insurance, the only possibility was by negation, I think that a little dialogue would have been beneficial, for everyone.
I have not tried to search, to go further in the conversation, because this was no longer possible.
However, this person blocked my internet account, without any consultation, or no information, from him.
- Regarding the professional price increase on a new vehicle, we have not received any information, concerning this.
- I looked on the information document "Price evolution 2021" and at no time, it is alluded, of professional pricing development.
- This is an unspeakable lack of information.
On the other hand, I made a document request on the MAIF website, concerning, a copy of green card certificate, this has happened twice, and again to date, I always wait for this paper.
To follow, I do not believe that all this is still worth the point of making believe, that all members are egalitarian.
</v>
      </c>
    </row>
    <row r="351" ht="15.75" customHeight="1">
      <c r="A351" s="2">
        <v>4.0</v>
      </c>
      <c r="B351" s="2" t="s">
        <v>1080</v>
      </c>
      <c r="C351" s="2" t="s">
        <v>1081</v>
      </c>
      <c r="D351" s="2" t="s">
        <v>62</v>
      </c>
      <c r="E351" s="2" t="s">
        <v>21</v>
      </c>
      <c r="F351" s="2" t="s">
        <v>15</v>
      </c>
      <c r="G351" s="2" t="s">
        <v>978</v>
      </c>
      <c r="H351" s="2" t="s">
        <v>64</v>
      </c>
      <c r="I351" s="2" t="str">
        <f>IFERROR(__xludf.DUMMYFUNCTION("GOOGLETRANSLATE(C351,""fr"",""en"")"),"Loading...")</f>
        <v>Loading...</v>
      </c>
    </row>
    <row r="352" ht="15.75" customHeight="1">
      <c r="A352" s="2">
        <v>4.0</v>
      </c>
      <c r="B352" s="2" t="s">
        <v>1082</v>
      </c>
      <c r="C352" s="2" t="s">
        <v>1083</v>
      </c>
      <c r="D352" s="2" t="s">
        <v>42</v>
      </c>
      <c r="E352" s="2" t="s">
        <v>21</v>
      </c>
      <c r="F352" s="2" t="s">
        <v>15</v>
      </c>
      <c r="G352" s="2" t="s">
        <v>1084</v>
      </c>
      <c r="H352" s="2" t="s">
        <v>54</v>
      </c>
      <c r="I352" s="2" t="str">
        <f>IFERROR(__xludf.DUMMYFUNCTION("GOOGLETRANSLATE(C352,""fr"",""en"")"),"A big thank you to Myriam. Courteous and kind. But among your teleconsillers there are some who are tense and unmanageable. Price just no bizardic technical words and incomprehensible jargon")</f>
        <v>A big thank you to Myriam. Courteous and kind. But among your teleconsillers there are some who are tense and unmanageable. Price just no bizardic technical words and incomprehensible jargon</v>
      </c>
    </row>
    <row r="353" ht="15.75" customHeight="1">
      <c r="A353" s="2">
        <v>1.0</v>
      </c>
      <c r="B353" s="2" t="s">
        <v>1085</v>
      </c>
      <c r="C353" s="2" t="s">
        <v>1086</v>
      </c>
      <c r="D353" s="2" t="s">
        <v>542</v>
      </c>
      <c r="E353" s="2" t="s">
        <v>104</v>
      </c>
      <c r="F353" s="2" t="s">
        <v>15</v>
      </c>
      <c r="G353" s="2" t="s">
        <v>1012</v>
      </c>
      <c r="H353" s="2" t="s">
        <v>50</v>
      </c>
      <c r="I353" s="2" t="str">
        <f>IFERROR(__xludf.DUMMYFUNCTION("GOOGLETRANSLATE(C353,""fr"",""en"")"),"Loading...")</f>
        <v>Loading...</v>
      </c>
    </row>
    <row r="354" ht="15.75" customHeight="1">
      <c r="A354" s="2">
        <v>1.0</v>
      </c>
      <c r="B354" s="2" t="s">
        <v>1087</v>
      </c>
      <c r="C354" s="2" t="s">
        <v>1088</v>
      </c>
      <c r="D354" s="2" t="s">
        <v>47</v>
      </c>
      <c r="E354" s="2" t="s">
        <v>21</v>
      </c>
      <c r="F354" s="2" t="s">
        <v>15</v>
      </c>
      <c r="G354" s="2" t="s">
        <v>453</v>
      </c>
      <c r="H354" s="2" t="s">
        <v>370</v>
      </c>
      <c r="I354" s="2" t="str">
        <f>IFERROR(__xludf.DUMMYFUNCTION("GOOGLETRANSLATE(C354,""fr"",""en"")"),"Help, help how possible it is such insurance. He do what want, no listening or possible dialogue, you have to do another job. Dare to attack my child through his subscription. Inadmissible.
I am thinking soon to give them a short visit of courtesy so tha"&amp;"t they explain their ways of doing things to me. He makes the slaughter, the money must return and the customer in all this? They do not take into account their customers, alone The procedures count. I currently have a health problem, but I will be happy "&amp;"to tumble in their agency and will have it well. For summary because we have all our problems, the Aubagne agency and to avoid and I hope the other agencies are different.")</f>
        <v>Help, help how possible it is such insurance. He do what want, no listening or possible dialogue, you have to do another job. Dare to attack my child through his subscription. Inadmissible.
I am thinking soon to give them a short visit of courtesy so that they explain their ways of doing things to me. He makes the slaughter, the money must return and the customer in all this? They do not take into account their customers, alone The procedures count. I currently have a health problem, but I will be happy to tumble in their agency and will have it well. For summary because we have all our problems, the Aubagne agency and to avoid and I hope the other agencies are different.</v>
      </c>
    </row>
    <row r="355" ht="15.75" customHeight="1">
      <c r="A355" s="2">
        <v>2.0</v>
      </c>
      <c r="B355" s="2" t="s">
        <v>1089</v>
      </c>
      <c r="C355" s="2" t="s">
        <v>1090</v>
      </c>
      <c r="D355" s="2" t="s">
        <v>133</v>
      </c>
      <c r="E355" s="2" t="s">
        <v>14</v>
      </c>
      <c r="F355" s="2" t="s">
        <v>15</v>
      </c>
      <c r="G355" s="2" t="s">
        <v>978</v>
      </c>
      <c r="H355" s="2" t="s">
        <v>64</v>
      </c>
      <c r="I355" s="2" t="str">
        <f>IFERROR(__xludf.DUMMYFUNCTION("GOOGLETRANSLATE(C355,""fr"",""en"")"),". For the loan of 1 year Mercer offers a very poor customer service. Impossible communication. 1 hour of waiting on the phone to have an interlocutor. No email response. This is a widely shared opinion by all the employees of my company who have this comp"&amp;"ulsory mutual.
 Third -party payment and care on very bad optical and hospital care. While I regularly receive the pharmacist's reimbursements (the denier dating from 10/2/21) so no file problem, my Mercer account is completely operational and correctly "&amp;"entered, a simple optician bill becomes impossible to treat third-party payment. Impossible to operate a third -party third party, tried at least 3 times, has different dates. The permanently defaulting Mercer computer system.
On the other hand, taking t"&amp;"he complaints into account is zero. Nonexistent.
No response to letters. Except mail robot type 'Your request was taken into account' then, nothing, no news. Since October 2020, filing of my first document and email on my account employed Mercer until to"&amp;"day February 2021. still no answer !!!!
No refund. No email mail. Nor message on the Mercer personal account. I am at my 4th complaints. No answer.
Below everything.")</f>
        <v>. For the loan of 1 year Mercer offers a very poor customer service. Impossible communication. 1 hour of waiting on the phone to have an interlocutor. No email response. This is a widely shared opinion by all the employees of my company who have this compulsory mutual.
 Third -party payment and care on very bad optical and hospital care. While I regularly receive the pharmacist's reimbursements (the denier dating from 10/2/21) so no file problem, my Mercer account is completely operational and correctly entered, a simple optician bill becomes impossible to treat third-party payment. Impossible to operate a third -party third party, tried at least 3 times, has different dates. The permanently defaulting Mercer computer system.
On the other hand, taking the complaints into account is zero. Nonexistent.
No response to letters. Except mail robot type 'Your request was taken into account' then, nothing, no news. Since October 2020, filing of my first document and email on my account employed Mercer until today February 2021. still no answer !!!!
No refund. No email mail. Nor message on the Mercer personal account. I am at my 4th complaints. No answer.
Below everything.</v>
      </c>
    </row>
    <row r="356" ht="15.75" customHeight="1">
      <c r="A356" s="2">
        <v>4.0</v>
      </c>
      <c r="B356" s="2" t="s">
        <v>1091</v>
      </c>
      <c r="C356" s="2" t="s">
        <v>1092</v>
      </c>
      <c r="D356" s="2" t="s">
        <v>42</v>
      </c>
      <c r="E356" s="2" t="s">
        <v>21</v>
      </c>
      <c r="F356" s="2" t="s">
        <v>15</v>
      </c>
      <c r="G356" s="2" t="s">
        <v>486</v>
      </c>
      <c r="H356" s="2" t="s">
        <v>59</v>
      </c>
      <c r="I356" s="2" t="str">
        <f>IFERROR(__xludf.DUMMYFUNCTION("GOOGLETRANSLATE(C356,""fr"",""en"")"),"The contact is simple and quick, the price is correct, procedure on the fast website. A television called me to validate the chosen product together
")</f>
        <v>The contact is simple and quick, the price is correct, procedure on the fast website. A television called me to validate the chosen product together
</v>
      </c>
    </row>
    <row r="357" ht="15.75" customHeight="1">
      <c r="A357" s="2">
        <v>3.0</v>
      </c>
      <c r="B357" s="2" t="s">
        <v>1093</v>
      </c>
      <c r="C357" s="2" t="s">
        <v>1094</v>
      </c>
      <c r="D357" s="2" t="s">
        <v>42</v>
      </c>
      <c r="E357" s="2" t="s">
        <v>21</v>
      </c>
      <c r="F357" s="2" t="s">
        <v>15</v>
      </c>
      <c r="G357" s="2" t="s">
        <v>72</v>
      </c>
      <c r="H357" s="2" t="s">
        <v>72</v>
      </c>
      <c r="I357" s="2" t="str">
        <f>IFERROR(__xludf.DUMMYFUNCTION("GOOGLETRANSLATE(C357,""fr"",""en"")"),"I am very satisfied with the advisor Olivier Insurance, for his kindness, for good advice, for the price too and for the follow -up, thanks to Olivier Assurance.")</f>
        <v>I am very satisfied with the advisor Olivier Insurance, for his kindness, for good advice, for the price too and for the follow -up, thanks to Olivier Assurance.</v>
      </c>
    </row>
    <row r="358" ht="15.75" customHeight="1">
      <c r="A358" s="2">
        <v>5.0</v>
      </c>
      <c r="B358" s="2" t="s">
        <v>1095</v>
      </c>
      <c r="C358" s="2" t="s">
        <v>1096</v>
      </c>
      <c r="D358" s="2" t="s">
        <v>42</v>
      </c>
      <c r="E358" s="2" t="s">
        <v>21</v>
      </c>
      <c r="F358" s="2" t="s">
        <v>15</v>
      </c>
      <c r="G358" s="2" t="s">
        <v>434</v>
      </c>
      <c r="H358" s="2" t="s">
        <v>59</v>
      </c>
      <c r="I358" s="2" t="str">
        <f>IFERROR(__xludf.DUMMYFUNCTION("GOOGLETRANSLATE(C358,""fr"",""en"")"),"Your advisor was perfect .... professional, kind, available and intelligible. I hope that in the event of a claim it will be identical. It is a real plus for online insurance!")</f>
        <v>Your advisor was perfect .... professional, kind, available and intelligible. I hope that in the event of a claim it will be identical. It is a real plus for online insurance!</v>
      </c>
    </row>
    <row r="359" ht="15.75" customHeight="1">
      <c r="A359" s="2">
        <v>3.0</v>
      </c>
      <c r="B359" s="2" t="s">
        <v>1097</v>
      </c>
      <c r="C359" s="2" t="s">
        <v>1098</v>
      </c>
      <c r="D359" s="2" t="s">
        <v>26</v>
      </c>
      <c r="E359" s="2" t="s">
        <v>21</v>
      </c>
      <c r="F359" s="2" t="s">
        <v>15</v>
      </c>
      <c r="G359" s="2" t="s">
        <v>1099</v>
      </c>
      <c r="H359" s="2" t="s">
        <v>201</v>
      </c>
      <c r="I359" s="2" t="str">
        <f>IFERROR(__xludf.DUMMYFUNCTION("GOOGLETRANSLATE(C359,""fr"",""en"")"),"Loading...")</f>
        <v>Loading...</v>
      </c>
    </row>
    <row r="360" ht="15.75" customHeight="1">
      <c r="A360" s="2">
        <v>3.0</v>
      </c>
      <c r="B360" s="2" t="s">
        <v>1100</v>
      </c>
      <c r="C360" s="2" t="s">
        <v>1101</v>
      </c>
      <c r="D360" s="2" t="s">
        <v>42</v>
      </c>
      <c r="E360" s="2" t="s">
        <v>21</v>
      </c>
      <c r="F360" s="2" t="s">
        <v>15</v>
      </c>
      <c r="G360" s="2" t="s">
        <v>1102</v>
      </c>
      <c r="H360" s="2" t="s">
        <v>59</v>
      </c>
      <c r="I360" s="2" t="str">
        <f>IFERROR(__xludf.DUMMYFUNCTION("GOOGLETRANSLATE(C360,""fr"",""en"")"),"I newly subscribed to you and I am very surprised by the price difference between the quote and the subscription when buying the vehicle. This increase is in no way justified and your suggestion to subscribe before buying is incoherent and stupid: why tak"&amp;"e a service and pay before aquer, why ensure a good that does not belong to us?! You insurers you always find a tip to take more and give less. We will see in use if we made the right choice by going to you.")</f>
        <v>I newly subscribed to you and I am very surprised by the price difference between the quote and the subscription when buying the vehicle. This increase is in no way justified and your suggestion to subscribe before buying is incoherent and stupid: why take a service and pay before aquer, why ensure a good that does not belong to us?! You insurers you always find a tip to take more and give less. We will see in use if we made the right choice by going to you.</v>
      </c>
    </row>
    <row r="361" ht="15.75" customHeight="1">
      <c r="A361" s="2">
        <v>5.0</v>
      </c>
      <c r="B361" s="2" t="s">
        <v>1103</v>
      </c>
      <c r="C361" s="2" t="s">
        <v>1104</v>
      </c>
      <c r="D361" s="2" t="s">
        <v>62</v>
      </c>
      <c r="E361" s="2" t="s">
        <v>21</v>
      </c>
      <c r="F361" s="2" t="s">
        <v>15</v>
      </c>
      <c r="G361" s="2" t="s">
        <v>528</v>
      </c>
      <c r="H361" s="2" t="s">
        <v>34</v>
      </c>
      <c r="I361" s="2" t="str">
        <f>IFERROR(__xludf.DUMMYFUNCTION("GOOGLETRANSLATE(C361,""fr"",""en"")"),"I am very satisfied with my home insurance contract. A clear contract, and without a clutch I will strongly recommend you to my contacts.")</f>
        <v>I am very satisfied with my home insurance contract. A clear contract, and without a clutch I will strongly recommend you to my contacts.</v>
      </c>
    </row>
    <row r="362" ht="15.75" customHeight="1">
      <c r="A362" s="2">
        <v>2.0</v>
      </c>
      <c r="B362" s="2" t="s">
        <v>1105</v>
      </c>
      <c r="C362" s="2" t="s">
        <v>1106</v>
      </c>
      <c r="D362" s="2" t="s">
        <v>99</v>
      </c>
      <c r="E362" s="2" t="s">
        <v>21</v>
      </c>
      <c r="F362" s="2" t="s">
        <v>15</v>
      </c>
      <c r="G362" s="2" t="s">
        <v>1107</v>
      </c>
      <c r="H362" s="2" t="s">
        <v>1108</v>
      </c>
      <c r="I362" s="2" t="str">
        <f>IFERROR(__xludf.DUMMYFUNCTION("GOOGLETRANSLATE(C362,""fr"",""en"")"),"Customer for 50 years with bonus of 50%, I have the wing of my car which was hung in a parking lot The expert estimated that this incident was by ""rolling"", the Maif followed the conclusions of the expert And refused a counter expertise at MS fresh ... "&amp;"Result I sell my car and change insurance ...")</f>
        <v>Customer for 50 years with bonus of 50%, I have the wing of my car which was hung in a parking lot The expert estimated that this incident was by "rolling", the Maif followed the conclusions of the expert And refused a counter expertise at MS fresh ... Result I sell my car and change insurance ...</v>
      </c>
    </row>
    <row r="363" ht="15.75" customHeight="1">
      <c r="A363" s="2">
        <v>1.0</v>
      </c>
      <c r="B363" s="2" t="s">
        <v>1109</v>
      </c>
      <c r="C363" s="2" t="s">
        <v>1110</v>
      </c>
      <c r="D363" s="2" t="s">
        <v>191</v>
      </c>
      <c r="E363" s="2" t="s">
        <v>104</v>
      </c>
      <c r="F363" s="2" t="s">
        <v>15</v>
      </c>
      <c r="G363" s="2" t="s">
        <v>1000</v>
      </c>
      <c r="H363" s="2" t="s">
        <v>215</v>
      </c>
      <c r="I363" s="2" t="str">
        <f>IFERROR(__xludf.DUMMYFUNCTION("GOOGLETRANSLATE(C363,""fr"",""en"")"),"Hello still an experience of life ... Having subscribed to life insurance from the Banque Postale via CNP 15 months ago, I realized that it was a bad choice and a month ago I informed the BP advisor to the total buyout of this life insurance. I will not d"&amp;"etail here from the reaction, the many calls, the emails of letters finally from the obstacle course to recover my investment. 'I am ashamed for this organization everything is good, the file has arrived, not arrived, we are in time no funds on my bank ac"&amp;"count. After having had an interview with a lawyer, so I sent two recommended letters without Answer and the highlight in this case file complaint with the gendarmerie, incredible get there. Cashmere 2 The sum was taken in less than a week. It is that I m"&amp;"ade a buyout of another life insurance even the same conditions in another banking establishment and the funds have already been paid for more than a week. to have the patience to read me.")</f>
        <v>Hello still an experience of life ... Having subscribed to life insurance from the Banque Postale via CNP 15 months ago, I realized that it was a bad choice and a month ago I informed the BP advisor to the total buyout of this life insurance. I will not detail here from the reaction, the many calls, the emails of letters finally from the obstacle course to recover my investment. 'I am ashamed for this organization everything is good, the file has arrived, not arrived, we are in time no funds on my bank account. After having had an interview with a lawyer, so I sent two recommended letters without Answer and the highlight in this case file complaint with the gendarmerie, incredible get there. Cashmere 2 The sum was taken in less than a week. It is that I made a buyout of another life insurance even the same conditions in another banking establishment and the funds have already been paid for more than a week. to have the patience to read me.</v>
      </c>
    </row>
    <row r="364" ht="15.75" customHeight="1">
      <c r="A364" s="2">
        <v>4.0</v>
      </c>
      <c r="B364" s="2" t="s">
        <v>1111</v>
      </c>
      <c r="C364" s="2" t="s">
        <v>1112</v>
      </c>
      <c r="D364" s="2" t="s">
        <v>62</v>
      </c>
      <c r="E364" s="2" t="s">
        <v>21</v>
      </c>
      <c r="F364" s="2" t="s">
        <v>15</v>
      </c>
      <c r="G364" s="2" t="s">
        <v>1113</v>
      </c>
      <c r="H364" s="2" t="s">
        <v>59</v>
      </c>
      <c r="I364" s="2" t="str">
        <f>IFERROR(__xludf.DUMMYFUNCTION("GOOGLETRANSLATE(C364,""fr"",""en"")"),"I am satisfied with the service. It is simple and precise. The sample every 15 of the month suits me very well. I will advise my parents and friends direct insurance.
")</f>
        <v>I am satisfied with the service. It is simple and precise. The sample every 15 of the month suits me very well. I will advise my parents and friends direct insurance.
</v>
      </c>
    </row>
    <row r="365" ht="15.75" customHeight="1">
      <c r="A365" s="2">
        <v>5.0</v>
      </c>
      <c r="B365" s="2" t="s">
        <v>1114</v>
      </c>
      <c r="C365" s="2" t="s">
        <v>1115</v>
      </c>
      <c r="D365" s="2" t="s">
        <v>62</v>
      </c>
      <c r="E365" s="2" t="s">
        <v>21</v>
      </c>
      <c r="F365" s="2" t="s">
        <v>15</v>
      </c>
      <c r="G365" s="2" t="s">
        <v>64</v>
      </c>
      <c r="H365" s="2" t="s">
        <v>64</v>
      </c>
      <c r="I365" s="2" t="str">
        <f>IFERROR(__xludf.DUMMYFUNCTION("GOOGLETRANSLATE(C365,""fr"",""en"")"),"Very satisfied except for the first payment by very high card but the prices overall are more than attractive compared to other insurers")</f>
        <v>Very satisfied except for the first payment by very high card but the prices overall are more than attractive compared to other insurers</v>
      </c>
    </row>
    <row r="366" ht="15.75" customHeight="1">
      <c r="A366" s="2">
        <v>3.0</v>
      </c>
      <c r="B366" s="2" t="s">
        <v>1116</v>
      </c>
      <c r="C366" s="2" t="s">
        <v>1117</v>
      </c>
      <c r="D366" s="2" t="s">
        <v>62</v>
      </c>
      <c r="E366" s="2" t="s">
        <v>21</v>
      </c>
      <c r="F366" s="2" t="s">
        <v>15</v>
      </c>
      <c r="G366" s="2" t="s">
        <v>1118</v>
      </c>
      <c r="H366" s="2" t="s">
        <v>72</v>
      </c>
      <c r="I366" s="2" t="str">
        <f>IFERROR(__xludf.DUMMYFUNCTION("GOOGLETRANSLATE(C366,""fr"",""en"")"),"I do not understand why you take into account my insurance rate the claims that are not my fact.
Please make a reduction.
Best regards")</f>
        <v>I do not understand why you take into account my insurance rate the claims that are not my fact.
Please make a reduction.
Best regards</v>
      </c>
    </row>
    <row r="367" ht="15.75" customHeight="1">
      <c r="A367" s="2">
        <v>2.0</v>
      </c>
      <c r="B367" s="2" t="s">
        <v>1119</v>
      </c>
      <c r="C367" s="2" t="s">
        <v>1120</v>
      </c>
      <c r="D367" s="2" t="s">
        <v>37</v>
      </c>
      <c r="E367" s="2" t="s">
        <v>14</v>
      </c>
      <c r="F367" s="2" t="s">
        <v>15</v>
      </c>
      <c r="G367" s="2" t="s">
        <v>809</v>
      </c>
      <c r="H367" s="2" t="s">
        <v>50</v>
      </c>
      <c r="I367" s="2" t="str">
        <f>IFERROR(__xludf.DUMMYFUNCTION("GOOGLETRANSLATE(C367,""fr"",""en"")"),"Loading...")</f>
        <v>Loading...</v>
      </c>
    </row>
    <row r="368" ht="15.75" customHeight="1">
      <c r="A368" s="2">
        <v>4.0</v>
      </c>
      <c r="B368" s="2" t="s">
        <v>1121</v>
      </c>
      <c r="C368" s="2" t="s">
        <v>1122</v>
      </c>
      <c r="D368" s="2" t="s">
        <v>42</v>
      </c>
      <c r="E368" s="2" t="s">
        <v>21</v>
      </c>
      <c r="F368" s="2" t="s">
        <v>15</v>
      </c>
      <c r="G368" s="2" t="s">
        <v>1123</v>
      </c>
      <c r="H368" s="2" t="s">
        <v>957</v>
      </c>
      <c r="I368" s="2" t="str">
        <f>IFERROR(__xludf.DUMMYFUNCTION("GOOGLETRANSLATE(C368,""fr"",""en"")"),"Satisfied with your service
Simple and effective with interesting speed of execution
Would strongly recommend anyone who needs to be insured
Cordially")</f>
        <v>Satisfied with your service
Simple and effective with interesting speed of execution
Would strongly recommend anyone who needs to be insured
Cordially</v>
      </c>
    </row>
    <row r="369" ht="15.75" customHeight="1">
      <c r="A369" s="2">
        <v>4.0</v>
      </c>
      <c r="B369" s="2" t="s">
        <v>1124</v>
      </c>
      <c r="C369" s="2" t="s">
        <v>1125</v>
      </c>
      <c r="D369" s="2" t="s">
        <v>20</v>
      </c>
      <c r="E369" s="2" t="s">
        <v>21</v>
      </c>
      <c r="F369" s="2" t="s">
        <v>15</v>
      </c>
      <c r="G369" s="2" t="s">
        <v>953</v>
      </c>
      <c r="H369" s="2" t="s">
        <v>59</v>
      </c>
      <c r="I369" s="2" t="str">
        <f>IFERROR(__xludf.DUMMYFUNCTION("GOOGLETRANSLATE(C369,""fr"",""en"")"),"We are satisfied with the GMF. We have been at home for over thirty years - GMF home insurance - GMF -savings car insurance GMF
Best regards")</f>
        <v>We are satisfied with the GMF. We have been at home for over thirty years - GMF home insurance - GMF -savings car insurance GMF
Best regards</v>
      </c>
    </row>
    <row r="370" ht="15.75" customHeight="1">
      <c r="A370" s="2">
        <v>3.0</v>
      </c>
      <c r="B370" s="2" t="s">
        <v>1126</v>
      </c>
      <c r="C370" s="2" t="s">
        <v>1127</v>
      </c>
      <c r="D370" s="2" t="s">
        <v>62</v>
      </c>
      <c r="E370" s="2" t="s">
        <v>21</v>
      </c>
      <c r="F370" s="2" t="s">
        <v>15</v>
      </c>
      <c r="G370" s="2" t="s">
        <v>59</v>
      </c>
      <c r="H370" s="2" t="s">
        <v>59</v>
      </c>
      <c r="I370" s="2" t="str">
        <f>IFERROR(__xludf.DUMMYFUNCTION("GOOGLETRANSLATE(C370,""fr"",""en"")"),"Customer for a while, I have won a friend and am satisfied with the care of my claims.
The application by De elsewhere works very badly and does not suavenate them when you make a decalration of online sisnistre.
Likewise, the observations assistance se"&amp;"rvice is not reachable at any time which limits its effectiveness.
My biggest disappointment is to have my two wheel with your partner Run Insurance who had been advised after a call to your clets service and who did not follow my disaster at all and lea"&amp;"ve me without more for more A year of my sinter for which the responsible tier who had grilled a red light has never been worried, I had to ralncer myself axa so that he intervenes and despite that I did not have been compensated alor that I was taken to "&amp;"the hospital following the shock of the accident, and my file was never followed by that I was attributing to pay my mesual subscriptions for a scooter immobilize in my garden and which ended up. This will remain a big black point in my experience with Di"&amp;"rect Insurance")</f>
        <v>Customer for a while, I have won a friend and am satisfied with the care of my claims.
The application by De elsewhere works very badly and does not suavenate them when you make a decalration of online sisnistre.
Likewise, the observations assistance service is not reachable at any time which limits its effectiveness.
My biggest disappointment is to have my two wheel with your partner Run Insurance who had been advised after a call to your clets service and who did not follow my disaster at all and leave me without more for more A year of my sinter for which the responsible tier who had grilled a red light has never been worried, I had to ralncer myself axa so that he intervenes and despite that I did not have been compensated alor that I was taken to the hospital following the shock of the accident, and my file was never followed by that I was attributing to pay my mesual subscriptions for a scooter immobilize in my garden and which ended up. This will remain a big black point in my experience with Direct Insurance</v>
      </c>
    </row>
    <row r="371" ht="15.75" customHeight="1">
      <c r="A371" s="2">
        <v>5.0</v>
      </c>
      <c r="B371" s="2" t="s">
        <v>1128</v>
      </c>
      <c r="C371" s="2" t="s">
        <v>1129</v>
      </c>
      <c r="D371" s="2" t="s">
        <v>62</v>
      </c>
      <c r="E371" s="2" t="s">
        <v>21</v>
      </c>
      <c r="F371" s="2" t="s">
        <v>15</v>
      </c>
      <c r="G371" s="2" t="s">
        <v>1043</v>
      </c>
      <c r="H371" s="2" t="s">
        <v>44</v>
      </c>
      <c r="I371" s="2" t="str">
        <f>IFERROR(__xludf.DUMMYFUNCTION("GOOGLETRANSLATE(C371,""fr"",""en"")"),"The price is satisfactory the advisor was kind and my good oriented in my quote and questions that I ask myself her now much clearer
")</f>
        <v>The price is satisfactory the advisor was kind and my good oriented in my quote and questions that I ask myself her now much clearer
</v>
      </c>
    </row>
    <row r="372" ht="15.75" customHeight="1">
      <c r="A372" s="2">
        <v>4.0</v>
      </c>
      <c r="B372" s="2" t="s">
        <v>1130</v>
      </c>
      <c r="C372" s="2" t="s">
        <v>1131</v>
      </c>
      <c r="D372" s="2" t="s">
        <v>42</v>
      </c>
      <c r="E372" s="2" t="s">
        <v>21</v>
      </c>
      <c r="F372" s="2" t="s">
        <v>15</v>
      </c>
      <c r="G372" s="2" t="s">
        <v>668</v>
      </c>
      <c r="H372" s="2" t="s">
        <v>39</v>
      </c>
      <c r="I372" s="2" t="str">
        <f>IFERROR(__xludf.DUMMYFUNCTION("GOOGLETRANSLATE(C372,""fr"",""en"")"),"I am currently satisfied with the service, for the future it is still a little early to assess, and at the price level I would say that it is quite correct")</f>
        <v>I am currently satisfied with the service, for the future it is still a little early to assess, and at the price level I would say that it is quite correct</v>
      </c>
    </row>
    <row r="373" ht="15.75" customHeight="1">
      <c r="A373" s="2">
        <v>1.0</v>
      </c>
      <c r="B373" s="2" t="s">
        <v>1132</v>
      </c>
      <c r="C373" s="2" t="s">
        <v>1133</v>
      </c>
      <c r="D373" s="2" t="s">
        <v>37</v>
      </c>
      <c r="E373" s="2" t="s">
        <v>14</v>
      </c>
      <c r="F373" s="2" t="s">
        <v>15</v>
      </c>
      <c r="G373" s="2" t="s">
        <v>1134</v>
      </c>
      <c r="H373" s="2" t="s">
        <v>215</v>
      </c>
      <c r="I373" s="2" t="str">
        <f>IFERROR(__xludf.DUMMYFUNCTION("GOOGLETRANSLATE(C373,""fr"",""en"")"),"Loading...")</f>
        <v>Loading...</v>
      </c>
    </row>
    <row r="374" ht="15.75" customHeight="1">
      <c r="A374" s="2">
        <v>5.0</v>
      </c>
      <c r="B374" s="2" t="s">
        <v>1135</v>
      </c>
      <c r="C374" s="2" t="s">
        <v>1136</v>
      </c>
      <c r="D374" s="2" t="s">
        <v>250</v>
      </c>
      <c r="E374" s="2" t="s">
        <v>21</v>
      </c>
      <c r="F374" s="2" t="s">
        <v>15</v>
      </c>
      <c r="G374" s="2" t="s">
        <v>1137</v>
      </c>
      <c r="H374" s="2" t="s">
        <v>723</v>
      </c>
      <c r="I374" s="2" t="str">
        <f>IFERROR(__xludf.DUMMYFUNCTION("GOOGLETRANSLATE(C374,""fr"",""en"")"),"Very satisfied with this insurer.")</f>
        <v>Very satisfied with this insurer.</v>
      </c>
    </row>
    <row r="375" ht="15.75" customHeight="1">
      <c r="A375" s="2">
        <v>2.0</v>
      </c>
      <c r="B375" s="2" t="s">
        <v>1138</v>
      </c>
      <c r="C375" s="2" t="s">
        <v>1139</v>
      </c>
      <c r="D375" s="2" t="s">
        <v>191</v>
      </c>
      <c r="E375" s="2" t="s">
        <v>104</v>
      </c>
      <c r="F375" s="2" t="s">
        <v>15</v>
      </c>
      <c r="G375" s="2" t="s">
        <v>1140</v>
      </c>
      <c r="H375" s="2" t="s">
        <v>44</v>
      </c>
      <c r="I375" s="2" t="str">
        <f>IFERROR(__xludf.DUMMYFUNCTION("GOOGLETRANSLATE(C375,""fr"",""en"")"),"Loading...")</f>
        <v>Loading...</v>
      </c>
    </row>
    <row r="376" ht="15.75" customHeight="1">
      <c r="A376" s="2">
        <v>5.0</v>
      </c>
      <c r="B376" s="2" t="s">
        <v>1141</v>
      </c>
      <c r="C376" s="2" t="s">
        <v>1142</v>
      </c>
      <c r="D376" s="2" t="s">
        <v>67</v>
      </c>
      <c r="E376" s="2" t="s">
        <v>32</v>
      </c>
      <c r="F376" s="2" t="s">
        <v>15</v>
      </c>
      <c r="G376" s="2" t="s">
        <v>1140</v>
      </c>
      <c r="H376" s="2" t="s">
        <v>44</v>
      </c>
      <c r="I376" s="2" t="str">
        <f>IFERROR(__xludf.DUMMYFUNCTION("GOOGLETRANSLATE(C376,""fr"",""en"")"),"I am very satisfied by the prices, the faicilitis of accessing the contract and the guarantees offered; The contract prodeure is very intuitive to recommend")</f>
        <v>I am very satisfied by the prices, the faicilitis of accessing the contract and the guarantees offered; The contract prodeure is very intuitive to recommend</v>
      </c>
    </row>
    <row r="377" ht="15.75" customHeight="1">
      <c r="A377" s="2">
        <v>1.0</v>
      </c>
      <c r="B377" s="2" t="s">
        <v>1143</v>
      </c>
      <c r="C377" s="2" t="s">
        <v>1144</v>
      </c>
      <c r="D377" s="2" t="s">
        <v>183</v>
      </c>
      <c r="E377" s="2" t="s">
        <v>14</v>
      </c>
      <c r="F377" s="2" t="s">
        <v>15</v>
      </c>
      <c r="G377" s="2" t="s">
        <v>1145</v>
      </c>
      <c r="H377" s="2" t="s">
        <v>362</v>
      </c>
      <c r="I377" s="2" t="str">
        <f>IFERROR(__xludf.DUMMYFUNCTION("GOOGLETRANSLATE(C377,""fr"",""en"")"),"Mutual which becomes very expensive. No justification on the prices, after request. Refund requests still pending, I never think of receiving them, he always finds excuses not to make the reimbursements. Neoliane's cat site does not work, the questions fa"&amp;"ll into the void ... It is the sidereal vacuum, when a question is asked to a Neoliane interlocutor, of course when you manage to have someone ... I have rather pleasant interlocutors, except once, it would have been in front of me, he would have struck m"&amp;"e ... Finally, I asked for the termination, via my future mutual, and there excess of zeal, he refuses The termination, even my future mutual insurance does not understand anything !!!! Neoliane of rigor only in a sense !!!!!!")</f>
        <v>Mutual which becomes very expensive. No justification on the prices, after request. Refund requests still pending, I never think of receiving them, he always finds excuses not to make the reimbursements. Neoliane's cat site does not work, the questions fall into the void ... It is the sidereal vacuum, when a question is asked to a Neoliane interlocutor, of course when you manage to have someone ... I have rather pleasant interlocutors, except once, it would have been in front of me, he would have struck me ... Finally, I asked for the termination, via my future mutual, and there excess of zeal, he refuses The termination, even my future mutual insurance does not understand anything !!!! Neoliane of rigor only in a sense !!!!!!</v>
      </c>
    </row>
    <row r="378" ht="15.75" customHeight="1">
      <c r="A378" s="2">
        <v>2.0</v>
      </c>
      <c r="B378" s="2" t="s">
        <v>1146</v>
      </c>
      <c r="C378" s="2" t="s">
        <v>1147</v>
      </c>
      <c r="D378" s="2" t="s">
        <v>47</v>
      </c>
      <c r="E378" s="2" t="s">
        <v>21</v>
      </c>
      <c r="F378" s="2" t="s">
        <v>15</v>
      </c>
      <c r="G378" s="2" t="s">
        <v>1148</v>
      </c>
      <c r="H378" s="2" t="s">
        <v>544</v>
      </c>
      <c r="I378" s="2" t="str">
        <f>IFERROR(__xludf.DUMMYFUNCTION("GOOGLETRANSLATE(C378,""fr"",""en"")"),"Insurance or everything to go well until a flight and fire, it's been 2 years that it hangs out, a spavator took the vehicle except that he was not sent by the expert ...
No doubt the owner of the land who must have had enough to see a wreckage vehicle o"&amp;"n his property ...
Since 2018, I have been compensated but I am still in a hassle with AXA which has exchanges ""if they are done"", because it is still me as a customer who must call to have news. On the phone, I feel fatigue when I pronounce my name "&amp;"and first name from one of the employees. As is surprising that the customer must call once a week to push the file.
All that to say that the vehicle could not be recovered by the spavacy sent by the expert because the vehicle is no longer pressing at "&amp;"the place (4 months after the flight)
Except that the other Epavist claims me more than € 15,000 in security fees, the company wake up two years later. Dixit ""We have gone time to find you""
I asked a police officer during a check, it took him less t"&amp;"han 5 seconds to have the file of my stolen and burnt down vehicle ... of the foutage of G **** e from the part of the 'Spavator. Axa tells me the same thing.
To date on 08/18/2020, I always wait for the car to be destroyed and more in my name without "&amp;"paying a penny's penny, because I am injured in this case.
Above all, I no longer dare to buy vehicle with all its problems, frankly it reflects the great insurance gallery, everything is fine, a flight and everything becomes a site")</f>
        <v>Insurance or everything to go well until a flight and fire, it's been 2 years that it hangs out, a spavator took the vehicle except that he was not sent by the expert ...
No doubt the owner of the land who must have had enough to see a wreckage vehicle on his property ...
Since 2018, I have been compensated but I am still in a hassle with AXA which has exchanges "if they are done", because it is still me as a customer who must call to have news. On the phone, I feel fatigue when I pronounce my name and first name from one of the employees. As is surprising that the customer must call once a week to push the file.
All that to say that the vehicle could not be recovered by the spavacy sent by the expert because the vehicle is no longer pressing at the place (4 months after the flight)
Except that the other Epavist claims me more than € 15,000 in security fees, the company wake up two years later. Dixit "We have gone time to find you"
I asked a police officer during a check, it took him less than 5 seconds to have the file of my stolen and burnt down vehicle ... of the foutage of G **** e from the part of the 'Spavator. Axa tells me the same thing.
To date on 08/18/2020, I always wait for the car to be destroyed and more in my name without paying a penny's penny, because I am injured in this case.
Above all, I no longer dare to buy vehicle with all its problems, frankly it reflects the great insurance gallery, everything is fine, a flight and everything becomes a site</v>
      </c>
    </row>
    <row r="379" ht="15.75" customHeight="1">
      <c r="A379" s="2">
        <v>4.0</v>
      </c>
      <c r="B379" s="2" t="s">
        <v>1149</v>
      </c>
      <c r="C379" s="2" t="s">
        <v>1150</v>
      </c>
      <c r="D379" s="2" t="s">
        <v>62</v>
      </c>
      <c r="E379" s="2" t="s">
        <v>21</v>
      </c>
      <c r="F379" s="2" t="s">
        <v>15</v>
      </c>
      <c r="G379" s="2" t="s">
        <v>707</v>
      </c>
      <c r="H379" s="2" t="s">
        <v>64</v>
      </c>
      <c r="I379" s="2" t="str">
        <f>IFERROR(__xludf.DUMMYFUNCTION("GOOGLETRANSLATE(C379,""fr"",""en"")"),"The reception of the advisor was perfect for subscription, fast and efficient - nothing to say at this moment.
I hope that in the event of a claim, the Direct Insurance service will be up to par.
")</f>
        <v>The reception of the advisor was perfect for subscription, fast and efficient - nothing to say at this moment.
I hope that in the event of a claim, the Direct Insurance service will be up to par.
</v>
      </c>
    </row>
    <row r="380" ht="15.75" customHeight="1">
      <c r="A380" s="2">
        <v>1.0</v>
      </c>
      <c r="B380" s="2" t="s">
        <v>1151</v>
      </c>
      <c r="C380" s="2" t="s">
        <v>1152</v>
      </c>
      <c r="D380" s="2" t="s">
        <v>42</v>
      </c>
      <c r="E380" s="2" t="s">
        <v>21</v>
      </c>
      <c r="F380" s="2" t="s">
        <v>15</v>
      </c>
      <c r="G380" s="2" t="s">
        <v>1153</v>
      </c>
      <c r="H380" s="2" t="s">
        <v>54</v>
      </c>
      <c r="I380" s="2" t="str">
        <f>IFERROR(__xludf.DUMMYFUNCTION("GOOGLETRANSLATE(C380,""fr"",""en"")"),"Insured at the Olivier since 06/2021. Claim declared 10/21. Followed by the deplorable claim, forced to call them every day. Total incompetence")</f>
        <v>Insured at the Olivier since 06/2021. Claim declared 10/21. Followed by the deplorable claim, forced to call them every day. Total incompetence</v>
      </c>
    </row>
    <row r="381" ht="15.75" customHeight="1">
      <c r="A381" s="2">
        <v>1.0</v>
      </c>
      <c r="B381" s="2" t="s">
        <v>1154</v>
      </c>
      <c r="C381" s="2" t="s">
        <v>1155</v>
      </c>
      <c r="D381" s="2" t="s">
        <v>196</v>
      </c>
      <c r="E381" s="2" t="s">
        <v>21</v>
      </c>
      <c r="F381" s="2" t="s">
        <v>15</v>
      </c>
      <c r="G381" s="2" t="s">
        <v>1156</v>
      </c>
      <c r="H381" s="2" t="s">
        <v>64</v>
      </c>
      <c r="I381" s="2" t="str">
        <f>IFERROR(__xludf.DUMMYFUNCTION("GOOGLETRANSLATE(C381,""fr"",""en"")"),"I do not recommend this insurance
Fleeing
Very big problem on a home contract
Following storm damage the expert classifies the case, telling me that my house and too old
Insurance does not want to know anything and on the contrary it is me to pay a de"&amp;"ductible on a damage that was not taken into account
")</f>
        <v>I do not recommend this insurance
Fleeing
Very big problem on a home contract
Following storm damage the expert classifies the case, telling me that my house and too old
Insurance does not want to know anything and on the contrary it is me to pay a deductible on a damage that was not taken into account
</v>
      </c>
    </row>
    <row r="382" ht="15.75" customHeight="1">
      <c r="A382" s="2">
        <v>5.0</v>
      </c>
      <c r="B382" s="2" t="s">
        <v>1157</v>
      </c>
      <c r="C382" s="2" t="s">
        <v>1158</v>
      </c>
      <c r="D382" s="2" t="s">
        <v>31</v>
      </c>
      <c r="E382" s="2" t="s">
        <v>32</v>
      </c>
      <c r="F382" s="2" t="s">
        <v>15</v>
      </c>
      <c r="G382" s="2" t="s">
        <v>1159</v>
      </c>
      <c r="H382" s="2" t="s">
        <v>72</v>
      </c>
      <c r="I382" s="2" t="str">
        <f>IFERROR(__xludf.DUMMYFUNCTION("GOOGLETRANSLATE(C382,""fr"",""en"")"),"New at April Moto No consumer reviews. Interesting at the rate levels to be seen for use motorcycle insurance. Dethine with April for house credit insurance and no problem.")</f>
        <v>New at April Moto No consumer reviews. Interesting at the rate levels to be seen for use motorcycle insurance. Dethine with April for house credit insurance and no problem.</v>
      </c>
    </row>
    <row r="383" ht="15.75" customHeight="1">
      <c r="A383" s="2">
        <v>1.0</v>
      </c>
      <c r="B383" s="2" t="s">
        <v>1160</v>
      </c>
      <c r="C383" s="2" t="s">
        <v>1161</v>
      </c>
      <c r="D383" s="2" t="s">
        <v>210</v>
      </c>
      <c r="E383" s="2" t="s">
        <v>14</v>
      </c>
      <c r="F383" s="2" t="s">
        <v>15</v>
      </c>
      <c r="G383" s="2" t="s">
        <v>1162</v>
      </c>
      <c r="H383" s="2" t="s">
        <v>370</v>
      </c>
      <c r="I383" s="2" t="str">
        <f>IFERROR(__xludf.DUMMYFUNCTION("GOOGLETRANSLATE(C383,""fr"",""en"")"),"Loading...")</f>
        <v>Loading...</v>
      </c>
    </row>
    <row r="384" ht="15.75" customHeight="1">
      <c r="A384" s="2">
        <v>2.0</v>
      </c>
      <c r="B384" s="2" t="s">
        <v>1163</v>
      </c>
      <c r="C384" s="2" t="s">
        <v>1164</v>
      </c>
      <c r="D384" s="2" t="s">
        <v>42</v>
      </c>
      <c r="E384" s="2" t="s">
        <v>21</v>
      </c>
      <c r="F384" s="2" t="s">
        <v>15</v>
      </c>
      <c r="G384" s="2" t="s">
        <v>1165</v>
      </c>
      <c r="H384" s="2" t="s">
        <v>362</v>
      </c>
      <c r="I384" s="2" t="str">
        <f>IFERROR(__xludf.DUMMYFUNCTION("GOOGLETRANSLATE(C384,""fr"",""en"")"),"Having subscribed to the olive tree, assurance that I knew well I thought I was quiet especially after having taken a premium formula, but as some will be able to say it is when everything is bad that we can qualify your insurance, and unfortunately I am "&amp;"very disappointed and disgusted with this insurance.
Despite a premium formula, I will pay more than 850 euros franchise, a prize that I was stolen from car equipment, I had not paid attention to this when subscribing to the contract, I expected 350 eu"&amp;"ros like Elsewhere I want to say. But not 850 euros.
Despite a premium formula we refuse to help me move forward in this situation or to repair the vehicle. At the time of it for 1 month that I call, never the same interlocutor and I have to tell again"&amp;" everything that happened.
They failed to find me an approved repairer and let me completely fall.
I am asked to advance the costs (approximately 10,000 euros) and pay my own rental.
As if I had asked to go to the manufacturer of myself. But not as i"&amp;"t is not a matter of bodywork, I am not helping me.
")</f>
        <v>Having subscribed to the olive tree, assurance that I knew well I thought I was quiet especially after having taken a premium formula, but as some will be able to say it is when everything is bad that we can qualify your insurance, and unfortunately I am very disappointed and disgusted with this insurance.
Despite a premium formula, I will pay more than 850 euros franchise, a prize that I was stolen from car equipment, I had not paid attention to this when subscribing to the contract, I expected 350 euros like Elsewhere I want to say. But not 850 euros.
Despite a premium formula we refuse to help me move forward in this situation or to repair the vehicle. At the time of it for 1 month that I call, never the same interlocutor and I have to tell again everything that happened.
They failed to find me an approved repairer and let me completely fall.
I am asked to advance the costs (approximately 10,000 euros) and pay my own rental.
As if I had asked to go to the manufacturer of myself. But not as it is not a matter of bodywork, I am not helping me.
</v>
      </c>
    </row>
    <row r="385" ht="15.75" customHeight="1">
      <c r="A385" s="2">
        <v>3.0</v>
      </c>
      <c r="B385" s="2" t="s">
        <v>1166</v>
      </c>
      <c r="C385" s="2" t="s">
        <v>1167</v>
      </c>
      <c r="D385" s="2" t="s">
        <v>62</v>
      </c>
      <c r="E385" s="2" t="s">
        <v>21</v>
      </c>
      <c r="F385" s="2" t="s">
        <v>15</v>
      </c>
      <c r="G385" s="2" t="s">
        <v>234</v>
      </c>
      <c r="H385" s="2" t="s">
        <v>34</v>
      </c>
      <c r="I385" s="2" t="str">
        <f>IFERROR(__xludf.DUMMYFUNCTION("GOOGLETRANSLATE(C385,""fr"",""en"")"),"Loading...")</f>
        <v>Loading...</v>
      </c>
    </row>
    <row r="386" ht="15.75" customHeight="1">
      <c r="A386" s="2">
        <v>1.0</v>
      </c>
      <c r="B386" s="2" t="s">
        <v>1168</v>
      </c>
      <c r="C386" s="2" t="s">
        <v>1169</v>
      </c>
      <c r="D386" s="2" t="s">
        <v>62</v>
      </c>
      <c r="E386" s="2" t="s">
        <v>21</v>
      </c>
      <c r="F386" s="2" t="s">
        <v>15</v>
      </c>
      <c r="G386" s="2" t="s">
        <v>1170</v>
      </c>
      <c r="H386" s="2" t="s">
        <v>141</v>
      </c>
      <c r="I386" s="2" t="str">
        <f>IFERROR(__xludf.DUMMYFUNCTION("GOOGLETRANSLATE(C386,""fr"",""en"")"),"Be careful is a big headache, there is any reason to refuse compensation for my vehicle. I am asked for proof of purchase of my vehicle, I only have one transfer they tell me that there is no evidence that it is the purchase of my vehicle or another. But "&amp;"the big joke becomes ridiculous. Of course prosecution will be engaged
If there is no solution.
Flee it is big anything !!!! It's insurance is only if we have no problem. The subscription service is adorable, and that of disaster is completely the oppos"&amp;"ite.")</f>
        <v>Be careful is a big headache, there is any reason to refuse compensation for my vehicle. I am asked for proof of purchase of my vehicle, I only have one transfer they tell me that there is no evidence that it is the purchase of my vehicle or another. But the big joke becomes ridiculous. Of course prosecution will be engaged
If there is no solution.
Flee it is big anything !!!! It's insurance is only if we have no problem. The subscription service is adorable, and that of disaster is completely the opposite.</v>
      </c>
    </row>
    <row r="387" ht="15.75" customHeight="1">
      <c r="A387" s="2">
        <v>2.0</v>
      </c>
      <c r="B387" s="2" t="s">
        <v>1171</v>
      </c>
      <c r="C387" s="2" t="s">
        <v>1172</v>
      </c>
      <c r="D387" s="2" t="s">
        <v>255</v>
      </c>
      <c r="E387" s="2" t="s">
        <v>21</v>
      </c>
      <c r="F387" s="2" t="s">
        <v>15</v>
      </c>
      <c r="G387" s="2" t="s">
        <v>275</v>
      </c>
      <c r="H387" s="2" t="s">
        <v>276</v>
      </c>
      <c r="I387" s="2" t="str">
        <f>IFERROR(__xludf.DUMMYFUNCTION("GOOGLETRANSLATE(C387,""fr"",""en"")"),"I do not know if we can speak of an opinion or no notice as my experience of ""attempt"" of subscription was said ... surrealist. Usually when you want to take out an insurance contract what is, you are related to a rather nice salesperson who at least ma"&amp;"de the effort to sell his product. Well at Allianz, we are literally attacked and I weigh my words, because we ask a question and that we are not precise enough in the explanations. The situation was so embarrassing, and hostile that I had to put an end t"&amp;"o my attempt to subscribe. In short, a great feat on the part of this salesperson that I can finally thank because when reading this insurance, I think I would have made a good stupidity by subscribing to them ...")</f>
        <v>I do not know if we can speak of an opinion or no notice as my experience of "attempt" of subscription was said ... surrealist. Usually when you want to take out an insurance contract what is, you are related to a rather nice salesperson who at least made the effort to sell his product. Well at Allianz, we are literally attacked and I weigh my words, because we ask a question and that we are not precise enough in the explanations. The situation was so embarrassing, and hostile that I had to put an end to my attempt to subscribe. In short, a great feat on the part of this salesperson that I can finally thank because when reading this insurance, I think I would have made a good stupidity by subscribing to them ...</v>
      </c>
    </row>
    <row r="388" ht="15.75" customHeight="1">
      <c r="A388" s="2">
        <v>1.0</v>
      </c>
      <c r="B388" s="2" t="s">
        <v>1173</v>
      </c>
      <c r="C388" s="2" t="s">
        <v>1174</v>
      </c>
      <c r="D388" s="2" t="s">
        <v>191</v>
      </c>
      <c r="E388" s="2" t="s">
        <v>104</v>
      </c>
      <c r="F388" s="2" t="s">
        <v>15</v>
      </c>
      <c r="G388" s="2" t="s">
        <v>1058</v>
      </c>
      <c r="H388" s="2" t="s">
        <v>113</v>
      </c>
      <c r="I388" s="2" t="str">
        <f>IFERROR(__xludf.DUMMYFUNCTION("GOOGLETRANSLATE(C388,""fr"",""en"")"),"Impossible to advance a file to receive life insurance after the death of my father. Total radio silence, no interlocutor worthy of the name. We wait on the phone before having a person who wants to answer, each call a different answer, impossible to know"&amp;" if the documents sent have been received. In a word, notorious incompetent that do everything in their power to delay the payment of the funds that are due. I plan to drag them to justice and I hope that many will do it. Bad advertising may make them rea"&amp;"ct, but I doubt it, and when they no longer have customers, they will get out and it will be good for all those who will not be pigeon.")</f>
        <v>Impossible to advance a file to receive life insurance after the death of my father. Total radio silence, no interlocutor worthy of the name. We wait on the phone before having a person who wants to answer, each call a different answer, impossible to know if the documents sent have been received. In a word, notorious incompetent that do everything in their power to delay the payment of the funds that are due. I plan to drag them to justice and I hope that many will do it. Bad advertising may make them react, but I doubt it, and when they no longer have customers, they will get out and it will be good for all those who will not be pigeon.</v>
      </c>
    </row>
    <row r="389" ht="15.75" customHeight="1">
      <c r="A389" s="2">
        <v>1.0</v>
      </c>
      <c r="B389" s="2" t="s">
        <v>1175</v>
      </c>
      <c r="C389" s="2" t="s">
        <v>1176</v>
      </c>
      <c r="D389" s="2" t="s">
        <v>99</v>
      </c>
      <c r="E389" s="2" t="s">
        <v>21</v>
      </c>
      <c r="F389" s="2" t="s">
        <v>15</v>
      </c>
      <c r="G389" s="2" t="s">
        <v>1177</v>
      </c>
      <c r="H389" s="2" t="s">
        <v>287</v>
      </c>
      <c r="I389" s="2" t="str">
        <f>IFERROR(__xludf.DUMMYFUNCTION("GOOGLETRANSLATE(C389,""fr"",""en"")"),"Loading...")</f>
        <v>Loading...</v>
      </c>
    </row>
    <row r="390" ht="15.75" customHeight="1">
      <c r="A390" s="2">
        <v>4.0</v>
      </c>
      <c r="B390" s="2" t="s">
        <v>1178</v>
      </c>
      <c r="C390" s="2" t="s">
        <v>1179</v>
      </c>
      <c r="D390" s="2" t="s">
        <v>42</v>
      </c>
      <c r="E390" s="2" t="s">
        <v>21</v>
      </c>
      <c r="F390" s="2" t="s">
        <v>15</v>
      </c>
      <c r="G390" s="2" t="s">
        <v>1180</v>
      </c>
      <c r="H390" s="2" t="s">
        <v>39</v>
      </c>
      <c r="I390" s="2" t="str">
        <f>IFERROR(__xludf.DUMMYFUNCTION("GOOGLETRANSLATE(C390,""fr"",""en"")"),"Very good service, a quick response that allows me to be able to circulate directly with my new vehicle. A listening and patient team, very pleasant early in the morning.")</f>
        <v>Very good service, a quick response that allows me to be able to circulate directly with my new vehicle. A listening and patient team, very pleasant early in the morning.</v>
      </c>
    </row>
    <row r="391" ht="15.75" customHeight="1">
      <c r="A391" s="2">
        <v>1.0</v>
      </c>
      <c r="B391" s="2" t="s">
        <v>1181</v>
      </c>
      <c r="C391" s="2" t="s">
        <v>1182</v>
      </c>
      <c r="D391" s="2" t="s">
        <v>137</v>
      </c>
      <c r="E391" s="2" t="s">
        <v>21</v>
      </c>
      <c r="F391" s="2" t="s">
        <v>15</v>
      </c>
      <c r="G391" s="2" t="s">
        <v>997</v>
      </c>
      <c r="H391" s="2" t="s">
        <v>123</v>
      </c>
      <c r="I391" s="2" t="str">
        <f>IFERROR(__xludf.DUMMYFUNCTION("GOOGLETRANSLATE(C391,""fr"",""en"")"),"MAAF customer for 17 years and suite has a fum -femaking from the director, I just went around the competitor and realizes that the competition is equal to is on average € 300 cheaper!
Nothing to do, it's the maaf that I abandon")</f>
        <v>MAAF customer for 17 years and suite has a fum -femaking from the director, I just went around the competitor and realizes that the competition is equal to is on average € 300 cheaper!
Nothing to do, it's the maaf that I abandon</v>
      </c>
    </row>
    <row r="392" ht="15.75" customHeight="1">
      <c r="A392" s="2">
        <v>1.0</v>
      </c>
      <c r="B392" s="2" t="s">
        <v>1183</v>
      </c>
      <c r="C392" s="2" t="s">
        <v>1184</v>
      </c>
      <c r="D392" s="2" t="s">
        <v>368</v>
      </c>
      <c r="E392" s="2" t="s">
        <v>21</v>
      </c>
      <c r="F392" s="2" t="s">
        <v>15</v>
      </c>
      <c r="G392" s="2" t="s">
        <v>1185</v>
      </c>
      <c r="H392" s="2" t="s">
        <v>824</v>
      </c>
      <c r="I392" s="2" t="str">
        <f>IFERROR(__xludf.DUMMYFUNCTION("GOOGLETRANSLATE(C392,""fr"",""en"")"),"This broker must go straight out of Cayenne. After paying my annual bonus, my customer area was blocked, my emails came back to me unreaded.")</f>
        <v>This broker must go straight out of Cayenne. After paying my annual bonus, my customer area was blocked, my emails came back to me unreaded.</v>
      </c>
    </row>
    <row r="393" ht="15.75" customHeight="1">
      <c r="A393" s="2">
        <v>1.0</v>
      </c>
      <c r="B393" s="2" t="s">
        <v>1186</v>
      </c>
      <c r="C393" s="2" t="s">
        <v>1187</v>
      </c>
      <c r="D393" s="2" t="s">
        <v>20</v>
      </c>
      <c r="E393" s="2" t="s">
        <v>21</v>
      </c>
      <c r="F393" s="2" t="s">
        <v>15</v>
      </c>
      <c r="G393" s="2" t="s">
        <v>1188</v>
      </c>
      <c r="H393" s="2" t="s">
        <v>83</v>
      </c>
      <c r="I393" s="2" t="str">
        <f>IFERROR(__xludf.DUMMYFUNCTION("GOOGLETRANSLATE(C393,""fr"",""en"")"),"A word of advice: if a fire goes red especially do not stop because if you are returned to you the GMF will terminate your contract because you have a dangerous driving. A hanging while I was stopped (it is when Not even my fault if you get back in my veh"&amp;"icle) and a break of ice. So that's the bad driver. The GMF wants your money but especially no accident. Politics is paying payable and not paying. I think I don't be dangerous, especially since I do road preview. In short insurance to avoid at all costs "&amp;"if you don't want to struggle to find another.")</f>
        <v>A word of advice: if a fire goes red especially do not stop because if you are returned to you the GMF will terminate your contract because you have a dangerous driving. A hanging while I was stopped (it is when Not even my fault if you get back in my vehicle) and a break of ice. So that's the bad driver. The GMF wants your money but especially no accident. Politics is paying payable and not paying. I think I don't be dangerous, especially since I do road preview. In short insurance to avoid at all costs if you don't want to struggle to find another.</v>
      </c>
    </row>
    <row r="394" ht="15.75" customHeight="1">
      <c r="A394" s="2">
        <v>5.0</v>
      </c>
      <c r="B394" s="2" t="s">
        <v>1189</v>
      </c>
      <c r="C394" s="2" t="s">
        <v>1190</v>
      </c>
      <c r="D394" s="2" t="s">
        <v>42</v>
      </c>
      <c r="E394" s="2" t="s">
        <v>21</v>
      </c>
      <c r="F394" s="2" t="s">
        <v>15</v>
      </c>
      <c r="G394" s="2" t="s">
        <v>1191</v>
      </c>
      <c r="H394" s="2" t="s">
        <v>123</v>
      </c>
      <c r="I394" s="2" t="str">
        <f>IFERROR(__xludf.DUMMYFUNCTION("GOOGLETRANSLATE(C394,""fr"",""en"")"),"Very satisfied with the services of the Insurance Olivier. The prices are suitable, always happy to ensure my vehicles at the olive tree. Thank you for your service")</f>
        <v>Very satisfied with the services of the Insurance Olivier. The prices are suitable, always happy to ensure my vehicles at the olive tree. Thank you for your service</v>
      </c>
    </row>
    <row r="395" ht="15.75" customHeight="1">
      <c r="A395" s="2">
        <v>1.0</v>
      </c>
      <c r="B395" s="2" t="s">
        <v>1192</v>
      </c>
      <c r="C395" s="2" t="s">
        <v>1193</v>
      </c>
      <c r="D395" s="2" t="s">
        <v>137</v>
      </c>
      <c r="E395" s="2" t="s">
        <v>129</v>
      </c>
      <c r="F395" s="2" t="s">
        <v>15</v>
      </c>
      <c r="G395" s="2" t="s">
        <v>1194</v>
      </c>
      <c r="H395" s="2" t="s">
        <v>39</v>
      </c>
      <c r="I395" s="2" t="str">
        <f>IFERROR(__xludf.DUMMYFUNCTION("GOOGLETRANSLATE(C395,""fr"",""en"")"),"No one, because no longer covers the housing on theft, vandalism on the grounds that the insured goes into ephad, the only option is the fire while the major risk is theft or vandalism. Keep your house, thank you the maaf for the seniors ....")</f>
        <v>No one, because no longer covers the housing on theft, vandalism on the grounds that the insured goes into ephad, the only option is the fire while the major risk is theft or vandalism. Keep your house, thank you the maaf for the seniors ....</v>
      </c>
    </row>
    <row r="396" ht="15.75" customHeight="1">
      <c r="A396" s="2">
        <v>3.0</v>
      </c>
      <c r="B396" s="2" t="s">
        <v>1195</v>
      </c>
      <c r="C396" s="2" t="s">
        <v>1196</v>
      </c>
      <c r="D396" s="2" t="s">
        <v>42</v>
      </c>
      <c r="E396" s="2" t="s">
        <v>21</v>
      </c>
      <c r="F396" s="2" t="s">
        <v>15</v>
      </c>
      <c r="G396" s="2" t="s">
        <v>1015</v>
      </c>
      <c r="H396" s="2" t="s">
        <v>44</v>
      </c>
      <c r="I396" s="2" t="str">
        <f>IFERROR(__xludf.DUMMYFUNCTION("GOOGLETRANSLATE(C396,""fr"",""en"")"),"I am satisfied with the taking and the operation of the insurance olive tree ... I recommend it .....
Very good home telphonic
Staff listened ...
")</f>
        <v>I am satisfied with the taking and the operation of the insurance olive tree ... I recommend it .....
Very good home telphonic
Staff listened ...
</v>
      </c>
    </row>
    <row r="397" ht="15.75" customHeight="1">
      <c r="A397" s="2">
        <v>2.0</v>
      </c>
      <c r="B397" s="2" t="s">
        <v>1197</v>
      </c>
      <c r="C397" s="2" t="s">
        <v>1198</v>
      </c>
      <c r="D397" s="2" t="s">
        <v>95</v>
      </c>
      <c r="E397" s="2" t="s">
        <v>32</v>
      </c>
      <c r="F397" s="2" t="s">
        <v>15</v>
      </c>
      <c r="G397" s="2" t="s">
        <v>1199</v>
      </c>
      <c r="H397" s="2" t="s">
        <v>201</v>
      </c>
      <c r="I397" s="2" t="str">
        <f>IFERROR(__xludf.DUMMYFUNCTION("GOOGLETRANSLATE(C397,""fr"",""en"")"),"Loading...")</f>
        <v>Loading...</v>
      </c>
    </row>
    <row r="398" ht="15.75" customHeight="1">
      <c r="A398" s="2">
        <v>5.0</v>
      </c>
      <c r="B398" s="2" t="s">
        <v>1200</v>
      </c>
      <c r="C398" s="2" t="s">
        <v>1201</v>
      </c>
      <c r="D398" s="2" t="s">
        <v>42</v>
      </c>
      <c r="E398" s="2" t="s">
        <v>21</v>
      </c>
      <c r="F398" s="2" t="s">
        <v>15</v>
      </c>
      <c r="G398" s="2" t="s">
        <v>403</v>
      </c>
      <c r="H398" s="2" t="s">
        <v>44</v>
      </c>
      <c r="I398" s="2" t="str">
        <f>IFERROR(__xludf.DUMMYFUNCTION("GOOGLETRANSLATE(C398,""fr"",""en"")"),"Very pleasant, funny and benevolent. I am very satisfied to have called on the Olivier Insurance to ensure my first car. thank you")</f>
        <v>Very pleasant, funny and benevolent. I am very satisfied to have called on the Olivier Insurance to ensure my first car. thank you</v>
      </c>
    </row>
    <row r="399" ht="15.75" customHeight="1">
      <c r="A399" s="2">
        <v>1.0</v>
      </c>
      <c r="B399" s="2" t="s">
        <v>1202</v>
      </c>
      <c r="C399" s="2" t="s">
        <v>1203</v>
      </c>
      <c r="D399" s="2" t="s">
        <v>20</v>
      </c>
      <c r="E399" s="2" t="s">
        <v>21</v>
      </c>
      <c r="F399" s="2" t="s">
        <v>15</v>
      </c>
      <c r="G399" s="2" t="s">
        <v>1204</v>
      </c>
      <c r="H399" s="2" t="s">
        <v>1205</v>
      </c>
      <c r="I399" s="2" t="str">
        <f>IFERROR(__xludf.DUMMYFUNCTION("GOOGLETRANSLATE(C399,""fr"",""en"")"),"Loading...")</f>
        <v>Loading...</v>
      </c>
    </row>
    <row r="400" ht="15.75" customHeight="1">
      <c r="A400" s="2">
        <v>1.0</v>
      </c>
      <c r="B400" s="2" t="s">
        <v>1206</v>
      </c>
      <c r="C400" s="2" t="s">
        <v>1207</v>
      </c>
      <c r="D400" s="2" t="s">
        <v>210</v>
      </c>
      <c r="E400" s="2" t="s">
        <v>14</v>
      </c>
      <c r="F400" s="2" t="s">
        <v>15</v>
      </c>
      <c r="G400" s="2" t="s">
        <v>1208</v>
      </c>
      <c r="H400" s="2" t="s">
        <v>23</v>
      </c>
      <c r="I400" s="2" t="str">
        <f>IFERROR(__xludf.DUMMYFUNCTION("GOOGLETRANSLATE(C400,""fr"",""en"")"),"Very neckline I do not receive my reimbursements when I am taken every month and I am called them I am putting me on hold ... and no one speaks beware you frankly they were not sanctioned for nothing ...")</f>
        <v>Very neckline I do not receive my reimbursements when I am taken every month and I am called them I am putting me on hold ... and no one speaks beware you frankly they were not sanctioned for nothing ...</v>
      </c>
    </row>
    <row r="401" ht="15.75" customHeight="1">
      <c r="A401" s="2">
        <v>5.0</v>
      </c>
      <c r="B401" s="2" t="s">
        <v>1209</v>
      </c>
      <c r="C401" s="2" t="s">
        <v>1210</v>
      </c>
      <c r="D401" s="2" t="s">
        <v>183</v>
      </c>
      <c r="E401" s="2" t="s">
        <v>14</v>
      </c>
      <c r="F401" s="2" t="s">
        <v>15</v>
      </c>
      <c r="G401" s="2" t="s">
        <v>880</v>
      </c>
      <c r="H401" s="2" t="s">
        <v>44</v>
      </c>
      <c r="I401" s="2" t="str">
        <f>IFERROR(__xludf.DUMMYFUNCTION("GOOGLETRANSLATE(C401,""fr"",""en"")"),"Loading...")</f>
        <v>Loading...</v>
      </c>
    </row>
    <row r="402" ht="15.75" customHeight="1">
      <c r="A402" s="2">
        <v>3.0</v>
      </c>
      <c r="B402" s="2" t="s">
        <v>1211</v>
      </c>
      <c r="C402" s="2" t="s">
        <v>1212</v>
      </c>
      <c r="D402" s="2" t="s">
        <v>62</v>
      </c>
      <c r="E402" s="2" t="s">
        <v>21</v>
      </c>
      <c r="F402" s="2" t="s">
        <v>15</v>
      </c>
      <c r="G402" s="2" t="s">
        <v>376</v>
      </c>
      <c r="H402" s="2" t="s">
        <v>34</v>
      </c>
      <c r="I402" s="2" t="str">
        <f>IFERROR(__xludf.DUMMYFUNCTION("GOOGLETRANSLATE(C402,""fr"",""en"")"),"Simple and quick, I chose you for this.
Your connected formula really suited me following the concern I met by wanting to ensure my new vehicle following the death of my spouse.
I was assured as a main driver for more than 40 years but on the last contr"&amp;"act just the name of companion appeared and I lost all my bonus ... I hope I will quickly return to your home. Despite everything my bonus 2 times higher.")</f>
        <v>Simple and quick, I chose you for this.
Your connected formula really suited me following the concern I met by wanting to ensure my new vehicle following the death of my spouse.
I was assured as a main driver for more than 40 years but on the last contract just the name of companion appeared and I lost all my bonus ... I hope I will quickly return to your home. Despite everything my bonus 2 times higher.</v>
      </c>
    </row>
    <row r="403" ht="15.75" customHeight="1">
      <c r="A403" s="2">
        <v>3.0</v>
      </c>
      <c r="B403" s="2" t="s">
        <v>1213</v>
      </c>
      <c r="C403" s="2" t="s">
        <v>1214</v>
      </c>
      <c r="D403" s="2" t="s">
        <v>42</v>
      </c>
      <c r="E403" s="2" t="s">
        <v>21</v>
      </c>
      <c r="F403" s="2" t="s">
        <v>15</v>
      </c>
      <c r="G403" s="2" t="s">
        <v>1215</v>
      </c>
      <c r="H403" s="2" t="s">
        <v>39</v>
      </c>
      <c r="I403" s="2" t="str">
        <f>IFERROR(__xludf.DUMMYFUNCTION("GOOGLETRANSLATE(C403,""fr"",""en"")"),"Loading...")</f>
        <v>Loading...</v>
      </c>
    </row>
    <row r="404" ht="15.75" customHeight="1">
      <c r="A404" s="2">
        <v>2.0</v>
      </c>
      <c r="B404" s="2" t="s">
        <v>1216</v>
      </c>
      <c r="C404" s="2" t="s">
        <v>1217</v>
      </c>
      <c r="D404" s="2" t="s">
        <v>20</v>
      </c>
      <c r="E404" s="2" t="s">
        <v>129</v>
      </c>
      <c r="F404" s="2" t="s">
        <v>15</v>
      </c>
      <c r="G404" s="2" t="s">
        <v>1218</v>
      </c>
      <c r="H404" s="2" t="s">
        <v>413</v>
      </c>
      <c r="I404" s="2" t="str">
        <f>IFERROR(__xludf.DUMMYFUNCTION("GOOGLETRANSLATE(C404,""fr"",""en"")"),"Impossible to reach the GMF in the event of a claim
call centers are still busy")</f>
        <v>Impossible to reach the GMF in the event of a claim
call centers are still busy</v>
      </c>
    </row>
    <row r="405" ht="15.75" customHeight="1">
      <c r="A405" s="2">
        <v>1.0</v>
      </c>
      <c r="B405" s="2" t="s">
        <v>1219</v>
      </c>
      <c r="C405" s="2" t="s">
        <v>1220</v>
      </c>
      <c r="D405" s="2" t="s">
        <v>62</v>
      </c>
      <c r="E405" s="2" t="s">
        <v>21</v>
      </c>
      <c r="F405" s="2" t="s">
        <v>15</v>
      </c>
      <c r="G405" s="2" t="s">
        <v>1221</v>
      </c>
      <c r="H405" s="2" t="s">
        <v>34</v>
      </c>
      <c r="I405" s="2" t="str">
        <f>IFERROR(__xludf.DUMMYFUNCTION("GOOGLETRANSLATE(C405,""fr"",""en"")"),"Increase in the basic contribution of 15% in one year !!
My bonus increases but my subscription increases by 10% because the basic contribution has taken 15%! Without an apparent reason!")</f>
        <v>Increase in the basic contribution of 15% in one year !!
My bonus increases but my subscription increases by 10% because the basic contribution has taken 15%! Without an apparent reason!</v>
      </c>
    </row>
    <row r="406" ht="15.75" customHeight="1">
      <c r="A406" s="2">
        <v>5.0</v>
      </c>
      <c r="B406" s="2" t="s">
        <v>1222</v>
      </c>
      <c r="C406" s="2" t="s">
        <v>1223</v>
      </c>
      <c r="D406" s="2" t="s">
        <v>62</v>
      </c>
      <c r="E406" s="2" t="s">
        <v>21</v>
      </c>
      <c r="F406" s="2" t="s">
        <v>15</v>
      </c>
      <c r="G406" s="2" t="s">
        <v>1224</v>
      </c>
      <c r="H406" s="2" t="s">
        <v>123</v>
      </c>
      <c r="I406" s="2" t="str">
        <f>IFERROR(__xludf.DUMMYFUNCTION("GOOGLETRANSLATE(C406,""fr"",""en"")"),"I am satisfied ... Direct Auto Insurance .c is fast and simple cheaper .. and I count soon reassures my apartment with you as soon as I have it ..")</f>
        <v>I am satisfied ... Direct Auto Insurance .c is fast and simple cheaper .. and I count soon reassures my apartment with you as soon as I have it ..</v>
      </c>
    </row>
    <row r="407" ht="15.75" customHeight="1">
      <c r="A407" s="2">
        <v>2.0</v>
      </c>
      <c r="B407" s="2" t="s">
        <v>1225</v>
      </c>
      <c r="C407" s="2" t="s">
        <v>1226</v>
      </c>
      <c r="D407" s="2" t="s">
        <v>62</v>
      </c>
      <c r="E407" s="2" t="s">
        <v>21</v>
      </c>
      <c r="F407" s="2" t="s">
        <v>15</v>
      </c>
      <c r="G407" s="2" t="s">
        <v>1227</v>
      </c>
      <c r="H407" s="2" t="s">
        <v>304</v>
      </c>
      <c r="I407" s="2" t="str">
        <f>IFERROR(__xludf.DUMMYFUNCTION("GOOGLETRANSLATE(C407,""fr"",""en"")"),"Insatisted by an increase in significant price on my 2 auto and housing contracts of the economic type, I am offered a small commercial gesture and clearly I am not looking to keep me, nor to retain the result I leave them for the 1st insurance of France "&amp;"And concludes all risks with them! Like what it's all about being and knowing how to do it !!!")</f>
        <v>Insatisted by an increase in significant price on my 2 auto and housing contracts of the economic type, I am offered a small commercial gesture and clearly I am not looking to keep me, nor to retain the result I leave them for the 1st insurance of France And concludes all risks with them! Like what it's all about being and knowing how to do it !!!</v>
      </c>
    </row>
    <row r="408" ht="15.75" customHeight="1">
      <c r="A408" s="2">
        <v>3.0</v>
      </c>
      <c r="B408" s="2" t="s">
        <v>1228</v>
      </c>
      <c r="C408" s="2" t="s">
        <v>1229</v>
      </c>
      <c r="D408" s="2" t="s">
        <v>62</v>
      </c>
      <c r="E408" s="2" t="s">
        <v>21</v>
      </c>
      <c r="F408" s="2" t="s">
        <v>15</v>
      </c>
      <c r="G408" s="2" t="s">
        <v>397</v>
      </c>
      <c r="H408" s="2" t="s">
        <v>64</v>
      </c>
      <c r="I408" s="2" t="str">
        <f>IFERROR(__xludf.DUMMYFUNCTION("GOOGLETRANSLATE(C408,""fr"",""en"")"),"I am still awaiting responsibility for the opposing party.
I have transmitted all the elements to you to know: observation, coordinate of the driver, ref insurance and photo and the file is still pending.
Cordially")</f>
        <v>I am still awaiting responsibility for the opposing party.
I have transmitted all the elements to you to know: observation, coordinate of the driver, ref insurance and photo and the file is still pending.
Cordially</v>
      </c>
    </row>
    <row r="409" ht="15.75" customHeight="1">
      <c r="A409" s="2">
        <v>4.0</v>
      </c>
      <c r="B409" s="2" t="s">
        <v>1230</v>
      </c>
      <c r="C409" s="2" t="s">
        <v>1231</v>
      </c>
      <c r="D409" s="2" t="s">
        <v>42</v>
      </c>
      <c r="E409" s="2" t="s">
        <v>21</v>
      </c>
      <c r="F409" s="2" t="s">
        <v>15</v>
      </c>
      <c r="G409" s="2" t="s">
        <v>228</v>
      </c>
      <c r="H409" s="2" t="s">
        <v>123</v>
      </c>
      <c r="I409" s="2" t="str">
        <f>IFERROR(__xludf.DUMMYFUNCTION("GOOGLETRANSLATE(C409,""fr"",""en"")"),"Excellent price
Ease of subscription
call to help us and advise us ++
confidence problem giving your card by phone remains a
greater risk of fraud")</f>
        <v>Excellent price
Ease of subscription
call to help us and advise us ++
confidence problem giving your card by phone remains a
greater risk of fraud</v>
      </c>
    </row>
    <row r="410" ht="15.75" customHeight="1">
      <c r="A410" s="2">
        <v>3.0</v>
      </c>
      <c r="B410" s="2" t="s">
        <v>1232</v>
      </c>
      <c r="C410" s="2" t="s">
        <v>1233</v>
      </c>
      <c r="D410" s="2" t="s">
        <v>62</v>
      </c>
      <c r="E410" s="2" t="s">
        <v>21</v>
      </c>
      <c r="F410" s="2" t="s">
        <v>15</v>
      </c>
      <c r="G410" s="2" t="s">
        <v>1234</v>
      </c>
      <c r="H410" s="2" t="s">
        <v>154</v>
      </c>
      <c r="I410" s="2" t="str">
        <f>IFERROR(__xludf.DUMMYFUNCTION("GOOGLETRANSLATE(C410,""fr"",""en"")"),"I am waiting to see the price offered, because my current insurer invoices me more than last year so I want to find cheaper.
Thanks for your feedback")</f>
        <v>I am waiting to see the price offered, because my current insurer invoices me more than last year so I want to find cheaper.
Thanks for your feedback</v>
      </c>
    </row>
    <row r="411" ht="15.75" customHeight="1">
      <c r="A411" s="2">
        <v>1.0</v>
      </c>
      <c r="B411" s="2" t="s">
        <v>1235</v>
      </c>
      <c r="C411" s="2" t="s">
        <v>1236</v>
      </c>
      <c r="D411" s="2" t="s">
        <v>183</v>
      </c>
      <c r="E411" s="2" t="s">
        <v>14</v>
      </c>
      <c r="F411" s="2" t="s">
        <v>15</v>
      </c>
      <c r="G411" s="2" t="s">
        <v>1237</v>
      </c>
      <c r="H411" s="2" t="s">
        <v>271</v>
      </c>
      <c r="I411" s="2" t="str">
        <f>IFERROR(__xludf.DUMMYFUNCTION("GOOGLETRANSLATE(C411,""fr"",""en"")"),"Very problematic methods, the technicians made me sign a contract which they announced as included in my BNP bank contract when they are not mandated by my bank. I ended up with a contract at 15th/month without asking for it. Fortunately, termination is p"&amp;"ossible for free")</f>
        <v>Very problematic methods, the technicians made me sign a contract which they announced as included in my BNP bank contract when they are not mandated by my bank. I ended up with a contract at 15th/month without asking for it. Fortunately, termination is possible for free</v>
      </c>
    </row>
    <row r="412" ht="15.75" customHeight="1">
      <c r="A412" s="2">
        <v>3.0</v>
      </c>
      <c r="B412" s="2" t="s">
        <v>1238</v>
      </c>
      <c r="C412" s="2" t="s">
        <v>1239</v>
      </c>
      <c r="D412" s="2" t="s">
        <v>42</v>
      </c>
      <c r="E412" s="2" t="s">
        <v>21</v>
      </c>
      <c r="F412" s="2" t="s">
        <v>15</v>
      </c>
      <c r="G412" s="2" t="s">
        <v>1240</v>
      </c>
      <c r="H412" s="2" t="s">
        <v>59</v>
      </c>
      <c r="I412" s="2" t="str">
        <f>IFERROR(__xludf.DUMMYFUNCTION("GOOGLETRANSLATE(C412,""fr"",""en"")"),"A little high price but top customer service! I am satisfied with all the services offered. Little waiting on the phone. But it would be interesting to benefit customers from occasional discounts")</f>
        <v>A little high price but top customer service! I am satisfied with all the services offered. Little waiting on the phone. But it would be interesting to benefit customers from occasional discounts</v>
      </c>
    </row>
    <row r="413" ht="15.75" customHeight="1">
      <c r="A413" s="2">
        <v>1.0</v>
      </c>
      <c r="B413" s="2" t="s">
        <v>1241</v>
      </c>
      <c r="C413" s="2" t="s">
        <v>1242</v>
      </c>
      <c r="D413" s="2" t="s">
        <v>1243</v>
      </c>
      <c r="E413" s="2" t="s">
        <v>457</v>
      </c>
      <c r="F413" s="2" t="s">
        <v>15</v>
      </c>
      <c r="G413" s="2" t="s">
        <v>315</v>
      </c>
      <c r="H413" s="2" t="s">
        <v>225</v>
      </c>
      <c r="I413" s="2" t="str">
        <f>IFERROR(__xludf.DUMMYFUNCTION("GOOGLETRANSLATE(C413,""fr"",""en"")"),"Loading...")</f>
        <v>Loading...</v>
      </c>
    </row>
    <row r="414" ht="15.75" customHeight="1">
      <c r="A414" s="2">
        <v>1.0</v>
      </c>
      <c r="B414" s="2" t="s">
        <v>1244</v>
      </c>
      <c r="C414" s="2" t="s">
        <v>1245</v>
      </c>
      <c r="D414" s="2" t="s">
        <v>159</v>
      </c>
      <c r="E414" s="2" t="s">
        <v>21</v>
      </c>
      <c r="F414" s="2" t="s">
        <v>15</v>
      </c>
      <c r="G414" s="2" t="s">
        <v>1246</v>
      </c>
      <c r="H414" s="2" t="s">
        <v>370</v>
      </c>
      <c r="I414" s="2" t="str">
        <f>IFERROR(__xludf.DUMMYFUNCTION("GOOGLETRANSLATE(C414,""fr"",""en"")"),"Odious customer service, I just want to ensure another vehicle, I had three interlocutors, three explanations, three odious people. They lie to me and tell me that I am either a fraudian or an idiot (on the heard of course) to flee. I terminate all my con"&amp;"tracts")</f>
        <v>Odious customer service, I just want to ensure another vehicle, I had three interlocutors, three explanations, three odious people. They lie to me and tell me that I am either a fraudian or an idiot (on the heard of course) to flee. I terminate all my contracts</v>
      </c>
    </row>
    <row r="415" ht="15.75" customHeight="1">
      <c r="A415" s="2">
        <v>3.0</v>
      </c>
      <c r="B415" s="2" t="s">
        <v>1247</v>
      </c>
      <c r="C415" s="2" t="s">
        <v>1248</v>
      </c>
      <c r="D415" s="2" t="s">
        <v>368</v>
      </c>
      <c r="E415" s="2" t="s">
        <v>21</v>
      </c>
      <c r="F415" s="2" t="s">
        <v>15</v>
      </c>
      <c r="G415" s="2" t="s">
        <v>615</v>
      </c>
      <c r="H415" s="2" t="s">
        <v>64</v>
      </c>
      <c r="I415" s="2" t="str">
        <f>IFERROR(__xludf.DUMMYFUNCTION("GOOGLETRANSLATE(C415,""fr"",""en"")"),"Loading...")</f>
        <v>Loading...</v>
      </c>
    </row>
    <row r="416" ht="15.75" customHeight="1">
      <c r="A416" s="2">
        <v>1.0</v>
      </c>
      <c r="B416" s="2" t="s">
        <v>1249</v>
      </c>
      <c r="C416" s="2" t="s">
        <v>1250</v>
      </c>
      <c r="D416" s="2" t="s">
        <v>926</v>
      </c>
      <c r="E416" s="2" t="s">
        <v>14</v>
      </c>
      <c r="F416" s="2" t="s">
        <v>15</v>
      </c>
      <c r="G416" s="2" t="s">
        <v>1251</v>
      </c>
      <c r="H416" s="2" t="s">
        <v>185</v>
      </c>
      <c r="I416" s="2" t="str">
        <f>IFERROR(__xludf.DUMMYFUNCTION("GOOGLETRANSLATE(C416,""fr"",""en"")"),"Since September 18, 2018, I have subscribed to complementary health insurance. Almost a month later, I still haven't received the very difficult mutual card to have a phone interlocutor even leaving the contact details for a recall. If interlocutor he say"&amp;"s that the file is processed and that I will receive my documents during the week. But the days pass and still nothing")</f>
        <v>Since September 18, 2018, I have subscribed to complementary health insurance. Almost a month later, I still haven't received the very difficult mutual card to have a phone interlocutor even leaving the contact details for a recall. If interlocutor he says that the file is processed and that I will receive my documents during the week. But the days pass and still nothing</v>
      </c>
    </row>
    <row r="417" ht="15.75" customHeight="1">
      <c r="A417" s="2">
        <v>5.0</v>
      </c>
      <c r="B417" s="2" t="s">
        <v>1252</v>
      </c>
      <c r="C417" s="2" t="s">
        <v>1253</v>
      </c>
      <c r="D417" s="2" t="s">
        <v>210</v>
      </c>
      <c r="E417" s="2" t="s">
        <v>14</v>
      </c>
      <c r="F417" s="2" t="s">
        <v>15</v>
      </c>
      <c r="G417" s="2" t="s">
        <v>1254</v>
      </c>
      <c r="H417" s="2" t="s">
        <v>300</v>
      </c>
      <c r="I417" s="2" t="str">
        <f>IFERROR(__xludf.DUMMYFUNCTION("GOOGLETRANSLATE(C417,""fr"",""en"")"),"Loading...")</f>
        <v>Loading...</v>
      </c>
    </row>
    <row r="418" ht="15.75" customHeight="1">
      <c r="A418" s="2">
        <v>4.0</v>
      </c>
      <c r="B418" s="2" t="s">
        <v>1255</v>
      </c>
      <c r="C418" s="2" t="s">
        <v>1256</v>
      </c>
      <c r="D418" s="2" t="s">
        <v>31</v>
      </c>
      <c r="E418" s="2" t="s">
        <v>32</v>
      </c>
      <c r="F418" s="2" t="s">
        <v>15</v>
      </c>
      <c r="G418" s="2" t="s">
        <v>539</v>
      </c>
      <c r="H418" s="2" t="s">
        <v>34</v>
      </c>
      <c r="I418" s="2" t="str">
        <f>IFERROR(__xludf.DUMMYFUNCTION("GOOGLETRANSLATE(C418,""fr"",""en"")")," Satisfied with the service prices suits me simple and practical price price nothing to say especially in terms of online speed to make the insurance")</f>
        <v> Satisfied with the service prices suits me simple and practical price price nothing to say especially in terms of online speed to make the insurance</v>
      </c>
    </row>
    <row r="419" ht="15.75" customHeight="1">
      <c r="A419" s="2">
        <v>5.0</v>
      </c>
      <c r="B419" s="2" t="s">
        <v>1257</v>
      </c>
      <c r="C419" s="2" t="s">
        <v>1258</v>
      </c>
      <c r="D419" s="2" t="s">
        <v>368</v>
      </c>
      <c r="E419" s="2" t="s">
        <v>21</v>
      </c>
      <c r="F419" s="2" t="s">
        <v>15</v>
      </c>
      <c r="G419" s="2" t="s">
        <v>1259</v>
      </c>
      <c r="H419" s="2" t="s">
        <v>370</v>
      </c>
      <c r="I419" s="2" t="str">
        <f>IFERROR(__xludf.DUMMYFUNCTION("GOOGLETRANSLATE(C419,""fr"",""en"")"),"No worries for subscription, the prices are correct. For the moment nothing to report I have been a customer at home for almost 3 years. Very good experience, some comments amaze me, there are companies that do not accept you despite the termination of fo"&amp;"rmer insurance.")</f>
        <v>No worries for subscription, the prices are correct. For the moment nothing to report I have been a customer at home for almost 3 years. Very good experience, some comments amaze me, there are companies that do not accept you despite the termination of former insurance.</v>
      </c>
    </row>
    <row r="420" ht="15.75" customHeight="1">
      <c r="A420" s="2">
        <v>5.0</v>
      </c>
      <c r="B420" s="2" t="s">
        <v>1260</v>
      </c>
      <c r="C420" s="2" t="s">
        <v>1261</v>
      </c>
      <c r="D420" s="2" t="s">
        <v>42</v>
      </c>
      <c r="E420" s="2" t="s">
        <v>21</v>
      </c>
      <c r="F420" s="2" t="s">
        <v>15</v>
      </c>
      <c r="G420" s="2" t="s">
        <v>1262</v>
      </c>
      <c r="H420" s="2" t="s">
        <v>123</v>
      </c>
      <c r="I420" s="2" t="str">
        <f>IFERROR(__xludf.DUMMYFUNCTION("GOOGLETRANSLATE(C420,""fr"",""en"")"),"I am satisfied with the service
The price is very correct and competitive
I will recommend the olive assurance to my friends and acquaintances.
Thank you and see you soon")</f>
        <v>I am satisfied with the service
The price is very correct and competitive
I will recommend the olive assurance to my friends and acquaintances.
Thank you and see you soon</v>
      </c>
    </row>
    <row r="421" ht="15.75" customHeight="1">
      <c r="A421" s="2">
        <v>1.0</v>
      </c>
      <c r="B421" s="2" t="s">
        <v>1263</v>
      </c>
      <c r="C421" s="2" t="s">
        <v>1264</v>
      </c>
      <c r="D421" s="2" t="s">
        <v>62</v>
      </c>
      <c r="E421" s="2" t="s">
        <v>21</v>
      </c>
      <c r="F421" s="2" t="s">
        <v>15</v>
      </c>
      <c r="G421" s="2" t="s">
        <v>1265</v>
      </c>
      <c r="H421" s="2" t="s">
        <v>569</v>
      </c>
      <c r="I421" s="2" t="str">
        <f>IFERROR(__xludf.DUMMYFUNCTION("GOOGLETRANSLATE(C421,""fr"",""en"")"),"I have been a customer since 2007, today I find that the price of my insurance is exorbitant 1438 euros for a 2007 C8 at all risk, I spend a quote on the ferrets for the same vehicle 760 euros at the same insurer. Weird thing he refuses to take me at this"&amp;" price. I think I'm a sheep. I wonder how it goes for legal appeals and it is rather termination.")</f>
        <v>I have been a customer since 2007, today I find that the price of my insurance is exorbitant 1438 euros for a 2007 C8 at all risk, I spend a quote on the ferrets for the same vehicle 760 euros at the same insurer. Weird thing he refuses to take me at this price. I think I'm a sheep. I wonder how it goes for legal appeals and it is rather termination.</v>
      </c>
    </row>
    <row r="422" ht="15.75" customHeight="1">
      <c r="A422" s="2">
        <v>1.0</v>
      </c>
      <c r="B422" s="2" t="s">
        <v>1266</v>
      </c>
      <c r="C422" s="2" t="s">
        <v>1267</v>
      </c>
      <c r="D422" s="2" t="s">
        <v>542</v>
      </c>
      <c r="E422" s="2" t="s">
        <v>90</v>
      </c>
      <c r="F422" s="2" t="s">
        <v>15</v>
      </c>
      <c r="G422" s="2" t="s">
        <v>1268</v>
      </c>
      <c r="H422" s="2" t="s">
        <v>154</v>
      </c>
      <c r="I422" s="2" t="str">
        <f>IFERROR(__xludf.DUMMYFUNCTION("GOOGLETRANSLATE(C422,""fr"",""en"")"),"Six months to receive an answer via the customer area messaging, a response which in addition does not solve the problem (validation of the ""proof agreement""), but nevertheless closes the file.
Then great difficulty in making the total buy -back of my "&amp;"life insurance, as if they were rechoking to make the money.
Avoid at all costs!")</f>
        <v>Six months to receive an answer via the customer area messaging, a response which in addition does not solve the problem (validation of the "proof agreement"), but nevertheless closes the file.
Then great difficulty in making the total buy -back of my life insurance, as if they were rechoking to make the money.
Avoid at all costs!</v>
      </c>
    </row>
    <row r="423" ht="15.75" customHeight="1">
      <c r="A423" s="2">
        <v>1.0</v>
      </c>
      <c r="B423" s="2" t="s">
        <v>1269</v>
      </c>
      <c r="C423" s="2" t="s">
        <v>1270</v>
      </c>
      <c r="D423" s="2" t="s">
        <v>210</v>
      </c>
      <c r="E423" s="2" t="s">
        <v>14</v>
      </c>
      <c r="F423" s="2" t="s">
        <v>15</v>
      </c>
      <c r="G423" s="2" t="s">
        <v>1271</v>
      </c>
      <c r="H423" s="2" t="s">
        <v>300</v>
      </c>
      <c r="I423" s="2" t="str">
        <f>IFERROR(__xludf.DUMMYFUNCTION("GOOGLETRANSLATE(C423,""fr"",""en"")"),"Loading...")</f>
        <v>Loading...</v>
      </c>
    </row>
    <row r="424" ht="15.75" customHeight="1">
      <c r="A424" s="2">
        <v>1.0</v>
      </c>
      <c r="B424" s="2" t="s">
        <v>1272</v>
      </c>
      <c r="C424" s="2" t="s">
        <v>1273</v>
      </c>
      <c r="D424" s="2" t="s">
        <v>137</v>
      </c>
      <c r="E424" s="2" t="s">
        <v>129</v>
      </c>
      <c r="F424" s="2" t="s">
        <v>15</v>
      </c>
      <c r="G424" s="2" t="s">
        <v>1274</v>
      </c>
      <c r="H424" s="2" t="s">
        <v>886</v>
      </c>
      <c r="I424" s="2" t="str">
        <f>IFERROR(__xludf.DUMMYFUNCTION("GOOGLETRANSLATE(C424,""fr"",""en"")"),"Customer relationship: none. Complaint deposit = never response. Do not ensure their errors even written !!!! I am not even telling you about oral errors. Very bad customer service. By cons to subscribe we run the red carpet.")</f>
        <v>Customer relationship: none. Complaint deposit = never response. Do not ensure their errors even written !!!! I am not even telling you about oral errors. Very bad customer service. By cons to subscribe we run the red carpet.</v>
      </c>
    </row>
    <row r="425" ht="15.75" customHeight="1">
      <c r="A425" s="2">
        <v>1.0</v>
      </c>
      <c r="B425" s="2" t="s">
        <v>1275</v>
      </c>
      <c r="C425" s="2" t="s">
        <v>1276</v>
      </c>
      <c r="D425" s="2" t="s">
        <v>81</v>
      </c>
      <c r="E425" s="2" t="s">
        <v>104</v>
      </c>
      <c r="F425" s="2" t="s">
        <v>15</v>
      </c>
      <c r="G425" s="2" t="s">
        <v>1277</v>
      </c>
      <c r="H425" s="2" t="s">
        <v>429</v>
      </c>
      <c r="I425" s="2" t="str">
        <f>IFERROR(__xludf.DUMMYFUNCTION("GOOGLETRANSLATE(C425,""fr"",""en"")"),"Loading...")</f>
        <v>Loading...</v>
      </c>
    </row>
    <row r="426" ht="15.75" customHeight="1">
      <c r="A426" s="2">
        <v>4.0</v>
      </c>
      <c r="B426" s="2" t="s">
        <v>1278</v>
      </c>
      <c r="C426" s="2" t="s">
        <v>1279</v>
      </c>
      <c r="D426" s="2" t="s">
        <v>62</v>
      </c>
      <c r="E426" s="2" t="s">
        <v>21</v>
      </c>
      <c r="F426" s="2" t="s">
        <v>15</v>
      </c>
      <c r="G426" s="2" t="s">
        <v>1280</v>
      </c>
      <c r="H426" s="2" t="s">
        <v>72</v>
      </c>
      <c r="I426" s="2" t="str">
        <f>IFERROR(__xludf.DUMMYFUNCTION("GOOGLETRANSLATE(C426,""fr"",""en"")"),"The prices are very affordable, the services are good overall as well as the responsiveness following an incident.
A small downside all the same on the amount of deductibles which is a little high")</f>
        <v>The prices are very affordable, the services are good overall as well as the responsiveness following an incident.
A small downside all the same on the amount of deductibles which is a little high</v>
      </c>
    </row>
    <row r="427" ht="15.75" customHeight="1">
      <c r="A427" s="2">
        <v>2.0</v>
      </c>
      <c r="B427" s="2" t="s">
        <v>1281</v>
      </c>
      <c r="C427" s="2" t="s">
        <v>1282</v>
      </c>
      <c r="D427" s="2" t="s">
        <v>368</v>
      </c>
      <c r="E427" s="2" t="s">
        <v>21</v>
      </c>
      <c r="F427" s="2" t="s">
        <v>15</v>
      </c>
      <c r="G427" s="2" t="s">
        <v>608</v>
      </c>
      <c r="H427" s="2" t="s">
        <v>608</v>
      </c>
      <c r="I427" s="2" t="str">
        <f>IFERROR(__xludf.DUMMYFUNCTION("GOOGLETRANSLATE(C427,""fr"",""en"")"),"Loading...")</f>
        <v>Loading...</v>
      </c>
    </row>
    <row r="428" ht="15.75" customHeight="1">
      <c r="A428" s="2">
        <v>1.0</v>
      </c>
      <c r="B428" s="2" t="s">
        <v>1283</v>
      </c>
      <c r="C428" s="2" t="s">
        <v>1284</v>
      </c>
      <c r="D428" s="2" t="s">
        <v>456</v>
      </c>
      <c r="E428" s="2" t="s">
        <v>457</v>
      </c>
      <c r="F428" s="2" t="s">
        <v>15</v>
      </c>
      <c r="G428" s="2" t="s">
        <v>1285</v>
      </c>
      <c r="H428" s="2" t="s">
        <v>59</v>
      </c>
      <c r="I428" s="2" t="str">
        <f>IFERROR(__xludf.DUMMYFUNCTION("GOOGLETRANSLATE(C428,""fr"",""en"")"),"For insurance that supported 70 % at the start, I have to pay 62 euros per month to date, is this normal to abuse people's confidence?")</f>
        <v>For insurance that supported 70 % at the start, I have to pay 62 euros per month to date, is this normal to abuse people's confidence?</v>
      </c>
    </row>
    <row r="429" ht="15.75" customHeight="1">
      <c r="A429" s="2">
        <v>1.0</v>
      </c>
      <c r="B429" s="2" t="s">
        <v>1286</v>
      </c>
      <c r="C429" s="2" t="s">
        <v>1287</v>
      </c>
      <c r="D429" s="2" t="s">
        <v>183</v>
      </c>
      <c r="E429" s="2" t="s">
        <v>14</v>
      </c>
      <c r="F429" s="2" t="s">
        <v>15</v>
      </c>
      <c r="G429" s="2" t="s">
        <v>262</v>
      </c>
      <c r="H429" s="2" t="s">
        <v>34</v>
      </c>
      <c r="I429" s="2" t="str">
        <f>IFERROR(__xludf.DUMMYFUNCTION("GOOGLETRANSLATE(C429,""fr"",""en"")"),"We sell the product to attract you in the net. After having signed so engaging for a year, I encounter series problems I will take 2 of my subscription under the same reference but different, a real hassle before me Refund, I will be asked to justify the "&amp;"slightest thing, to reimburse the costs but how to reimburse when the 2 cards are under the same references. Be elsewhere will be the pharmacy which will commit me from the problem; Mid February, finally I am reimbursed after tonnes of email, thank God th"&amp;"at the email exists and that it is free. In January I did the TV transmission of the vital card.
asking to justify their error and understand until now I am awaiting an answer. F February, I see that my mother does not receive any reimbursements of her m"&amp;"utual, I contact them and there, I am answered we have a problem With your mother's TV transmission.
I fart a lead if I do not come to you, when you would have told me. In addition, it was I who did everything to subscribe to the contract and they have a"&amp;"lways exchanged with me and they dare to tell me You are not the holder of the contract so we do not discuss with you and they even dare to show that she is under supervision.
Furious, I can't take it anymore; I have to monitor the counting of social sec"&amp;"urity and even I had to learn to calculate the reimbursements
")</f>
        <v>We sell the product to attract you in the net. After having signed so engaging for a year, I encounter series problems I will take 2 of my subscription under the same reference but different, a real hassle before me Refund, I will be asked to justify the slightest thing, to reimburse the costs but how to reimburse when the 2 cards are under the same references. Be elsewhere will be the pharmacy which will commit me from the problem; Mid February, finally I am reimbursed after tonnes of email, thank God that the email exists and that it is free. In January I did the TV transmission of the vital card.
asking to justify their error and understand until now I am awaiting an answer. F February, I see that my mother does not receive any reimbursements of her mutual, I contact them and there, I am answered we have a problem With your mother's TV transmission.
I fart a lead if I do not come to you, when you would have told me. In addition, it was I who did everything to subscribe to the contract and they have always exchanged with me and they dare to tell me You are not the holder of the contract so we do not discuss with you and they even dare to show that she is under supervision.
Furious, I can't take it anymore; I have to monitor the counting of social security and even I had to learn to calculate the reimbursements
</v>
      </c>
    </row>
    <row r="430" ht="15.75" customHeight="1">
      <c r="A430" s="2">
        <v>2.0</v>
      </c>
      <c r="B430" s="2" t="s">
        <v>1288</v>
      </c>
      <c r="C430" s="2" t="s">
        <v>1289</v>
      </c>
      <c r="D430" s="2" t="s">
        <v>99</v>
      </c>
      <c r="E430" s="2" t="s">
        <v>129</v>
      </c>
      <c r="F430" s="2" t="s">
        <v>15</v>
      </c>
      <c r="G430" s="2" t="s">
        <v>1290</v>
      </c>
      <c r="H430" s="2" t="s">
        <v>304</v>
      </c>
      <c r="I430" s="2" t="str">
        <f>IFERROR(__xludf.DUMMYFUNCTION("GOOGLETRANSLATE(C430,""fr"",""en"")"),"Hello,
My water damage dossier is now subjected to Texa.
I had a message giving me an appointment with an expert for February 1 then I had a notification 3 hours later to tell me that it was canceled and that we were going to contact me to set a new dat"&amp;"e . Saturday I had a voice message giving me the date of March 3!
I tried to reach them in stride but I waited 72 minutes without anyone taking my call.
My claim took place over two months ago.
I reported to the maif the urgent nature of the repair o"&amp;"f the traces of mold which are potentially dangerous for health (but I must not touch anything before the passage of the expert ...), I have Dry cough for several weeks, I hope it is not linked (non -smoking) and my self -employed entrepreneur works at ho"&amp;"me.
I would therefore not want to wait another month for the expert to find out what I have already declared to insurance, online then by phone (because left without any news for weeks) as well as by seeing (form form Co-replute with the agency that m"&amp;"anages my building), plus the photos provided by email.
I really feel like I have been walking around for weeks, I am not at all satisfied with the service.")</f>
        <v>Hello,
My water damage dossier is now subjected to Texa.
I had a message giving me an appointment with an expert for February 1 then I had a notification 3 hours later to tell me that it was canceled and that we were going to contact me to set a new date . Saturday I had a voice message giving me the date of March 3!
I tried to reach them in stride but I waited 72 minutes without anyone taking my call.
My claim took place over two months ago.
I reported to the maif the urgent nature of the repair of the traces of mold which are potentially dangerous for health (but I must not touch anything before the passage of the expert ...), I have Dry cough for several weeks, I hope it is not linked (non -smoking) and my self -employed entrepreneur works at home.
I would therefore not want to wait another month for the expert to find out what I have already declared to insurance, online then by phone (because left without any news for weeks) as well as by seeing (form form Co-replute with the agency that manages my building), plus the photos provided by email.
I really feel like I have been walking around for weeks, I am not at all satisfied with the service.</v>
      </c>
    </row>
    <row r="431" ht="15.75" customHeight="1">
      <c r="A431" s="2">
        <v>4.0</v>
      </c>
      <c r="B431" s="2" t="s">
        <v>1291</v>
      </c>
      <c r="C431" s="2" t="s">
        <v>1292</v>
      </c>
      <c r="D431" s="2" t="s">
        <v>62</v>
      </c>
      <c r="E431" s="2" t="s">
        <v>21</v>
      </c>
      <c r="F431" s="2" t="s">
        <v>15</v>
      </c>
      <c r="G431" s="2" t="s">
        <v>615</v>
      </c>
      <c r="H431" s="2" t="s">
        <v>64</v>
      </c>
      <c r="I431" s="2" t="str">
        <f>IFERROR(__xludf.DUMMYFUNCTION("GOOGLETRANSLATE(C431,""fr"",""en"")"),"The site is super practical.
Very effective and very pleasant telephone advisers.
The quality/price ratio is very interesting and the services are clear.")</f>
        <v>The site is super practical.
Very effective and very pleasant telephone advisers.
The quality/price ratio is very interesting and the services are clear.</v>
      </c>
    </row>
    <row r="432" ht="15.75" customHeight="1">
      <c r="A432" s="2">
        <v>1.0</v>
      </c>
      <c r="B432" s="2" t="s">
        <v>1293</v>
      </c>
      <c r="C432" s="2" t="s">
        <v>1294</v>
      </c>
      <c r="D432" s="2" t="s">
        <v>31</v>
      </c>
      <c r="E432" s="2" t="s">
        <v>32</v>
      </c>
      <c r="F432" s="2" t="s">
        <v>15</v>
      </c>
      <c r="G432" s="2" t="s">
        <v>1295</v>
      </c>
      <c r="H432" s="2" t="s">
        <v>957</v>
      </c>
      <c r="I432" s="2" t="str">
        <f>IFERROR(__xludf.DUMMYFUNCTION("GOOGLETRANSLATE(C432,""fr"",""en"")"),"Especially don't have any problem.
Insured all risks. My son was stolen his scooter. It was found more than a month after suddenly they sent me my whole file. Until nothing serious, I had to look for him on the pound, take him to a garage so that the exp"&amp;"ert passes. Then found an Epavist and all this at my expense. And when they pass compensation they say that the chain were not approved when I sent the bill 4 times or it appeared it was. And again all this I knew because I called to find out where we wer"&amp;"e and as an answer I had that the file was closed but on the other hand they ever tell you. I intend to leave my experience everywhere and especially take a lawyer. In conclusion ...... flee")</f>
        <v>Especially don't have any problem.
Insured all risks. My son was stolen his scooter. It was found more than a month after suddenly they sent me my whole file. Until nothing serious, I had to look for him on the pound, take him to a garage so that the expert passes. Then found an Epavist and all this at my expense. And when they pass compensation they say that the chain were not approved when I sent the bill 4 times or it appeared it was. And again all this I knew because I called to find out where we were and as an answer I had that the file was closed but on the other hand they ever tell you. I intend to leave my experience everywhere and especially take a lawyer. In conclusion ...... flee</v>
      </c>
    </row>
    <row r="433" ht="15.75" customHeight="1">
      <c r="A433" s="2">
        <v>3.0</v>
      </c>
      <c r="B433" s="2" t="s">
        <v>1296</v>
      </c>
      <c r="C433" s="2" t="s">
        <v>1297</v>
      </c>
      <c r="D433" s="2" t="s">
        <v>31</v>
      </c>
      <c r="E433" s="2" t="s">
        <v>32</v>
      </c>
      <c r="F433" s="2" t="s">
        <v>15</v>
      </c>
      <c r="G433" s="2" t="s">
        <v>1298</v>
      </c>
      <c r="H433" s="2" t="s">
        <v>44</v>
      </c>
      <c r="I433" s="2" t="str">
        <f>IFERROR(__xludf.DUMMYFUNCTION("GOOGLETRANSLATE(C433,""fr"",""en"")"),"Completely zero insurance I had insured my daughter's scooter at all risk and when she had her accident insurance did nothing because it was she who was in wrong. To flee!")</f>
        <v>Completely zero insurance I had insured my daughter's scooter at all risk and when she had her accident insurance did nothing because it was she who was in wrong. To flee!</v>
      </c>
    </row>
    <row r="434" ht="15.75" customHeight="1">
      <c r="A434" s="2">
        <v>1.0</v>
      </c>
      <c r="B434" s="2" t="s">
        <v>1299</v>
      </c>
      <c r="C434" s="2" t="s">
        <v>1300</v>
      </c>
      <c r="D434" s="2" t="s">
        <v>1011</v>
      </c>
      <c r="E434" s="2" t="s">
        <v>457</v>
      </c>
      <c r="F434" s="2" t="s">
        <v>15</v>
      </c>
      <c r="G434" s="2" t="s">
        <v>1301</v>
      </c>
      <c r="H434" s="2" t="s">
        <v>225</v>
      </c>
      <c r="I434" s="2" t="str">
        <f>IFERROR(__xludf.DUMMYFUNCTION("GOOGLETRANSLATE(C434,""fr"",""en"")"),"Hello,
I have been waiting for several the response to an email concerning the strangely high amount of my contributions. Indeed I have paid from the start the amount for an unpopped animal while my dog ​​is pucked. No response despite several reminders."&amp;" What should I do? Opposition your future samples? In any case I think I can terminate as soon as possible.")</f>
        <v>Hello,
I have been waiting for several the response to an email concerning the strangely high amount of my contributions. Indeed I have paid from the start the amount for an unpopped animal while my dog ​​is pucked. No response despite several reminders. What should I do? Opposition your future samples? In any case I think I can terminate as soon as possible.</v>
      </c>
    </row>
    <row r="435" ht="15.75" customHeight="1">
      <c r="A435" s="2">
        <v>2.0</v>
      </c>
      <c r="B435" s="2" t="s">
        <v>1302</v>
      </c>
      <c r="C435" s="2" t="s">
        <v>1303</v>
      </c>
      <c r="D435" s="2" t="s">
        <v>62</v>
      </c>
      <c r="E435" s="2" t="s">
        <v>21</v>
      </c>
      <c r="F435" s="2" t="s">
        <v>15</v>
      </c>
      <c r="G435" s="2" t="s">
        <v>1304</v>
      </c>
      <c r="H435" s="2" t="s">
        <v>123</v>
      </c>
      <c r="I435" s="2" t="str">
        <f>IFERROR(__xludf.DUMMYFUNCTION("GOOGLETRANSLATE(C435,""fr"",""en"")"),"No refund in the event of a claim.
Several months before having an answer.
Refunds are not even up to contributions.
This explains the prices!
To flee!!
")</f>
        <v>No refund in the event of a claim.
Several months before having an answer.
Refunds are not even up to contributions.
This explains the prices!
To flee!!
</v>
      </c>
    </row>
    <row r="436" ht="15.75" customHeight="1">
      <c r="A436" s="2">
        <v>2.0</v>
      </c>
      <c r="B436" s="2" t="s">
        <v>1305</v>
      </c>
      <c r="C436" s="2" t="s">
        <v>1306</v>
      </c>
      <c r="D436" s="2" t="s">
        <v>20</v>
      </c>
      <c r="E436" s="2" t="s">
        <v>21</v>
      </c>
      <c r="F436" s="2" t="s">
        <v>15</v>
      </c>
      <c r="G436" s="2" t="s">
        <v>1307</v>
      </c>
      <c r="H436" s="2" t="s">
        <v>886</v>
      </c>
      <c r="I436" s="2" t="str">
        <f>IFERROR(__xludf.DUMMYFUNCTION("GOOGLETRANSLATE(C436,""fr"",""en"")"),"Customer services that are difficult to reachable. First of all that responds after an abnormally long waiting time and then requests a RV which requires a certain Delai")</f>
        <v>Customer services that are difficult to reachable. First of all that responds after an abnormally long waiting time and then requests a RV which requires a certain Delai</v>
      </c>
    </row>
    <row r="437" ht="15.75" customHeight="1">
      <c r="A437" s="2">
        <v>2.0</v>
      </c>
      <c r="B437" s="2" t="s">
        <v>1308</v>
      </c>
      <c r="C437" s="2" t="s">
        <v>1309</v>
      </c>
      <c r="D437" s="2" t="s">
        <v>255</v>
      </c>
      <c r="E437" s="2" t="s">
        <v>21</v>
      </c>
      <c r="F437" s="2" t="s">
        <v>15</v>
      </c>
      <c r="G437" s="2" t="s">
        <v>324</v>
      </c>
      <c r="H437" s="2" t="s">
        <v>72</v>
      </c>
      <c r="I437" s="2" t="str">
        <f>IFERROR(__xludf.DUMMYFUNCTION("GOOGLETRANSLATE(C437,""fr"",""en"")"),"Loading...")</f>
        <v>Loading...</v>
      </c>
    </row>
    <row r="438" ht="15.75" customHeight="1">
      <c r="A438" s="2">
        <v>4.0</v>
      </c>
      <c r="B438" s="2" t="s">
        <v>1310</v>
      </c>
      <c r="C438" s="2" t="s">
        <v>1311</v>
      </c>
      <c r="D438" s="2" t="s">
        <v>62</v>
      </c>
      <c r="E438" s="2" t="s">
        <v>21</v>
      </c>
      <c r="F438" s="2" t="s">
        <v>15</v>
      </c>
      <c r="G438" s="2" t="s">
        <v>346</v>
      </c>
      <c r="H438" s="2" t="s">
        <v>123</v>
      </c>
      <c r="I438" s="2" t="str">
        <f>IFERROR(__xludf.DUMMYFUNCTION("GOOGLETRANSLATE(C438,""fr"",""en"")"),"I am satisfied with the service
And the May price on the other hand assistance should be understood
For loyal customers insured more than 2 years yes, they offer 2 months free")</f>
        <v>I am satisfied with the service
And the May price on the other hand assistance should be understood
For loyal customers insured more than 2 years yes, they offer 2 months free</v>
      </c>
    </row>
    <row r="439" ht="15.75" customHeight="1">
      <c r="A439" s="2">
        <v>5.0</v>
      </c>
      <c r="B439" s="2" t="s">
        <v>1312</v>
      </c>
      <c r="C439" s="2" t="s">
        <v>1313</v>
      </c>
      <c r="D439" s="2" t="s">
        <v>62</v>
      </c>
      <c r="E439" s="2" t="s">
        <v>21</v>
      </c>
      <c r="F439" s="2" t="s">
        <v>15</v>
      </c>
      <c r="G439" s="2" t="s">
        <v>1314</v>
      </c>
      <c r="H439" s="2" t="s">
        <v>39</v>
      </c>
      <c r="I439" s="2" t="str">
        <f>IFERROR(__xludf.DUMMYFUNCTION("GOOGLETRANSLATE(C439,""fr"",""en"")"),"I am satisfied with direct insurance kindness of the staff of good advice and easy to have them on the phone the amability of the staff the explanations on the contracts are clear")</f>
        <v>I am satisfied with direct insurance kindness of the staff of good advice and easy to have them on the phone the amability of the staff the explanations on the contracts are clear</v>
      </c>
    </row>
    <row r="440" ht="15.75" customHeight="1">
      <c r="A440" s="2">
        <v>1.0</v>
      </c>
      <c r="B440" s="2" t="s">
        <v>1315</v>
      </c>
      <c r="C440" s="2" t="s">
        <v>1316</v>
      </c>
      <c r="D440" s="2" t="s">
        <v>255</v>
      </c>
      <c r="E440" s="2" t="s">
        <v>90</v>
      </c>
      <c r="F440" s="2" t="s">
        <v>15</v>
      </c>
      <c r="G440" s="2" t="s">
        <v>1317</v>
      </c>
      <c r="H440" s="2" t="s">
        <v>304</v>
      </c>
      <c r="I440" s="2" t="str">
        <f>IFERROR(__xludf.DUMMYFUNCTION("GOOGLETRANSLATE(C440,""fr"",""en"")"),"All Allianz personnel are well polite, honeyed politeness hide the deception on it")</f>
        <v>All Allianz personnel are well polite, honeyed politeness hide the deception on it</v>
      </c>
    </row>
    <row r="441" ht="15.75" customHeight="1">
      <c r="A441" s="2">
        <v>4.0</v>
      </c>
      <c r="B441" s="2" t="s">
        <v>1318</v>
      </c>
      <c r="C441" s="2" t="s">
        <v>1319</v>
      </c>
      <c r="D441" s="2" t="s">
        <v>62</v>
      </c>
      <c r="E441" s="2" t="s">
        <v>21</v>
      </c>
      <c r="F441" s="2" t="s">
        <v>15</v>
      </c>
      <c r="G441" s="2" t="s">
        <v>783</v>
      </c>
      <c r="H441" s="2" t="s">
        <v>123</v>
      </c>
      <c r="I441" s="2" t="str">
        <f>IFERROR(__xludf.DUMMYFUNCTION("GOOGLETRANSLATE(C441,""fr"",""en"")"),"Simple practical attractive price .... site simply done but very effective for if identified ........ choice of price large enough to find.
")</f>
        <v>Simple practical attractive price .... site simply done but very effective for if identified ........ choice of price large enough to find.
</v>
      </c>
    </row>
    <row r="442" ht="15.75" customHeight="1">
      <c r="A442" s="2">
        <v>4.0</v>
      </c>
      <c r="B442" s="2" t="s">
        <v>1320</v>
      </c>
      <c r="C442" s="2" t="s">
        <v>1321</v>
      </c>
      <c r="D442" s="2" t="s">
        <v>62</v>
      </c>
      <c r="E442" s="2" t="s">
        <v>21</v>
      </c>
      <c r="F442" s="2" t="s">
        <v>15</v>
      </c>
      <c r="G442" s="2" t="s">
        <v>704</v>
      </c>
      <c r="H442" s="2" t="s">
        <v>34</v>
      </c>
      <c r="I442" s="2" t="str">
        <f>IFERROR(__xludf.DUMMYFUNCTION("GOOGLETRANSLATE(C442,""fr"",""en"")"),"I am satisfied with the price and competitiveness positioning.
I am dissatisfied with the administrative management of the implementation of the contract.
 The set is satisfactory.")</f>
        <v>I am satisfied with the price and competitiveness positioning.
I am dissatisfied with the administrative management of the implementation of the contract.
 The set is satisfactory.</v>
      </c>
    </row>
    <row r="443" ht="15.75" customHeight="1">
      <c r="A443" s="2">
        <v>2.0</v>
      </c>
      <c r="B443" s="2" t="s">
        <v>1322</v>
      </c>
      <c r="C443" s="2" t="s">
        <v>1323</v>
      </c>
      <c r="D443" s="2" t="s">
        <v>62</v>
      </c>
      <c r="E443" s="2" t="s">
        <v>21</v>
      </c>
      <c r="F443" s="2" t="s">
        <v>15</v>
      </c>
      <c r="G443" s="2" t="s">
        <v>1191</v>
      </c>
      <c r="H443" s="2" t="s">
        <v>123</v>
      </c>
      <c r="I443" s="2" t="str">
        <f>IFERROR(__xludf.DUMMYFUNCTION("GOOGLETRANSLATE(C443,""fr"",""en"")"),"There is a huge difference between the price given on the phone and the price you get by simulating on the internet.
The explanations given on the phone make no sense.")</f>
        <v>There is a huge difference between the price given on the phone and the price you get by simulating on the internet.
The explanations given on the phone make no sense.</v>
      </c>
    </row>
    <row r="444" ht="15.75" customHeight="1">
      <c r="A444" s="2">
        <v>3.0</v>
      </c>
      <c r="B444" s="2" t="s">
        <v>1324</v>
      </c>
      <c r="C444" s="2" t="s">
        <v>1325</v>
      </c>
      <c r="D444" s="2" t="s">
        <v>42</v>
      </c>
      <c r="E444" s="2" t="s">
        <v>21</v>
      </c>
      <c r="F444" s="2" t="s">
        <v>15</v>
      </c>
      <c r="G444" s="2" t="s">
        <v>1061</v>
      </c>
      <c r="H444" s="2" t="s">
        <v>72</v>
      </c>
      <c r="I444" s="2" t="str">
        <f>IFERROR(__xludf.DUMMYFUNCTION("GOOGLETRANSLATE(C444,""fr"",""en"")"),"Simplicity in terms of subscription to the contract.
The price is correct, and the olive tree does not require that one is without interruption of contract during the 24 months preceding the subscription of the contract.")</f>
        <v>Simplicity in terms of subscription to the contract.
The price is correct, and the olive tree does not require that one is without interruption of contract during the 24 months preceding the subscription of the contract.</v>
      </c>
    </row>
    <row r="445" ht="15.75" customHeight="1">
      <c r="A445" s="2">
        <v>5.0</v>
      </c>
      <c r="B445" s="2" t="s">
        <v>1326</v>
      </c>
      <c r="C445" s="2" t="s">
        <v>1327</v>
      </c>
      <c r="D445" s="2" t="s">
        <v>42</v>
      </c>
      <c r="E445" s="2" t="s">
        <v>21</v>
      </c>
      <c r="F445" s="2" t="s">
        <v>15</v>
      </c>
      <c r="G445" s="2" t="s">
        <v>343</v>
      </c>
      <c r="H445" s="2" t="s">
        <v>64</v>
      </c>
      <c r="I445" s="2" t="str">
        <f>IFERROR(__xludf.DUMMYFUNCTION("GOOGLETRANSLATE(C445,""fr"",""en"")"),"Very competitive prices (at the same level of coverage), competent, kind people, and who greatly facilitate your task .... Upon receipt of my new vehicle, it was ensured in good and due form!")</f>
        <v>Very competitive prices (at the same level of coverage), competent, kind people, and who greatly facilitate your task .... Upon receipt of my new vehicle, it was ensured in good and due form!</v>
      </c>
    </row>
    <row r="446" ht="15.75" customHeight="1">
      <c r="A446" s="2">
        <v>1.0</v>
      </c>
      <c r="B446" s="2" t="s">
        <v>1328</v>
      </c>
      <c r="C446" s="2" t="s">
        <v>1329</v>
      </c>
      <c r="D446" s="2" t="s">
        <v>99</v>
      </c>
      <c r="E446" s="2" t="s">
        <v>129</v>
      </c>
      <c r="F446" s="2" t="s">
        <v>15</v>
      </c>
      <c r="G446" s="2" t="s">
        <v>1330</v>
      </c>
      <c r="H446" s="2" t="s">
        <v>631</v>
      </c>
      <c r="I446" s="2" t="str">
        <f>IFERROR(__xludf.DUMMYFUNCTION("GOOGLETRANSLATE(C446,""fr"",""en"")"),"Shameful my son had his scandalized house and does nothing between the expert and the maif")</f>
        <v>Shameful my son had his scandalized house and does nothing between the expert and the maif</v>
      </c>
    </row>
    <row r="447" ht="15.75" customHeight="1">
      <c r="A447" s="2">
        <v>3.0</v>
      </c>
      <c r="B447" s="2" t="s">
        <v>1331</v>
      </c>
      <c r="C447" s="2" t="s">
        <v>1332</v>
      </c>
      <c r="D447" s="2" t="s">
        <v>274</v>
      </c>
      <c r="E447" s="2" t="s">
        <v>14</v>
      </c>
      <c r="F447" s="2" t="s">
        <v>15</v>
      </c>
      <c r="G447" s="2" t="s">
        <v>920</v>
      </c>
      <c r="H447" s="2" t="s">
        <v>276</v>
      </c>
      <c r="I447" s="2" t="str">
        <f>IFERROR(__xludf.DUMMYFUNCTION("GOOGLETRANSLATE(C447,""fr"",""en"")"),"Insured since 1972, this mutual for me and my wife, as long as we were in activity suited us, but since we retired, it has increased every year. This first January 2021, the enormous increase more than € 60 per month? Without any postal letter, therefore "&amp;"obliged to have the internet, a computer and know that the important letter is to be read on the city of the MGP. I sent a registered letter on 02/15/2021 for a modification of my contracts, But the mutual is deaf, because I no longer have contact with de"&amp;"legates from this MGP, nor an nearby office living in the extreme south of the department of Indre. My monthly payments are € 446.10, I can no longer afford this monthly sum. This mutual must hold tale that I am isolated and aged and call myself telephone"&amp;" by an advisor. I plan for the end of the year to take a mutual for seniors")</f>
        <v>Insured since 1972, this mutual for me and my wife, as long as we were in activity suited us, but since we retired, it has increased every year. This first January 2021, the enormous increase more than € 60 per month? Without any postal letter, therefore obliged to have the internet, a computer and know that the important letter is to be read on the city of the MGP. I sent a registered letter on 02/15/2021 for a modification of my contracts, But the mutual is deaf, because I no longer have contact with delegates from this MGP, nor an nearby office living in the extreme south of the department of Indre. My monthly payments are € 446.10, I can no longer afford this monthly sum. This mutual must hold tale that I am isolated and aged and call myself telephone by an advisor. I plan for the end of the year to take a mutual for seniors</v>
      </c>
    </row>
    <row r="448" ht="15.75" customHeight="1">
      <c r="A448" s="2">
        <v>1.0</v>
      </c>
      <c r="B448" s="2" t="s">
        <v>1333</v>
      </c>
      <c r="C448" s="2" t="s">
        <v>1334</v>
      </c>
      <c r="D448" s="2" t="s">
        <v>255</v>
      </c>
      <c r="E448" s="2" t="s">
        <v>90</v>
      </c>
      <c r="F448" s="2" t="s">
        <v>15</v>
      </c>
      <c r="G448" s="2" t="s">
        <v>1335</v>
      </c>
      <c r="H448" s="2" t="s">
        <v>429</v>
      </c>
      <c r="I448" s="2" t="str">
        <f>IFERROR(__xludf.DUMMYFUNCTION("GOOGLETRANSLATE(C448,""fr"",""en"")"),"Big administrative slowness, incompetent staff who multiplied the errors to send documents to the beneficiaries, very bad relationships ... to flee !!")</f>
        <v>Big administrative slowness, incompetent staff who multiplied the errors to send documents to the beneficiaries, very bad relationships ... to flee !!</v>
      </c>
    </row>
    <row r="449" ht="15.75" customHeight="1">
      <c r="A449" s="2">
        <v>4.0</v>
      </c>
      <c r="B449" s="2" t="s">
        <v>1336</v>
      </c>
      <c r="C449" s="2" t="s">
        <v>1337</v>
      </c>
      <c r="D449" s="2" t="s">
        <v>42</v>
      </c>
      <c r="E449" s="2" t="s">
        <v>21</v>
      </c>
      <c r="F449" s="2" t="s">
        <v>15</v>
      </c>
      <c r="G449" s="2" t="s">
        <v>483</v>
      </c>
      <c r="H449" s="2" t="s">
        <v>54</v>
      </c>
      <c r="I449" s="2" t="str">
        <f>IFERROR(__xludf.DUMMYFUNCTION("GOOGLETRANSLATE(C449,""fr"",""en"")"),"I'm satisfied with service. You have responded to my questions your service to be really quick to assure me my car
Thank you for calling")</f>
        <v>I'm satisfied with service. You have responded to my questions your service to be really quick to assure me my car
Thank you for calling</v>
      </c>
    </row>
    <row r="450" ht="15.75" customHeight="1">
      <c r="A450" s="2">
        <v>3.0</v>
      </c>
      <c r="B450" s="2" t="s">
        <v>1338</v>
      </c>
      <c r="C450" s="2" t="s">
        <v>1339</v>
      </c>
      <c r="D450" s="2" t="s">
        <v>42</v>
      </c>
      <c r="E450" s="2" t="s">
        <v>21</v>
      </c>
      <c r="F450" s="2" t="s">
        <v>15</v>
      </c>
      <c r="G450" s="2" t="s">
        <v>1340</v>
      </c>
      <c r="H450" s="2" t="s">
        <v>886</v>
      </c>
      <c r="I450" s="2" t="str">
        <f>IFERROR(__xludf.DUMMYFUNCTION("GOOGLETRANSLATE(C450,""fr"",""en"")"),"Ensures at home in 2016 Price 360.98 // in 2017 T 398.92 // Price 2018 477.36 without completely fanciful accident.
")</f>
        <v>Ensures at home in 2016 Price 360.98 // in 2017 T 398.92 // Price 2018 477.36 without completely fanciful accident.
</v>
      </c>
    </row>
    <row r="451" ht="15.75" customHeight="1">
      <c r="A451" s="2">
        <v>4.0</v>
      </c>
      <c r="B451" s="2" t="s">
        <v>1341</v>
      </c>
      <c r="C451" s="2" t="s">
        <v>1342</v>
      </c>
      <c r="D451" s="2" t="s">
        <v>62</v>
      </c>
      <c r="E451" s="2" t="s">
        <v>21</v>
      </c>
      <c r="F451" s="2" t="s">
        <v>15</v>
      </c>
      <c r="G451" s="2" t="s">
        <v>1343</v>
      </c>
      <c r="H451" s="2" t="s">
        <v>113</v>
      </c>
      <c r="I451" s="2" t="str">
        <f>IFERROR(__xludf.DUMMYFUNCTION("GOOGLETRANSLATE(C451,""fr"",""en"")"),"The car insurance simulator is easy to use and complete in the requested information. The price seems correct and attracts our attention.")</f>
        <v>The car insurance simulator is easy to use and complete in the requested information. The price seems correct and attracts our attention.</v>
      </c>
    </row>
    <row r="452" ht="15.75" customHeight="1">
      <c r="A452" s="2">
        <v>4.0</v>
      </c>
      <c r="B452" s="2" t="s">
        <v>1344</v>
      </c>
      <c r="C452" s="2" t="s">
        <v>1345</v>
      </c>
      <c r="D452" s="2" t="s">
        <v>274</v>
      </c>
      <c r="E452" s="2" t="s">
        <v>14</v>
      </c>
      <c r="F452" s="2" t="s">
        <v>15</v>
      </c>
      <c r="G452" s="2" t="s">
        <v>1346</v>
      </c>
      <c r="H452" s="2" t="s">
        <v>276</v>
      </c>
      <c r="I452" s="2" t="str">
        <f>IFERROR(__xludf.DUMMYFUNCTION("GOOGLETRANSLATE(C452,""fr"",""en"")"),"The calls are made in time, the staff are attentive to our expectations, polite. Refunds are treated within correct deadlines")</f>
        <v>The calls are made in time, the staff are attentive to our expectations, polite. Refunds are treated within correct deadlines</v>
      </c>
    </row>
    <row r="453" ht="15.75" customHeight="1">
      <c r="A453" s="2">
        <v>1.0</v>
      </c>
      <c r="B453" s="2" t="s">
        <v>1347</v>
      </c>
      <c r="C453" s="2" t="s">
        <v>1348</v>
      </c>
      <c r="D453" s="2" t="s">
        <v>196</v>
      </c>
      <c r="E453" s="2" t="s">
        <v>21</v>
      </c>
      <c r="F453" s="2" t="s">
        <v>15</v>
      </c>
      <c r="G453" s="2" t="s">
        <v>1349</v>
      </c>
      <c r="H453" s="2" t="s">
        <v>479</v>
      </c>
      <c r="I453" s="2" t="str">
        <f>IFERROR(__xludf.DUMMYFUNCTION("GOOGLETRANSLATE(C453,""fr"",""en"")"),"Unable to reach someone telephone to have information for a guarantee transfer for a vehicle that should be lent to me.")</f>
        <v>Unable to reach someone telephone to have information for a guarantee transfer for a vehicle that should be lent to me.</v>
      </c>
    </row>
    <row r="454" ht="15.75" customHeight="1">
      <c r="A454" s="2">
        <v>4.0</v>
      </c>
      <c r="B454" s="2" t="s">
        <v>1350</v>
      </c>
      <c r="C454" s="2" t="s">
        <v>1351</v>
      </c>
      <c r="D454" s="2" t="s">
        <v>183</v>
      </c>
      <c r="E454" s="2" t="s">
        <v>14</v>
      </c>
      <c r="F454" s="2" t="s">
        <v>15</v>
      </c>
      <c r="G454" s="2" t="s">
        <v>1352</v>
      </c>
      <c r="H454" s="2" t="s">
        <v>608</v>
      </c>
      <c r="I454" s="2" t="str">
        <f>IFERROR(__xludf.DUMMYFUNCTION("GOOGLETRANSLATE(C454,""fr"",""en"")"),"I have been at Neoliane for a year soon and I am very satisfied, their advisers are very good advice and explains to us very well what the compensation for.
Since this Marysol Tourraine has capped the mutuals in France we are not a labri to pay dhonrante"&amp;"s' depths, I have been hospitalized 5 months ago for 11 days and I did not touch 1500 euros knowing that my dhon driving 900 euros ...
Thank you to Neoliane")</f>
        <v>I have been at Neoliane for a year soon and I am very satisfied, their advisers are very good advice and explains to us very well what the compensation for.
Since this Marysol Tourraine has capped the mutuals in France we are not a labri to pay dhonrantes' depths, I have been hospitalized 5 months ago for 11 days and I did not touch 1500 euros knowing that my dhon driving 900 euros ...
Thank you to Neoliane</v>
      </c>
    </row>
    <row r="455" ht="15.75" customHeight="1">
      <c r="A455" s="2">
        <v>5.0</v>
      </c>
      <c r="B455" s="2" t="s">
        <v>1353</v>
      </c>
      <c r="C455" s="2" t="s">
        <v>1354</v>
      </c>
      <c r="D455" s="2" t="s">
        <v>62</v>
      </c>
      <c r="E455" s="2" t="s">
        <v>21</v>
      </c>
      <c r="F455" s="2" t="s">
        <v>15</v>
      </c>
      <c r="G455" s="2" t="s">
        <v>259</v>
      </c>
      <c r="H455" s="2" t="s">
        <v>72</v>
      </c>
      <c r="I455" s="2" t="str">
        <f>IFERROR(__xludf.DUMMYFUNCTION("GOOGLETRANSLATE(C455,""fr"",""en"")"),"Satisfied with the service at the moment, good value for money. Rather fast telephone service and advisers to listen to the customer, very courteous.")</f>
        <v>Satisfied with the service at the moment, good value for money. Rather fast telephone service and advisers to listen to the customer, very courteous.</v>
      </c>
    </row>
    <row r="456" ht="15.75" customHeight="1">
      <c r="A456" s="2">
        <v>1.0</v>
      </c>
      <c r="B456" s="2" t="s">
        <v>1355</v>
      </c>
      <c r="C456" s="2" t="s">
        <v>1356</v>
      </c>
      <c r="D456" s="2" t="s">
        <v>137</v>
      </c>
      <c r="E456" s="2" t="s">
        <v>21</v>
      </c>
      <c r="F456" s="2" t="s">
        <v>15</v>
      </c>
      <c r="G456" s="2" t="s">
        <v>1357</v>
      </c>
      <c r="H456" s="2" t="s">
        <v>161</v>
      </c>
      <c r="I456" s="2" t="str">
        <f>IFERROR(__xludf.DUMMYFUNCTION("GOOGLETRANSLATE(C456,""fr"",""en"")"),"Good evening, Customer with a car contract since 2015, I have just learned by the MAAF my termination on 31/12/17 Motif 3 claims with 0 responsibility, as if I was guilty of caught by bad drivers. Result despite 50 % additional 8 % bonuses because conside"&amp;"red to be good driver (go to understand!) In virtually no insurance want to take me or at prohibitive rate 800 to practically € 1,000 for a 12 -year -old mega, I forgot the only one Advice that they gave me it is not to say that I was terminated, as if a "&amp;"false statement would resolve everything in short, lamentable and disgusting !!!")</f>
        <v>Good evening, Customer with a car contract since 2015, I have just learned by the MAAF my termination on 31/12/17 Motif 3 claims with 0 responsibility, as if I was guilty of caught by bad drivers. Result despite 50 % additional 8 % bonuses because considered to be good driver (go to understand!) In virtually no insurance want to take me or at prohibitive rate 800 to practically € 1,000 for a 12 -year -old mega, I forgot the only one Advice that they gave me it is not to say that I was terminated, as if a false statement would resolve everything in short, lamentable and disgusting !!!</v>
      </c>
    </row>
    <row r="457" ht="15.75" customHeight="1">
      <c r="A457" s="2">
        <v>3.0</v>
      </c>
      <c r="B457" s="2" t="s">
        <v>1358</v>
      </c>
      <c r="C457" s="2" t="s">
        <v>1359</v>
      </c>
      <c r="D457" s="2" t="s">
        <v>183</v>
      </c>
      <c r="E457" s="2" t="s">
        <v>14</v>
      </c>
      <c r="F457" s="2" t="s">
        <v>15</v>
      </c>
      <c r="G457" s="2" t="s">
        <v>1360</v>
      </c>
      <c r="H457" s="2" t="s">
        <v>92</v>
      </c>
      <c r="I457" s="2" t="str">
        <f>IFERROR(__xludf.DUMMYFUNCTION("GOOGLETRANSLATE(C457,""fr"",""en"")"),"Loading...")</f>
        <v>Loading...</v>
      </c>
    </row>
    <row r="458" ht="15.75" customHeight="1">
      <c r="A458" s="2">
        <v>1.0</v>
      </c>
      <c r="B458" s="2" t="s">
        <v>1361</v>
      </c>
      <c r="C458" s="2" t="s">
        <v>1362</v>
      </c>
      <c r="D458" s="2" t="s">
        <v>133</v>
      </c>
      <c r="E458" s="2" t="s">
        <v>14</v>
      </c>
      <c r="F458" s="2" t="s">
        <v>15</v>
      </c>
      <c r="G458" s="2" t="s">
        <v>1363</v>
      </c>
      <c r="H458" s="2" t="s">
        <v>252</v>
      </c>
      <c r="I458" s="2" t="str">
        <f>IFERROR(__xludf.DUMMYFUNCTION("GOOGLETRANSLATE(C458,""fr"",""en"")"),"This mutual is clearly zero from no customer service level.
This makes 2 experiences at home (between 2018 and 2020) and each file, they do not even look at the parts sent. They ask for additional parts which have in fact already been transmitted.
A rea"&amp;"l hassle for employees !!!
In short, an employer for the well being of your employees, run away!
Mercer recruits incompetent or has given the instructions to put sticks in the wheels on each insured for reimbursements.")</f>
        <v>This mutual is clearly zero from no customer service level.
This makes 2 experiences at home (between 2018 and 2020) and each file, they do not even look at the parts sent. They ask for additional parts which have in fact already been transmitted.
A real hassle for employees !!!
In short, an employer for the well being of your employees, run away!
Mercer recruits incompetent or has given the instructions to put sticks in the wheels on each insured for reimbursements.</v>
      </c>
    </row>
    <row r="459" ht="15.75" customHeight="1">
      <c r="A459" s="2">
        <v>5.0</v>
      </c>
      <c r="B459" s="2" t="s">
        <v>1364</v>
      </c>
      <c r="C459" s="2" t="s">
        <v>1365</v>
      </c>
      <c r="D459" s="2" t="s">
        <v>42</v>
      </c>
      <c r="E459" s="2" t="s">
        <v>21</v>
      </c>
      <c r="F459" s="2" t="s">
        <v>15</v>
      </c>
      <c r="G459" s="2" t="s">
        <v>109</v>
      </c>
      <c r="H459" s="2" t="s">
        <v>54</v>
      </c>
      <c r="I459" s="2" t="str">
        <f>IFERROR(__xludf.DUMMYFUNCTION("GOOGLETRANSLATE(C459,""fr"",""en"")"),"Excellent service, responsive and transparent, friendly welcome, I highly recommend it to everyone in search of car insurance. ????")</f>
        <v>Excellent service, responsive and transparent, friendly welcome, I highly recommend it to everyone in search of car insurance. ????</v>
      </c>
    </row>
    <row r="460" ht="15.75" customHeight="1">
      <c r="A460" s="2">
        <v>4.0</v>
      </c>
      <c r="B460" s="2" t="s">
        <v>1366</v>
      </c>
      <c r="C460" s="2" t="s">
        <v>1367</v>
      </c>
      <c r="D460" s="2" t="s">
        <v>62</v>
      </c>
      <c r="E460" s="2" t="s">
        <v>21</v>
      </c>
      <c r="F460" s="2" t="s">
        <v>15</v>
      </c>
      <c r="G460" s="2" t="s">
        <v>1368</v>
      </c>
      <c r="H460" s="2" t="s">
        <v>113</v>
      </c>
      <c r="I460" s="2" t="str">
        <f>IFERROR(__xludf.DUMMYFUNCTION("GOOGLETRANSLATE(C460,""fr"",""en"")"),"Fast and effective. After very succinct on the guarantees. We should see the Francise know is not very clear. This is a point to improve.")</f>
        <v>Fast and effective. After very succinct on the guarantees. We should see the Francise know is not very clear. This is a point to improve.</v>
      </c>
    </row>
    <row r="461" ht="15.75" customHeight="1">
      <c r="A461" s="2">
        <v>1.0</v>
      </c>
      <c r="B461" s="2" t="s">
        <v>1369</v>
      </c>
      <c r="C461" s="2" t="s">
        <v>1370</v>
      </c>
      <c r="D461" s="2" t="s">
        <v>47</v>
      </c>
      <c r="E461" s="2" t="s">
        <v>129</v>
      </c>
      <c r="F461" s="2" t="s">
        <v>15</v>
      </c>
      <c r="G461" s="2" t="s">
        <v>1371</v>
      </c>
      <c r="H461" s="2" t="s">
        <v>161</v>
      </c>
      <c r="I461" s="2" t="str">
        <f>IFERROR(__xludf.DUMMYFUNCTION("GOOGLETRANSLATE(C461,""fr"",""en"")"),"Loading...")</f>
        <v>Loading...</v>
      </c>
    </row>
    <row r="462" ht="15.75" customHeight="1">
      <c r="A462" s="2">
        <v>4.0</v>
      </c>
      <c r="B462" s="2" t="s">
        <v>1372</v>
      </c>
      <c r="C462" s="2" t="s">
        <v>1373</v>
      </c>
      <c r="D462" s="2" t="s">
        <v>274</v>
      </c>
      <c r="E462" s="2" t="s">
        <v>14</v>
      </c>
      <c r="F462" s="2" t="s">
        <v>15</v>
      </c>
      <c r="G462" s="2" t="s">
        <v>746</v>
      </c>
      <c r="H462" s="2" t="s">
        <v>252</v>
      </c>
      <c r="I462" s="2" t="str">
        <f>IFERROR(__xludf.DUMMYFUNCTION("GOOGLETRANSLATE(C462,""fr"",""en"")"),"Mutual offering good coverage overall
Dimol: less well since 1/1/20.
The prices are a bit expensive
The telephone reception is always of good quality
The advice is generally of good quality
The speed of processing requests for reimbursement is good"&amp;"
On the other hand answer for a little long quote
")</f>
        <v>Mutual offering good coverage overall
Dimol: less well since 1/1/20.
The prices are a bit expensive
The telephone reception is always of good quality
The advice is generally of good quality
The speed of processing requests for reimbursement is good
On the other hand answer for a little long quote
</v>
      </c>
    </row>
    <row r="463" ht="15.75" customHeight="1">
      <c r="A463" s="2">
        <v>4.0</v>
      </c>
      <c r="B463" s="2" t="s">
        <v>1374</v>
      </c>
      <c r="C463" s="2" t="s">
        <v>1375</v>
      </c>
      <c r="D463" s="2" t="s">
        <v>42</v>
      </c>
      <c r="E463" s="2" t="s">
        <v>21</v>
      </c>
      <c r="F463" s="2" t="s">
        <v>15</v>
      </c>
      <c r="G463" s="2" t="s">
        <v>43</v>
      </c>
      <c r="H463" s="2" t="s">
        <v>44</v>
      </c>
      <c r="I463" s="2" t="str">
        <f>IFERROR(__xludf.DUMMYFUNCTION("GOOGLETRANSLATE(C463,""fr"",""en"")"),"Loading...")</f>
        <v>Loading...</v>
      </c>
    </row>
    <row r="464" ht="15.75" customHeight="1">
      <c r="A464" s="2">
        <v>5.0</v>
      </c>
      <c r="B464" s="2" t="s">
        <v>1376</v>
      </c>
      <c r="C464" s="2" t="s">
        <v>1377</v>
      </c>
      <c r="D464" s="2" t="s">
        <v>42</v>
      </c>
      <c r="E464" s="2" t="s">
        <v>21</v>
      </c>
      <c r="F464" s="2" t="s">
        <v>15</v>
      </c>
      <c r="G464" s="2" t="s">
        <v>54</v>
      </c>
      <c r="H464" s="2" t="s">
        <v>54</v>
      </c>
      <c r="I464" s="2" t="str">
        <f>IFERROR(__xludf.DUMMYFUNCTION("GOOGLETRANSLATE(C464,""fr"",""en"")"),"I am satisfied with the service everything is perfect, good exchange with the advisers nothing to say I will recommend to my entourage the oliveira assurance thank you")</f>
        <v>I am satisfied with the service everything is perfect, good exchange with the advisers nothing to say I will recommend to my entourage the oliveira assurance thank you</v>
      </c>
    </row>
    <row r="465" ht="15.75" customHeight="1">
      <c r="A465" s="2">
        <v>5.0</v>
      </c>
      <c r="B465" s="2" t="s">
        <v>1378</v>
      </c>
      <c r="C465" s="2" t="s">
        <v>1379</v>
      </c>
      <c r="D465" s="2" t="s">
        <v>67</v>
      </c>
      <c r="E465" s="2" t="s">
        <v>32</v>
      </c>
      <c r="F465" s="2" t="s">
        <v>15</v>
      </c>
      <c r="G465" s="2" t="s">
        <v>361</v>
      </c>
      <c r="H465" s="2" t="s">
        <v>362</v>
      </c>
      <c r="I465" s="2" t="str">
        <f>IFERROR(__xludf.DUMMYFUNCTION("GOOGLETRANSLATE(C465,""fr"",""en"")"),"Loading...")</f>
        <v>Loading...</v>
      </c>
    </row>
    <row r="466" ht="15.75" customHeight="1">
      <c r="A466" s="2">
        <v>1.0</v>
      </c>
      <c r="B466" s="2" t="s">
        <v>1380</v>
      </c>
      <c r="C466" s="2" t="s">
        <v>1381</v>
      </c>
      <c r="D466" s="2" t="s">
        <v>62</v>
      </c>
      <c r="E466" s="2" t="s">
        <v>21</v>
      </c>
      <c r="F466" s="2" t="s">
        <v>15</v>
      </c>
      <c r="G466" s="2" t="s">
        <v>259</v>
      </c>
      <c r="H466" s="2" t="s">
        <v>72</v>
      </c>
      <c r="I466" s="2" t="str">
        <f>IFERROR(__xludf.DUMMYFUNCTION("GOOGLETRANSLATE(C466,""fr"",""en"")"),"If you continue to increase prices so indecently, I will have no hesitation in changing insurance, as I have done by choosing you.")</f>
        <v>If you continue to increase prices so indecently, I will have no hesitation in changing insurance, as I have done by choosing you.</v>
      </c>
    </row>
    <row r="467" ht="15.75" customHeight="1">
      <c r="A467" s="2">
        <v>3.0</v>
      </c>
      <c r="B467" s="2" t="s">
        <v>1382</v>
      </c>
      <c r="C467" s="2" t="s">
        <v>1383</v>
      </c>
      <c r="D467" s="2" t="s">
        <v>62</v>
      </c>
      <c r="E467" s="2" t="s">
        <v>21</v>
      </c>
      <c r="F467" s="2" t="s">
        <v>15</v>
      </c>
      <c r="G467" s="2" t="s">
        <v>1384</v>
      </c>
      <c r="H467" s="2" t="s">
        <v>123</v>
      </c>
      <c r="I467" s="2" t="str">
        <f>IFERROR(__xludf.DUMMYFUNCTION("GOOGLETRANSLATE(C467,""fr"",""en"")"),"Loading...")</f>
        <v>Loading...</v>
      </c>
    </row>
    <row r="468" ht="15.75" customHeight="1">
      <c r="A468" s="2">
        <v>1.0</v>
      </c>
      <c r="B468" s="2" t="s">
        <v>1385</v>
      </c>
      <c r="C468" s="2" t="s">
        <v>1386</v>
      </c>
      <c r="D468" s="2" t="s">
        <v>42</v>
      </c>
      <c r="E468" s="2" t="s">
        <v>21</v>
      </c>
      <c r="F468" s="2" t="s">
        <v>15</v>
      </c>
      <c r="G468" s="2" t="s">
        <v>1387</v>
      </c>
      <c r="H468" s="2" t="s">
        <v>429</v>
      </c>
      <c r="I468" s="2" t="str">
        <f>IFERROR(__xludf.DUMMYFUNCTION("GOOGLETRANSLATE(C468,""fr"",""en"")"),"After an unpaid, the insurer demanded that I immediately pay by CB. Not having it, I send a check which is sent to me 18 days later by informing me that my contract is terminated. No information via a registered letter with AR as stipulates art. 7.5.8 Gen"&amp;"eral conditions, non -compliance with the insurance code.")</f>
        <v>After an unpaid, the insurer demanded that I immediately pay by CB. Not having it, I send a check which is sent to me 18 days later by informing me that my contract is terminated. No information via a registered letter with AR as stipulates art. 7.5.8 General conditions, non -compliance with the insurance code.</v>
      </c>
    </row>
    <row r="469" ht="15.75" customHeight="1">
      <c r="A469" s="2">
        <v>1.0</v>
      </c>
      <c r="B469" s="2" t="s">
        <v>1388</v>
      </c>
      <c r="C469" s="2" t="s">
        <v>1389</v>
      </c>
      <c r="D469" s="2" t="s">
        <v>37</v>
      </c>
      <c r="E469" s="2" t="s">
        <v>14</v>
      </c>
      <c r="F469" s="2" t="s">
        <v>15</v>
      </c>
      <c r="G469" s="2" t="s">
        <v>1390</v>
      </c>
      <c r="H469" s="2" t="s">
        <v>141</v>
      </c>
      <c r="I469" s="2" t="str">
        <f>IFERROR(__xludf.DUMMYFUNCTION("GOOGLETRANSLATE(C469,""fr"",""en"")"),"Customer at April since September 2016, strongly the termination on 12/31.
I rarely go to doctors, the day I wanted to make glasses for me and my wife, I was told that I had the right to a 100 euro package for the mount + glasses !!!! However, I am taken"&amp;" 165 euros per month, for our 2 and 2 babies !!!
Down April, forever ...")</f>
        <v>Customer at April since September 2016, strongly the termination on 12/31.
I rarely go to doctors, the day I wanted to make glasses for me and my wife, I was told that I had the right to a 100 euro package for the mount + glasses !!!! However, I am taken 165 euros per month, for our 2 and 2 babies !!!
Down April, forever ...</v>
      </c>
    </row>
    <row r="470" ht="15.75" customHeight="1">
      <c r="A470" s="2">
        <v>3.0</v>
      </c>
      <c r="B470" s="2" t="s">
        <v>1391</v>
      </c>
      <c r="C470" s="2" t="s">
        <v>1392</v>
      </c>
      <c r="D470" s="2" t="s">
        <v>210</v>
      </c>
      <c r="E470" s="2" t="s">
        <v>14</v>
      </c>
      <c r="F470" s="2" t="s">
        <v>15</v>
      </c>
      <c r="G470" s="2" t="s">
        <v>1393</v>
      </c>
      <c r="H470" s="2" t="s">
        <v>287</v>
      </c>
      <c r="I470" s="2" t="str">
        <f>IFERROR(__xludf.DUMMYFUNCTION("GOOGLETRANSLATE(C470,""fr"",""en"")"),"Very satisfied with the call to customer service. Very welcome from Gwendal! Very friendly, responsive and understanding! Thank you for unlocking the remote transmission so quickly. Goodbye.")</f>
        <v>Very satisfied with the call to customer service. Very welcome from Gwendal! Very friendly, responsive and understanding! Thank you for unlocking the remote transmission so quickly. Goodbye.</v>
      </c>
    </row>
    <row r="471" ht="15.75" customHeight="1">
      <c r="A471" s="2">
        <v>1.0</v>
      </c>
      <c r="B471" s="2" t="s">
        <v>1394</v>
      </c>
      <c r="C471" s="2" t="s">
        <v>1395</v>
      </c>
      <c r="D471" s="2" t="s">
        <v>542</v>
      </c>
      <c r="E471" s="2" t="s">
        <v>90</v>
      </c>
      <c r="F471" s="2" t="s">
        <v>15</v>
      </c>
      <c r="G471" s="2" t="s">
        <v>1396</v>
      </c>
      <c r="H471" s="2" t="s">
        <v>886</v>
      </c>
      <c r="I471" s="2" t="str">
        <f>IFERROR(__xludf.DUMMYFUNCTION("GOOGLETRANSLATE(C471,""fr"",""en"")"),"Request for buying my life insurance since 27/12/2017 and following a tax problem they are blocked and cannot proceed to the transfer! Unheard of working within a bank the deadline is 15 days on average for a release for total redemption. The height is th"&amp;"at I wrote to the complaint service which puts him 2 months to answer? I am disgusted, the impression of speaking to a wall.")</f>
        <v>Request for buying my life insurance since 27/12/2017 and following a tax problem they are blocked and cannot proceed to the transfer! Unheard of working within a bank the deadline is 15 days on average for a release for total redemption. The height is that I wrote to the complaint service which puts him 2 months to answer? I am disgusted, the impression of speaking to a wall.</v>
      </c>
    </row>
    <row r="472" ht="15.75" customHeight="1">
      <c r="A472" s="2">
        <v>1.0</v>
      </c>
      <c r="B472" s="2" t="s">
        <v>1397</v>
      </c>
      <c r="C472" s="2" t="s">
        <v>1398</v>
      </c>
      <c r="D472" s="2" t="s">
        <v>20</v>
      </c>
      <c r="E472" s="2" t="s">
        <v>21</v>
      </c>
      <c r="F472" s="2" t="s">
        <v>15</v>
      </c>
      <c r="G472" s="2" t="s">
        <v>543</v>
      </c>
      <c r="H472" s="2" t="s">
        <v>544</v>
      </c>
      <c r="I472" s="2" t="str">
        <f>IFERROR(__xludf.DUMMYFUNCTION("GOOGLETRANSLATE(C472,""fr"",""en"")"),"I am very disappointed with this insurance with whom I have been for a long time. As long as you are lucky enough not to have a claim, everything is fine. On the other hand, after a disaster, it is very complicated to be compensated.")</f>
        <v>I am very disappointed with this insurance with whom I have been for a long time. As long as you are lucky enough not to have a claim, everything is fine. On the other hand, after a disaster, it is very complicated to be compensated.</v>
      </c>
    </row>
    <row r="473" ht="15.75" customHeight="1">
      <c r="A473" s="2">
        <v>5.0</v>
      </c>
      <c r="B473" s="2" t="s">
        <v>1399</v>
      </c>
      <c r="C473" s="2" t="s">
        <v>1400</v>
      </c>
      <c r="D473" s="2" t="s">
        <v>20</v>
      </c>
      <c r="E473" s="2" t="s">
        <v>21</v>
      </c>
      <c r="F473" s="2" t="s">
        <v>15</v>
      </c>
      <c r="G473" s="2" t="s">
        <v>525</v>
      </c>
      <c r="H473" s="2" t="s">
        <v>59</v>
      </c>
      <c r="I473" s="2" t="str">
        <f>IFERROR(__xludf.DUMMYFUNCTION("GOOGLETRANSLATE(C473,""fr"",""en"")"),"Loading...")</f>
        <v>Loading...</v>
      </c>
    </row>
    <row r="474" ht="15.75" customHeight="1">
      <c r="A474" s="2">
        <v>1.0</v>
      </c>
      <c r="B474" s="2" t="s">
        <v>1401</v>
      </c>
      <c r="C474" s="2" t="s">
        <v>1402</v>
      </c>
      <c r="D474" s="2" t="s">
        <v>81</v>
      </c>
      <c r="E474" s="2" t="s">
        <v>14</v>
      </c>
      <c r="F474" s="2" t="s">
        <v>15</v>
      </c>
      <c r="G474" s="2" t="s">
        <v>1403</v>
      </c>
      <c r="H474" s="2" t="s">
        <v>83</v>
      </c>
      <c r="I474" s="2" t="str">
        <f>IFERROR(__xludf.DUMMYFUNCTION("GOOGLETRANSLATE(C474,""fr"",""en"")"),"To take no worries but to repay there anymore I always come across a different person one tells me file ok the other tells me it lacks documents which made me lose 2 months for my reimbursement ij I still wait well done.")</f>
        <v>To take no worries but to repay there anymore I always come across a different person one tells me file ok the other tells me it lacks documents which made me lose 2 months for my reimbursement ij I still wait well done.</v>
      </c>
    </row>
    <row r="475" ht="15.75" customHeight="1">
      <c r="A475" s="2">
        <v>2.0</v>
      </c>
      <c r="B475" s="2" t="s">
        <v>1404</v>
      </c>
      <c r="C475" s="2" t="s">
        <v>1405</v>
      </c>
      <c r="D475" s="2" t="s">
        <v>250</v>
      </c>
      <c r="E475" s="2" t="s">
        <v>129</v>
      </c>
      <c r="F475" s="2" t="s">
        <v>15</v>
      </c>
      <c r="G475" s="2" t="s">
        <v>1406</v>
      </c>
      <c r="H475" s="2" t="s">
        <v>1108</v>
      </c>
      <c r="I475" s="2" t="str">
        <f>IFERROR(__xludf.DUMMYFUNCTION("GOOGLETRANSLATE(C475,""fr"",""en"")"),"The Macif is able to terminate your home insurance by mistake, then, when you point out, it makes you pay the period when you were not assured !!!!
In addition if you want to know if it is right or wrong, legal assistance refuses to answer you!")</f>
        <v>The Macif is able to terminate your home insurance by mistake, then, when you point out, it makes you pay the period when you were not assured !!!!
In addition if you want to know if it is right or wrong, legal assistance refuses to answer you!</v>
      </c>
    </row>
    <row r="476" ht="15.75" customHeight="1">
      <c r="A476" s="2">
        <v>4.0</v>
      </c>
      <c r="B476" s="2" t="s">
        <v>1407</v>
      </c>
      <c r="C476" s="2" t="s">
        <v>1408</v>
      </c>
      <c r="D476" s="2" t="s">
        <v>62</v>
      </c>
      <c r="E476" s="2" t="s">
        <v>21</v>
      </c>
      <c r="F476" s="2" t="s">
        <v>15</v>
      </c>
      <c r="G476" s="2" t="s">
        <v>492</v>
      </c>
      <c r="H476" s="2" t="s">
        <v>123</v>
      </c>
      <c r="I476" s="2" t="str">
        <f>IFERROR(__xludf.DUMMYFUNCTION("GOOGLETRANSLATE(C476,""fr"",""en"")"),"Nothing to add everything was perfect. To see in the future if this insurance is really better suited to my needs. Self -facilitates online subscription.")</f>
        <v>Nothing to add everything was perfect. To see in the future if this insurance is really better suited to my needs. Self -facilitates online subscription.</v>
      </c>
    </row>
    <row r="477" ht="15.75" customHeight="1">
      <c r="A477" s="2">
        <v>2.0</v>
      </c>
      <c r="B477" s="2" t="s">
        <v>1409</v>
      </c>
      <c r="C477" s="2" t="s">
        <v>1410</v>
      </c>
      <c r="D477" s="2" t="s">
        <v>26</v>
      </c>
      <c r="E477" s="2" t="s">
        <v>21</v>
      </c>
      <c r="F477" s="2" t="s">
        <v>15</v>
      </c>
      <c r="G477" s="2" t="s">
        <v>1411</v>
      </c>
      <c r="H477" s="2" t="s">
        <v>287</v>
      </c>
      <c r="I477" s="2" t="str">
        <f>IFERROR(__xludf.DUMMYFUNCTION("GOOGLETRANSLATE(C477,""fr"",""en"")"),"The Matmut has no regard for the very former members of almost 30 years like me for example. And let's not talk about a commercial gesture, never !! The small roller contract limited to 7000 km is inaccessible precisely to old members, but accessible to f"&amp;"uture new members to bait them obviously. This attitude is unfair and disrespectful.")</f>
        <v>The Matmut has no regard for the very former members of almost 30 years like me for example. And let's not talk about a commercial gesture, never !! The small roller contract limited to 7000 km is inaccessible precisely to old members, but accessible to future new members to bait them obviously. This attitude is unfair and disrespectful.</v>
      </c>
    </row>
    <row r="478" ht="15.75" customHeight="1">
      <c r="A478" s="2">
        <v>1.0</v>
      </c>
      <c r="B478" s="2" t="s">
        <v>1412</v>
      </c>
      <c r="C478" s="2" t="s">
        <v>1413</v>
      </c>
      <c r="D478" s="2" t="s">
        <v>26</v>
      </c>
      <c r="E478" s="2" t="s">
        <v>21</v>
      </c>
      <c r="F478" s="2" t="s">
        <v>15</v>
      </c>
      <c r="G478" s="2" t="s">
        <v>38</v>
      </c>
      <c r="H478" s="2" t="s">
        <v>39</v>
      </c>
      <c r="I478" s="2" t="str">
        <f>IFERROR(__xludf.DUMMYFUNCTION("GOOGLETRANSLATE(C478,""fr"",""en"")"),"I have been insured at Matmut for 30 years without any claim, today I was damaged my vehicle an Audi A3 Sportback and it only reimburses me 1800 euros because the amount of repairs is greater than the value. It's a shame assurance to flee")</f>
        <v>I have been insured at Matmut for 30 years without any claim, today I was damaged my vehicle an Audi A3 Sportback and it only reimburses me 1800 euros because the amount of repairs is greater than the value. It's a shame assurance to flee</v>
      </c>
    </row>
    <row r="479" ht="15.75" customHeight="1">
      <c r="A479" s="2">
        <v>5.0</v>
      </c>
      <c r="B479" s="2" t="s">
        <v>1414</v>
      </c>
      <c r="C479" s="2" t="s">
        <v>1415</v>
      </c>
      <c r="D479" s="2" t="s">
        <v>62</v>
      </c>
      <c r="E479" s="2" t="s">
        <v>21</v>
      </c>
      <c r="F479" s="2" t="s">
        <v>15</v>
      </c>
      <c r="G479" s="2" t="s">
        <v>1102</v>
      </c>
      <c r="H479" s="2" t="s">
        <v>59</v>
      </c>
      <c r="I479" s="2" t="str">
        <f>IFERROR(__xludf.DUMMYFUNCTION("GOOGLETRANSLATE(C479,""fr"",""en"")"),"Loading...")</f>
        <v>Loading...</v>
      </c>
    </row>
    <row r="480" ht="15.75" customHeight="1">
      <c r="A480" s="2">
        <v>4.0</v>
      </c>
      <c r="B480" s="2" t="s">
        <v>1416</v>
      </c>
      <c r="C480" s="2" t="s">
        <v>1417</v>
      </c>
      <c r="D480" s="2" t="s">
        <v>42</v>
      </c>
      <c r="E480" s="2" t="s">
        <v>21</v>
      </c>
      <c r="F480" s="2" t="s">
        <v>15</v>
      </c>
      <c r="G480" s="2" t="s">
        <v>1418</v>
      </c>
      <c r="H480" s="2" t="s">
        <v>612</v>
      </c>
      <c r="I480" s="2" t="str">
        <f>IFERROR(__xludf.DUMMYFUNCTION("GOOGLETRANSLATE(C480,""fr"",""en"")"),"Professionalism and quality service.
I have always been satisfied with the Olivier Assurance, it was for which I have three contracts subscribed to EU.
I highly recommend this insurer which is reactive and efficient")</f>
        <v>Professionalism and quality service.
I have always been satisfied with the Olivier Assurance, it was for which I have three contracts subscribed to EU.
I highly recommend this insurer which is reactive and efficient</v>
      </c>
    </row>
    <row r="481" ht="15.75" customHeight="1">
      <c r="A481" s="2">
        <v>2.0</v>
      </c>
      <c r="B481" s="2" t="s">
        <v>1419</v>
      </c>
      <c r="C481" s="2" t="s">
        <v>1420</v>
      </c>
      <c r="D481" s="2" t="s">
        <v>368</v>
      </c>
      <c r="E481" s="2" t="s">
        <v>21</v>
      </c>
      <c r="F481" s="2" t="s">
        <v>15</v>
      </c>
      <c r="G481" s="2" t="s">
        <v>1421</v>
      </c>
      <c r="H481" s="2" t="s">
        <v>252</v>
      </c>
      <c r="I481" s="2" t="str">
        <f>IFERROR(__xludf.DUMMYFUNCTION("GOOGLETRANSLATE(C481,""fr"",""en"")"),"Attracts its customers to attractive prices using very well -known online comparators.
The only insurance that gets rid of its customers as quickly as possible by terminating their provisional contracts by questionable methods to keep the € 127 10 paid a"&amp;"t registration.
RUN AWAY!!!!")</f>
        <v>Attracts its customers to attractive prices using very well -known online comparators.
The only insurance that gets rid of its customers as quickly as possible by terminating their provisional contracts by questionable methods to keep the € 127 10 paid at registration.
RUN AWAY!!!!</v>
      </c>
    </row>
    <row r="482" ht="15.75" customHeight="1">
      <c r="A482" s="2">
        <v>1.0</v>
      </c>
      <c r="B482" s="2" t="s">
        <v>1422</v>
      </c>
      <c r="C482" s="2" t="s">
        <v>1423</v>
      </c>
      <c r="D482" s="2" t="s">
        <v>20</v>
      </c>
      <c r="E482" s="2" t="s">
        <v>21</v>
      </c>
      <c r="F482" s="2" t="s">
        <v>15</v>
      </c>
      <c r="G482" s="2" t="s">
        <v>783</v>
      </c>
      <c r="H482" s="2" t="s">
        <v>123</v>
      </c>
      <c r="I482" s="2" t="str">
        <f>IFERROR(__xludf.DUMMYFUNCTION("GOOGLETRANSLATE(C482,""fr"",""en"")"),"Hello, no professionalism following a letter that I receive I call to understand the situation they tell me that there is a registered letter which is already gone I tell him that to my surprise I have no recommended in my mailbox The person's response on"&amp;" the phone is the following there are only the French who do not receive him inadmissible from the GMF Labpart.
L6 August 6, 2021 at 1:22 p.m.
I have been a member for more than 5 years at home. I decided to change insurance because too much difference "&amp;"between the schedule and the levy from my bank account following my approach to go to another insurance they answer me by email favorably that everything is accepted today it takes me 104 € 37 to understand nothing")</f>
        <v>Hello, no professionalism following a letter that I receive I call to understand the situation they tell me that there is a registered letter which is already gone I tell him that to my surprise I have no recommended in my mailbox The person's response on the phone is the following there are only the French who do not receive him inadmissible from the GMF Labpart.
L6 August 6, 2021 at 1:22 p.m.
I have been a member for more than 5 years at home. I decided to change insurance because too much difference between the schedule and the levy from my bank account following my approach to go to another insurance they answer me by email favorably that everything is accepted today it takes me 104 € 37 to understand nothing</v>
      </c>
    </row>
    <row r="483" ht="15.75" customHeight="1">
      <c r="A483" s="2">
        <v>2.0</v>
      </c>
      <c r="B483" s="2" t="s">
        <v>1424</v>
      </c>
      <c r="C483" s="2" t="s">
        <v>1425</v>
      </c>
      <c r="D483" s="2" t="s">
        <v>99</v>
      </c>
      <c r="E483" s="2" t="s">
        <v>129</v>
      </c>
      <c r="F483" s="2" t="s">
        <v>15</v>
      </c>
      <c r="G483" s="2" t="s">
        <v>1079</v>
      </c>
      <c r="H483" s="2" t="s">
        <v>72</v>
      </c>
      <c r="I483" s="2" t="str">
        <f>IFERROR(__xludf.DUMMYFUNCTION("GOOGLETRANSLATE(C483,""fr"",""en"")"),"Hello,
I have been assured auto and home for MAIF recently. Very satisfied with prices at the start and service today this is no longer the case. Indeed, after having slammed my apartment door I found myself locked up in the common areas of my building. "&amp;"Being panicked, having never undergone this situation, I contacted a locksmith directly on my city. It turns out that my building being recent the bill is quite high.
The locksmith's site indicates that MAIF is part of the insurance related to this compa"&amp;"ny. Thus, I consulted my housing contract and I see that the slammed doors are taken care of because of my contract. Indeed I did not call the maif before the locksmith because I do not know the procedure and I think that few people know it especially in "&amp;"the event of stress. I thought that the Maif would have been reconciled with this small error and would have taken care of at least part of the costs given that my locksmith is approved of MAIF on its website. Instead, the maif does not even try to unders"&amp;"tand the situation and refuses to take care of me nothing but displacement and workforce.
I am very disappointed with this customer service, while MAIF appears number 1 in customer service, insurance close to its customers, this is not at all the case.
")</f>
        <v>Hello,
I have been assured auto and home for MAIF recently. Very satisfied with prices at the start and service today this is no longer the case. Indeed, after having slammed my apartment door I found myself locked up in the common areas of my building. Being panicked, having never undergone this situation, I contacted a locksmith directly on my city. It turns out that my building being recent the bill is quite high.
The locksmith's site indicates that MAIF is part of the insurance related to this company. Thus, I consulted my housing contract and I see that the slammed doors are taken care of because of my contract. Indeed I did not call the maif before the locksmith because I do not know the procedure and I think that few people know it especially in the event of stress. I thought that the Maif would have been reconciled with this small error and would have taken care of at least part of the costs given that my locksmith is approved of MAIF on its website. Instead, the maif does not even try to understand the situation and refuses to take care of me nothing but displacement and workforce.
I am very disappointed with this customer service, while MAIF appears number 1 in customer service, insurance close to its customers, this is not at all the case.
</v>
      </c>
    </row>
    <row r="484" ht="15.75" customHeight="1">
      <c r="A484" s="2">
        <v>5.0</v>
      </c>
      <c r="B484" s="2" t="s">
        <v>1426</v>
      </c>
      <c r="C484" s="2" t="s">
        <v>1427</v>
      </c>
      <c r="D484" s="2" t="s">
        <v>210</v>
      </c>
      <c r="E484" s="2" t="s">
        <v>14</v>
      </c>
      <c r="F484" s="2" t="s">
        <v>15</v>
      </c>
      <c r="G484" s="2" t="s">
        <v>172</v>
      </c>
      <c r="H484" s="2" t="s">
        <v>64</v>
      </c>
      <c r="I484" s="2" t="str">
        <f>IFERROR(__xludf.DUMMYFUNCTION("GOOGLETRANSLATE(C484,""fr"",""en"")"),"After a very difficult start in the subscription a few months ago, I was very well received by this operator, finally available and competent, and above all patient. Thank you")</f>
        <v>After a very difficult start in the subscription a few months ago, I was very well received by this operator, finally available and competent, and above all patient. Thank you</v>
      </c>
    </row>
    <row r="485" ht="15.75" customHeight="1">
      <c r="A485" s="2">
        <v>1.0</v>
      </c>
      <c r="B485" s="2" t="s">
        <v>1428</v>
      </c>
      <c r="C485" s="2" t="s">
        <v>1429</v>
      </c>
      <c r="D485" s="2" t="s">
        <v>47</v>
      </c>
      <c r="E485" s="2" t="s">
        <v>21</v>
      </c>
      <c r="F485" s="2" t="s">
        <v>15</v>
      </c>
      <c r="G485" s="2" t="s">
        <v>1430</v>
      </c>
      <c r="H485" s="2" t="s">
        <v>106</v>
      </c>
      <c r="I485" s="2" t="str">
        <f>IFERROR(__xludf.DUMMYFUNCTION("GOOGLETRANSLATE(C485,""fr"",""en"")"),"Incompetent insurance does not make the mistake of ensuring you at home it is not dear me you will regret it I risky my car insurance by phone my termination forever has been made and now the coins ask me to pay them")</f>
        <v>Incompetent insurance does not make the mistake of ensuring you at home it is not dear me you will regret it I risky my car insurance by phone my termination forever has been made and now the coins ask me to pay them</v>
      </c>
    </row>
    <row r="486" ht="15.75" customHeight="1">
      <c r="A486" s="2">
        <v>2.0</v>
      </c>
      <c r="B486" s="2" t="s">
        <v>1431</v>
      </c>
      <c r="C486" s="2" t="s">
        <v>1432</v>
      </c>
      <c r="D486" s="2" t="s">
        <v>1011</v>
      </c>
      <c r="E486" s="2" t="s">
        <v>457</v>
      </c>
      <c r="F486" s="2" t="s">
        <v>15</v>
      </c>
      <c r="G486" s="2" t="s">
        <v>1433</v>
      </c>
      <c r="H486" s="2" t="s">
        <v>252</v>
      </c>
      <c r="I486" s="2" t="str">
        <f>IFERROR(__xludf.DUMMYFUNCTION("GOOGLETRANSLATE(C486,""fr"",""en"")"),"In dispute with this insurer: I have been attending my three female dogs for several years and has not really needed insurance so far. One of my female dogs died suddenly this week, following a collision with another of my female dogs, she hooked and the "&amp;"vet hired radios and punctures because it did not pass. I was not reimbursed, the person on the phone was very unpleasant, even questioning my good faith. In short, no empathy, no benevolence. Just present insurance to take the money .. I put a Notice on "&amp;"their site, which of course is not online (hence this one), a person left me a message asking me to recall, what I have been doing since, without success!")</f>
        <v>In dispute with this insurer: I have been attending my three female dogs for several years and has not really needed insurance so far. One of my female dogs died suddenly this week, following a collision with another of my female dogs, she hooked and the vet hired radios and punctures because it did not pass. I was not reimbursed, the person on the phone was very unpleasant, even questioning my good faith. In short, no empathy, no benevolence. Just present insurance to take the money .. I put a Notice on their site, which of course is not online (hence this one), a person left me a message asking me to recall, what I have been doing since, without success!</v>
      </c>
    </row>
    <row r="487" ht="15.75" customHeight="1">
      <c r="A487" s="2">
        <v>2.0</v>
      </c>
      <c r="B487" s="2" t="s">
        <v>1434</v>
      </c>
      <c r="C487" s="2" t="s">
        <v>1435</v>
      </c>
      <c r="D487" s="2" t="s">
        <v>1436</v>
      </c>
      <c r="E487" s="2" t="s">
        <v>76</v>
      </c>
      <c r="F487" s="2" t="s">
        <v>15</v>
      </c>
      <c r="G487" s="2" t="s">
        <v>1437</v>
      </c>
      <c r="H487" s="2" t="s">
        <v>252</v>
      </c>
      <c r="I487" s="2" t="str">
        <f>IFERROR(__xludf.DUMMYFUNCTION("GOOGLETRANSLATE(C487,""fr"",""en"")"),"Same,
I subscribe for 2 Immo loan on the 4 I have.
At the time it was necessary to wait for the anniversary of the previous contract to be able to terminate it.
They were informed but:
1- They started to take me while the other insurance contracts r"&amp;"eady for immo were committed to me for a few more months
2- They did not terminate anything when it should have been done by them.
So I have been paying for two insurers for these real estate loans for 3 years.
I admit that at one point I gave up m"&amp;"y arms having fed up with reminders and having had other more important bp to manage.
There I have just made new change on my loans, I will terminate these contracts myself.")</f>
        <v>Same,
I subscribe for 2 Immo loan on the 4 I have.
At the time it was necessary to wait for the anniversary of the previous contract to be able to terminate it.
They were informed but:
1- They started to take me while the other insurance contracts ready for immo were committed to me for a few more months
2- They did not terminate anything when it should have been done by them.
So I have been paying for two insurers for these real estate loans for 3 years.
I admit that at one point I gave up my arms having fed up with reminders and having had other more important bp to manage.
There I have just made new change on my loans, I will terminate these contracts myself.</v>
      </c>
    </row>
    <row r="488" ht="15.75" customHeight="1">
      <c r="A488" s="2">
        <v>3.0</v>
      </c>
      <c r="B488" s="2" t="s">
        <v>1438</v>
      </c>
      <c r="C488" s="2" t="s">
        <v>1439</v>
      </c>
      <c r="D488" s="2" t="s">
        <v>99</v>
      </c>
      <c r="E488" s="2" t="s">
        <v>21</v>
      </c>
      <c r="F488" s="2" t="s">
        <v>15</v>
      </c>
      <c r="G488" s="2" t="s">
        <v>1440</v>
      </c>
      <c r="H488" s="2" t="s">
        <v>225</v>
      </c>
      <c r="I488" s="2" t="str">
        <f>IFERROR(__xludf.DUMMYFUNCTION("GOOGLETRANSLATE(C488,""fr"",""en"")"),"Hello,
Old activist MAIF I am scandalized by the answer made to my son Societaire Filia Maif about an accident he had with his vehicle. Without any dialogue, he received a brutal response from the litigation service specifying that his declaration was no"&amp;"t ""in accordance with reality"" (what reality?) And that he would not be compensated for damage. He is in a way accused of fraud without what it can know what it is. We do not grant him any recourse. Registered for 20 years he never posed a problem. Havi"&amp;"ng experienced the accident he will not stay there. Lack of dialogue, vision trench without opening, file shipped, is it a response from a militant insurer? Old societar for 50 years I advised my children to participate in this activism by suggesting them"&amp;" to take Filia Maif what they did. I hope the future will prove me right.")</f>
        <v>Hello,
Old activist MAIF I am scandalized by the answer made to my son Societaire Filia Maif about an accident he had with his vehicle. Without any dialogue, he received a brutal response from the litigation service specifying that his declaration was not "in accordance with reality" (what reality?) And that he would not be compensated for damage. He is in a way accused of fraud without what it can know what it is. We do not grant him any recourse. Registered for 20 years he never posed a problem. Having experienced the accident he will not stay there. Lack of dialogue, vision trench without opening, file shipped, is it a response from a militant insurer? Old societar for 50 years I advised my children to participate in this activism by suggesting them to take Filia Maif what they did. I hope the future will prove me right.</v>
      </c>
    </row>
    <row r="489" ht="15.75" customHeight="1">
      <c r="A489" s="2">
        <v>5.0</v>
      </c>
      <c r="B489" s="2" t="s">
        <v>1441</v>
      </c>
      <c r="C489" s="2" t="s">
        <v>1442</v>
      </c>
      <c r="D489" s="2" t="s">
        <v>62</v>
      </c>
      <c r="E489" s="2" t="s">
        <v>21</v>
      </c>
      <c r="F489" s="2" t="s">
        <v>15</v>
      </c>
      <c r="G489" s="2" t="s">
        <v>1043</v>
      </c>
      <c r="H489" s="2" t="s">
        <v>44</v>
      </c>
      <c r="I489" s="2" t="str">
        <f>IFERROR(__xludf.DUMMYFUNCTION("GOOGLETRANSLATE(C489,""fr"",""en"")"),"Hello,
I just bought my car and I chose direct insurance as insurance.
I hope I will be satisfied with your services.
Thank you")</f>
        <v>Hello,
I just bought my car and I chose direct insurance as insurance.
I hope I will be satisfied with your services.
Thank you</v>
      </c>
    </row>
    <row r="490" ht="15.75" customHeight="1">
      <c r="A490" s="2">
        <v>5.0</v>
      </c>
      <c r="B490" s="2" t="s">
        <v>1443</v>
      </c>
      <c r="C490" s="2" t="s">
        <v>1444</v>
      </c>
      <c r="D490" s="2" t="s">
        <v>62</v>
      </c>
      <c r="E490" s="2" t="s">
        <v>21</v>
      </c>
      <c r="F490" s="2" t="s">
        <v>15</v>
      </c>
      <c r="G490" s="2" t="s">
        <v>307</v>
      </c>
      <c r="H490" s="2" t="s">
        <v>64</v>
      </c>
      <c r="I490" s="2" t="str">
        <f>IFERROR(__xludf.DUMMYFUNCTION("GOOGLETRANSLATE(C490,""fr"",""en"")"),"Speed ​​of response in case of need, Top customer service, listening to its customers, quick website and you can manage everything on it, the application also works well")</f>
        <v>Speed ​​of response in case of need, Top customer service, listening to its customers, quick website and you can manage everything on it, the application also works well</v>
      </c>
    </row>
    <row r="491" ht="15.75" customHeight="1">
      <c r="A491" s="2">
        <v>5.0</v>
      </c>
      <c r="B491" s="2" t="s">
        <v>1445</v>
      </c>
      <c r="C491" s="2" t="s">
        <v>1446</v>
      </c>
      <c r="D491" s="2" t="s">
        <v>31</v>
      </c>
      <c r="E491" s="2" t="s">
        <v>32</v>
      </c>
      <c r="F491" s="2" t="s">
        <v>15</v>
      </c>
      <c r="G491" s="2" t="s">
        <v>43</v>
      </c>
      <c r="H491" s="2" t="s">
        <v>44</v>
      </c>
      <c r="I491" s="2" t="str">
        <f>IFERROR(__xludf.DUMMYFUNCTION("GOOGLETRANSLATE(C491,""fr"",""en"")"),"I am satisfied at the moment, good contact on the phone, people polite, correct and efficient, the prices are good, remains to be seen in time what will give it")</f>
        <v>I am satisfied at the moment, good contact on the phone, people polite, correct and efficient, the prices are good, remains to be seen in time what will give it</v>
      </c>
    </row>
    <row r="492" ht="15.75" customHeight="1">
      <c r="A492" s="2">
        <v>4.0</v>
      </c>
      <c r="B492" s="2" t="s">
        <v>1447</v>
      </c>
      <c r="C492" s="2" t="s">
        <v>1448</v>
      </c>
      <c r="D492" s="2" t="s">
        <v>210</v>
      </c>
      <c r="E492" s="2" t="s">
        <v>14</v>
      </c>
      <c r="F492" s="2" t="s">
        <v>15</v>
      </c>
      <c r="G492" s="2" t="s">
        <v>1449</v>
      </c>
      <c r="H492" s="2" t="s">
        <v>698</v>
      </c>
      <c r="I492" s="2" t="str">
        <f>IFERROR(__xludf.DUMMYFUNCTION("GOOGLETRANSLATE(C492,""fr"",""en"")"),"I had the opportunity to contact Santiane on various subjects for my part I was satisfied with the procedures carrying out with Gwendal interlocutor.")</f>
        <v>I had the opportunity to contact Santiane on various subjects for my part I was satisfied with the procedures carrying out with Gwendal interlocutor.</v>
      </c>
    </row>
    <row r="493" ht="15.75" customHeight="1">
      <c r="A493" s="2">
        <v>2.0</v>
      </c>
      <c r="B493" s="2" t="s">
        <v>1450</v>
      </c>
      <c r="C493" s="2" t="s">
        <v>1451</v>
      </c>
      <c r="D493" s="2" t="s">
        <v>99</v>
      </c>
      <c r="E493" s="2" t="s">
        <v>21</v>
      </c>
      <c r="F493" s="2" t="s">
        <v>15</v>
      </c>
      <c r="G493" s="2" t="s">
        <v>1452</v>
      </c>
      <c r="H493" s="2" t="s">
        <v>50</v>
      </c>
      <c r="I493" s="2" t="str">
        <f>IFERROR(__xludf.DUMMYFUNCTION("GOOGLETRANSLATE(C493,""fr"",""en"")"),"Loading...")</f>
        <v>Loading...</v>
      </c>
    </row>
    <row r="494" ht="15.75" customHeight="1">
      <c r="A494" s="2">
        <v>3.0</v>
      </c>
      <c r="B494" s="2" t="s">
        <v>1453</v>
      </c>
      <c r="C494" s="2" t="s">
        <v>1454</v>
      </c>
      <c r="D494" s="2" t="s">
        <v>250</v>
      </c>
      <c r="E494" s="2" t="s">
        <v>21</v>
      </c>
      <c r="F494" s="2" t="s">
        <v>15</v>
      </c>
      <c r="G494" s="2" t="s">
        <v>1455</v>
      </c>
      <c r="H494" s="2" t="s">
        <v>904</v>
      </c>
      <c r="I494" s="2" t="str">
        <f>IFERROR(__xludf.DUMMYFUNCTION("GOOGLETRANSLATE(C494,""fr"",""en"")"),"My vehicle was damaged following a flight offense. The Macif refuses to pay the painting of a damaged door, claiming previous scratches.")</f>
        <v>My vehicle was damaged following a flight offense. The Macif refuses to pay the painting of a damaged door, claiming previous scratches.</v>
      </c>
    </row>
    <row r="495" ht="15.75" customHeight="1">
      <c r="A495" s="2">
        <v>1.0</v>
      </c>
      <c r="B495" s="2" t="s">
        <v>1456</v>
      </c>
      <c r="C495" s="2" t="s">
        <v>1457</v>
      </c>
      <c r="D495" s="2" t="s">
        <v>62</v>
      </c>
      <c r="E495" s="2" t="s">
        <v>129</v>
      </c>
      <c r="F495" s="2" t="s">
        <v>15</v>
      </c>
      <c r="G495" s="2" t="s">
        <v>1458</v>
      </c>
      <c r="H495" s="2" t="s">
        <v>300</v>
      </c>
      <c r="I495" s="2" t="str">
        <f>IFERROR(__xludf.DUMMYFUNCTION("GOOGLETRANSLATE(C495,""fr"",""en"")"),"No, shabby. I had a garage break -in in September 2017. Direct insurance drags all its communications in length so as not to support repairs. Today (April 2018) The door is still not repaired.
")</f>
        <v>No, shabby. I had a garage break -in in September 2017. Direct insurance drags all its communications in length so as not to support repairs. Today (April 2018) The door is still not repaired.
</v>
      </c>
    </row>
    <row r="496" ht="15.75" customHeight="1">
      <c r="A496" s="2">
        <v>3.0</v>
      </c>
      <c r="B496" s="2" t="s">
        <v>1459</v>
      </c>
      <c r="C496" s="2" t="s">
        <v>1460</v>
      </c>
      <c r="D496" s="2" t="s">
        <v>62</v>
      </c>
      <c r="E496" s="2" t="s">
        <v>21</v>
      </c>
      <c r="F496" s="2" t="s">
        <v>15</v>
      </c>
      <c r="G496" s="2" t="s">
        <v>1461</v>
      </c>
      <c r="H496" s="2" t="s">
        <v>123</v>
      </c>
      <c r="I496" s="2" t="str">
        <f>IFERROR(__xludf.DUMMYFUNCTION("GOOGLETRANSLATE(C496,""fr"",""en"")"),"I am satisfied with the price and the speed of subscription with the Hamon law in addition
Easy to use site, I recommend.
guarantees are well explained")</f>
        <v>I am satisfied with the price and the speed of subscription with the Hamon law in addition
Easy to use site, I recommend.
guarantees are well explained</v>
      </c>
    </row>
    <row r="497" ht="15.75" customHeight="1">
      <c r="A497" s="2">
        <v>3.0</v>
      </c>
      <c r="B497" s="2" t="s">
        <v>1462</v>
      </c>
      <c r="C497" s="2" t="s">
        <v>1463</v>
      </c>
      <c r="D497" s="2" t="s">
        <v>250</v>
      </c>
      <c r="E497" s="2" t="s">
        <v>21</v>
      </c>
      <c r="F497" s="2" t="s">
        <v>15</v>
      </c>
      <c r="G497" s="2" t="s">
        <v>1464</v>
      </c>
      <c r="H497" s="2" t="s">
        <v>824</v>
      </c>
      <c r="I497" s="2" t="str">
        <f>IFERROR(__xludf.DUMMYFUNCTION("GOOGLETRANSLATE(C497,""fr"",""en"")"),"Loading...")</f>
        <v>Loading...</v>
      </c>
    </row>
    <row r="498" ht="15.75" customHeight="1">
      <c r="A498" s="2">
        <v>1.0</v>
      </c>
      <c r="B498" s="2" t="s">
        <v>1465</v>
      </c>
      <c r="C498" s="2" t="s">
        <v>1466</v>
      </c>
      <c r="D498" s="2" t="s">
        <v>1011</v>
      </c>
      <c r="E498" s="2" t="s">
        <v>457</v>
      </c>
      <c r="F498" s="2" t="s">
        <v>15</v>
      </c>
      <c r="G498" s="2" t="s">
        <v>1467</v>
      </c>
      <c r="H498" s="2" t="s">
        <v>28</v>
      </c>
      <c r="I498" s="2" t="str">
        <f>IFERROR(__xludf.DUMMYFUNCTION("GOOGLETRANSLATE(C498,""fr"",""en"")"),"A shame, promise remnbourses but once in front of the fait accompli do not pay. In very bad faith, no listening or honesty capacity. Do not respond to letters")</f>
        <v>A shame, promise remnbourses but once in front of the fait accompli do not pay. In very bad faith, no listening or honesty capacity. Do not respond to letters</v>
      </c>
    </row>
    <row r="499" ht="15.75" customHeight="1">
      <c r="A499" s="2">
        <v>1.0</v>
      </c>
      <c r="B499" s="2" t="s">
        <v>1468</v>
      </c>
      <c r="C499" s="2" t="s">
        <v>1469</v>
      </c>
      <c r="D499" s="2" t="s">
        <v>42</v>
      </c>
      <c r="E499" s="2" t="s">
        <v>21</v>
      </c>
      <c r="F499" s="2" t="s">
        <v>15</v>
      </c>
      <c r="G499" s="2" t="s">
        <v>1470</v>
      </c>
      <c r="H499" s="2" t="s">
        <v>548</v>
      </c>
      <c r="I499" s="2" t="str">
        <f>IFERROR(__xludf.DUMMYFUNCTION("GOOGLETRANSLATE(C499,""fr"",""en"")"),"
Claim no 2016 591820
Auto contract 1080 127 860
Ref Customer 012 117 9993
Subject: Project for the assignment of the Olivier insurance for refusal to pay sums due and abusive resistances.
On September 24, 2016 at the wheel of my Opel Meriva I "&amp;"had a traffic accident in which Madame Picut passenger was injured as well as myself.
On the other hand, my car judged according to the irrecoverable expert was sent to the scrapyard, I learned it by a letter from the prefecture following a shipment of t"&amp;"he expert but my insurer did not deem me useful Inform anything ...
I provided all the requested documents in time.
I was recognized not responsible for the accident how testifies the attached information statement, although the latter includes a date"&amp;" error concerning the accident located in them in July and not September; But they are not is a mistake,…
I have indeed had many contacts and many exchange emails with the olive tree, but to date my damage is absolutely not taken into account.
I rec"&amp;"eived in all and for everything in my pressures the sum of € 7,250 on December 9, 2016 concerning part of the compensation of my Opel Meriva.
I had replied that I will receive within 10 days the additional sum of € 1,000 corresponding to the value of t"&amp;"he wreckage covered by breakage, sum received in January 2017 ...
However my damage remains enormous, my car bought a few months before 14,000 €…
It is clear the lack of seriousness and follow -up of the insurance company as evidenced by the different"&amp;" emails that I attach to you.
Since September 24, 2016 apart from the sum of € 7,250 and the € 1,000 mentioned above I have not received anything.
However, I alerted the company on December 16, 2016 threatening her to sue in court
So I see myself f"&amp;"orced to act now under summary proceedings
I have not received any documents from them since the accident.
I have not received any counts or written explanation despite my repeated requests.
Since September 24, 2016 I have no more vehicle, I had "&amp;"to call on my parents so that they lend me vehicle to help me out, if only to honor my medical and work meetings.
You will find in the appendix on the one hand the special conditions of the contract which provided my Opel Meriva
On the other hand, the"&amp;" special conditions of Nissan's insurance notes that I had to terminate given my dissatisfaction and the lack of responsiveness and seriousness of the olive tree.
You will find the corresponding documents in attachments.
I provided in time the invoi"&amp;"ces corresponding to my requests for compensation following the claim dated November 11, 2016.
Yet I still haven't perceived anything, I only have emails saying that their sinister service was overwhelmed, that it would be necessary to wait a little bi"&amp;"t ...
Following my insistence on the phone the company L’Olivier explained to me
that his collaborators had forgotten to send me the documents,
But that concerning my phone, my glasses, my watch my costume I would have no compensation because accordi"&amp;"ng to them my contract would not provide for reimbursement ... Now these are obviously not transported objects as seemed to evoke the person of the olive tree on the phone…
Now I argue that it is a question of questioning my opponent's civil liability,"&amp;" but I am still waiting for the answer ...
I remind you that my opponent is recognized 100 % responsible
Logically, the olive tree should have reimbursed me and turn against my opponent's insurance.
Faced with the inertia of the company Olivier I s"&amp;"ee myself forced to request compensation by legal means, I therefore claim:
1-Sum of 2000 € for me, as well as the sum of € 2,000 for Madame Picut, in accordance with the judgment of April 12, 2017.
I specify that we had to advance each 700 € immediat"&amp;"ely to pay the expert, in accordance with the above judgment ...
2-Detounts and explanations concerning the compensation to which I have the right.
3-One compensation for the deprivation of vehicles since September 24, 2016.
4-The reimbursement of the "&amp;"sum of 577.77 euros following my renunciation of the insurance of the Nissan Note, renunciation accepted according to the attached document.
5-One compensation for the Pretium Doloris following the accident to be determined.
6-The reimbursement of my ou"&amp;"t-of-use mobile phone that I make at your disposal of which you will find a photo for an amount of € 649 this is a Samsung S6 Edge bought less than a year ago.
7-The refund of my glasses according to the attached invoice already sent in the amount of € 9"&amp;"73
8-The refund of my connected watch gear 2 gift offered by my parents in the amount of 198 €
9-The reimbursement of a torn suit during the accident for a sum of € 695 of which I provided the label that I found.
On the other hand my passenger, Madam"&amp;"e Picut that you had online received € 300 temporarily ... I remind you that she was injured (fracture of the ratings and the sternum ..) and that she had to move forward, besides Lawyer fees for 700 euros for expertise.
She indicated to me that she answ"&amp;"ered your request concerning the material damage which it has stood victim, and having provided the supporting documents ... Have you lost them?
Are you forced to file a complaint against me to get into his rights?
Obviously I remain at your disposal "&amp;"and this time hopes for a complete and fast answer.
Without a positive response from you within 48 hours, I will enter 50 million consumers, the TGI of Grenoble, and I will publish this document on Opinion Assurances ... He will join the publications of "&amp;"the many unhappy customers abused by the Olivier.
I specify that I had the online olive tree yesterday after 50 min of waiting, and that it was impossible today.
Alain Gross Tel 06 10 80 78 96
alaingross@laposte.net
")</f>
        <v>
Claim no 2016 591820
Auto contract 1080 127 860
Ref Customer 012 117 9993
Subject: Project for the assignment of the Olivier insurance for refusal to pay sums due and abusive resistances.
On September 24, 2016 at the wheel of my Opel Meriva I had a traffic accident in which Madame Picut passenger was injured as well as myself.
On the other hand, my car judged according to the irrecoverable expert was sent to the scrapyard, I learned it by a letter from the prefecture following a shipment of the expert but my insurer did not deem me useful Inform anything ...
I provided all the requested documents in time.
I was recognized not responsible for the accident how testifies the attached information statement, although the latter includes a date error concerning the accident located in them in July and not September; But they are not is a mistake,…
I have indeed had many contacts and many exchange emails with the olive tree, but to date my damage is absolutely not taken into account.
I received in all and for everything in my pressures the sum of € 7,250 on December 9, 2016 concerning part of the compensation of my Opel Meriva.
I had replied that I will receive within 10 days the additional sum of € 1,000 corresponding to the value of the wreckage covered by breakage, sum received in January 2017 ...
However my damage remains enormous, my car bought a few months before 14,000 €…
It is clear the lack of seriousness and follow -up of the insurance company as evidenced by the different emails that I attach to you.
Since September 24, 2016 apart from the sum of € 7,250 and the € 1,000 mentioned above I have not received anything.
However, I alerted the company on December 16, 2016 threatening her to sue in court
So I see myself forced to act now under summary proceedings
I have not received any documents from them since the accident.
I have not received any counts or written explanation despite my repeated requests.
Since September 24, 2016 I have no more vehicle, I had to call on my parents so that they lend me vehicle to help me out, if only to honor my medical and work meetings.
You will find in the appendix on the one hand the special conditions of the contract which provided my Opel Meriva
On the other hand, the special conditions of Nissan's insurance notes that I had to terminate given my dissatisfaction and the lack of responsiveness and seriousness of the olive tree.
You will find the corresponding documents in attachments.
I provided in time the invoices corresponding to my requests for compensation following the claim dated November 11, 2016.
Yet I still haven't perceived anything, I only have emails saying that their sinister service was overwhelmed, that it would be necessary to wait a little bit ...
Following my insistence on the phone the company L’Olivier explained to me
that his collaborators had forgotten to send me the documents,
But that concerning my phone, my glasses, my watch my costume I would have no compensation because according to them my contract would not provide for reimbursement ... Now these are obviously not transported objects as seemed to evoke the person of the olive tree on the phone…
Now I argue that it is a question of questioning my opponent's civil liability, but I am still waiting for the answer ...
I remind you that my opponent is recognized 100 % responsible
Logically, the olive tree should have reimbursed me and turn against my opponent's insurance.
Faced with the inertia of the company Olivier I see myself forced to request compensation by legal means, I therefore claim:
1-Sum of 2000 € for me, as well as the sum of € 2,000 for Madame Picut, in accordance with the judgment of April 12, 2017.
I specify that we had to advance each 700 € immediately to pay the expert, in accordance with the above judgment ...
2-Detounts and explanations concerning the compensation to which I have the right.
3-One compensation for the deprivation of vehicles since September 24, 2016.
4-The reimbursement of the sum of 577.77 euros following my renunciation of the insurance of the Nissan Note, renunciation accepted according to the attached document.
5-One compensation for the Pretium Doloris following the accident to be determined.
6-The reimbursement of my out-of-use mobile phone that I make at your disposal of which you will find a photo for an amount of € 649 this is a Samsung S6 Edge bought less than a year ago.
7-The refund of my glasses according to the attached invoice already sent in the amount of € 973
8-The refund of my connected watch gear 2 gift offered by my parents in the amount of 198 €
9-The reimbursement of a torn suit during the accident for a sum of € 695 of which I provided the label that I found.
On the other hand my passenger, Madame Picut that you had online received € 300 temporarily ... I remind you that she was injured (fracture of the ratings and the sternum ..) and that she had to move forward, besides Lawyer fees for 700 euros for expertise.
She indicated to me that she answered your request concerning the material damage which it has stood victim, and having provided the supporting documents ... Have you lost them?
Are you forced to file a complaint against me to get into his rights?
Obviously I remain at your disposal and this time hopes for a complete and fast answer.
Without a positive response from you within 48 hours, I will enter 50 million consumers, the TGI of Grenoble, and I will publish this document on Opinion Assurances ... He will join the publications of the many unhappy customers abused by the Olivier.
I specify that I had the online olive tree yesterday after 50 min of waiting, and that it was impossible today.
Alain Gross Tel 06 10 80 78 96
alaingross@laposte.net
</v>
      </c>
    </row>
    <row r="500" ht="15.75" customHeight="1">
      <c r="A500" s="2">
        <v>2.0</v>
      </c>
      <c r="B500" s="2" t="s">
        <v>1471</v>
      </c>
      <c r="C500" s="2" t="s">
        <v>1472</v>
      </c>
      <c r="D500" s="2" t="s">
        <v>250</v>
      </c>
      <c r="E500" s="2" t="s">
        <v>21</v>
      </c>
      <c r="F500" s="2" t="s">
        <v>15</v>
      </c>
      <c r="G500" s="2" t="s">
        <v>641</v>
      </c>
      <c r="H500" s="2" t="s">
        <v>64</v>
      </c>
      <c r="I500" s="2" t="str">
        <f>IFERROR(__xludf.DUMMYFUNCTION("GOOGLETRANSLATE(C500,""fr"",""en"")"),"You have terminated my insurance contract of my vehicle without reasons, I always pay in time, cautious while driving .., and more without warning myself at least by phone for termination and these causes, because of you I can no longer ensure My vehicle "&amp;"at other insurers, I am against what you had done, a lawyer and in progress for its,
Bouyantouch Ayoub")</f>
        <v>You have terminated my insurance contract of my vehicle without reasons, I always pay in time, cautious while driving .., and more without warning myself at least by phone for termination and these causes, because of you I can no longer ensure My vehicle at other insurers, I am against what you had done, a lawyer and in progress for its,
Bouyantouch Ayoub</v>
      </c>
    </row>
    <row r="501" ht="15.75" customHeight="1">
      <c r="A501" s="2">
        <v>4.0</v>
      </c>
      <c r="B501" s="2" t="s">
        <v>1473</v>
      </c>
      <c r="C501" s="2" t="s">
        <v>1474</v>
      </c>
      <c r="D501" s="2" t="s">
        <v>99</v>
      </c>
      <c r="E501" s="2" t="s">
        <v>21</v>
      </c>
      <c r="F501" s="2" t="s">
        <v>15</v>
      </c>
      <c r="G501" s="2" t="s">
        <v>275</v>
      </c>
      <c r="H501" s="2" t="s">
        <v>276</v>
      </c>
      <c r="I501" s="2" t="str">
        <f>IFERROR(__xludf.DUMMYFUNCTION("GOOGLETRANSLATE(C501,""fr"",""en"")"),"Loading...")</f>
        <v>Loading...</v>
      </c>
    </row>
    <row r="502" ht="15.75" customHeight="1">
      <c r="A502" s="2">
        <v>1.0</v>
      </c>
      <c r="B502" s="2" t="s">
        <v>1475</v>
      </c>
      <c r="C502" s="2" t="s">
        <v>1476</v>
      </c>
      <c r="D502" s="2" t="s">
        <v>137</v>
      </c>
      <c r="E502" s="2" t="s">
        <v>129</v>
      </c>
      <c r="F502" s="2" t="s">
        <v>15</v>
      </c>
      <c r="G502" s="2" t="s">
        <v>1477</v>
      </c>
      <c r="H502" s="2" t="s">
        <v>39</v>
      </c>
      <c r="I502" s="2" t="str">
        <f>IFERROR(__xludf.DUMMYFUNCTION("GOOGLETRANSLATE(C502,""fr"",""en"")"),"Insurer, very disappointing. No responsiveness in the event of a claim and seeks all means not to pay. I leave this insurance. Refusal of support for water damage consequences of an unprecedented thunderstorm with supporting photos.")</f>
        <v>Insurer, very disappointing. No responsiveness in the event of a claim and seeks all means not to pay. I leave this insurance. Refusal of support for water damage consequences of an unprecedented thunderstorm with supporting photos.</v>
      </c>
    </row>
    <row r="503" ht="15.75" customHeight="1">
      <c r="A503" s="2">
        <v>2.0</v>
      </c>
      <c r="B503" s="2" t="s">
        <v>1478</v>
      </c>
      <c r="C503" s="2" t="s">
        <v>1479</v>
      </c>
      <c r="D503" s="2" t="s">
        <v>250</v>
      </c>
      <c r="E503" s="2" t="s">
        <v>21</v>
      </c>
      <c r="F503" s="2" t="s">
        <v>15</v>
      </c>
      <c r="G503" s="2" t="s">
        <v>1480</v>
      </c>
      <c r="H503" s="2" t="s">
        <v>815</v>
      </c>
      <c r="I503" s="2" t="str">
        <f>IFERROR(__xludf.DUMMYFUNCTION("GOOGLETRANSLATE(C503,""fr"",""en"")")," satisfied with the Macif in insurance and responsiveness in the event of problems")</f>
        <v> satisfied with the Macif in insurance and responsiveness in the event of problems</v>
      </c>
    </row>
    <row r="504" ht="15.75" customHeight="1">
      <c r="A504" s="2">
        <v>1.0</v>
      </c>
      <c r="B504" s="2" t="s">
        <v>1481</v>
      </c>
      <c r="C504" s="2" t="s">
        <v>1482</v>
      </c>
      <c r="D504" s="2" t="s">
        <v>137</v>
      </c>
      <c r="E504" s="2" t="s">
        <v>21</v>
      </c>
      <c r="F504" s="2" t="s">
        <v>15</v>
      </c>
      <c r="G504" s="2" t="s">
        <v>1483</v>
      </c>
      <c r="H504" s="2" t="s">
        <v>185</v>
      </c>
      <c r="I504" s="2" t="str">
        <f>IFERROR(__xludf.DUMMYFUNCTION("GOOGLETRANSLATE(C504,""fr"",""en"")"),"Following a hanging in 2016 and a non -responsible accident in 2018 which destroyed my vehicle (they will therefore be reimbursed by the other insurance), the MAAF informs me that it cannot insure my new car from a too large accident frequency. 20 years o"&amp;"f maaf and I find myself thrown like an old sock !!!!! Degrading and inhuman behavior when I have to recover from a serious accident !!!!")</f>
        <v>Following a hanging in 2016 and a non -responsible accident in 2018 which destroyed my vehicle (they will therefore be reimbursed by the other insurance), the MAAF informs me that it cannot insure my new car from a too large accident frequency. 20 years of maaf and I find myself thrown like an old sock !!!!! Degrading and inhuman behavior when I have to recover from a serious accident !!!!</v>
      </c>
    </row>
    <row r="505" ht="15.75" customHeight="1">
      <c r="A505" s="2">
        <v>5.0</v>
      </c>
      <c r="B505" s="2" t="s">
        <v>1484</v>
      </c>
      <c r="C505" s="2" t="s">
        <v>1485</v>
      </c>
      <c r="D505" s="2" t="s">
        <v>62</v>
      </c>
      <c r="E505" s="2" t="s">
        <v>21</v>
      </c>
      <c r="F505" s="2" t="s">
        <v>15</v>
      </c>
      <c r="G505" s="2" t="s">
        <v>492</v>
      </c>
      <c r="H505" s="2" t="s">
        <v>123</v>
      </c>
      <c r="I505" s="2" t="str">
        <f>IFERROR(__xludf.DUMMYFUNCTION("GOOGLETRANSLATE(C505,""fr"",""en"")"),"I am satisfied with the price and service but I do not understand why I adjust 40.19 when there is no case fees to pay thank you for saying why?")</f>
        <v>I am satisfied with the price and service but I do not understand why I adjust 40.19 when there is no case fees to pay thank you for saying why?</v>
      </c>
    </row>
    <row r="506" ht="15.75" customHeight="1">
      <c r="A506" s="2">
        <v>5.0</v>
      </c>
      <c r="B506" s="2" t="s">
        <v>1486</v>
      </c>
      <c r="C506" s="2" t="s">
        <v>1487</v>
      </c>
      <c r="D506" s="2" t="s">
        <v>42</v>
      </c>
      <c r="E506" s="2" t="s">
        <v>21</v>
      </c>
      <c r="F506" s="2" t="s">
        <v>15</v>
      </c>
      <c r="G506" s="2" t="s">
        <v>1488</v>
      </c>
      <c r="H506" s="2" t="s">
        <v>106</v>
      </c>
      <c r="I506" s="2" t="str">
        <f>IFERROR(__xludf.DUMMYFUNCTION("GOOGLETRANSLATE(C506,""fr"",""en"")"),"Listening team, available and efficient! I highly recommend!")</f>
        <v>Listening team, available and efficient! I highly recommend!</v>
      </c>
    </row>
    <row r="507" ht="15.75" customHeight="1">
      <c r="A507" s="2">
        <v>1.0</v>
      </c>
      <c r="B507" s="2" t="s">
        <v>1489</v>
      </c>
      <c r="C507" s="2" t="s">
        <v>1490</v>
      </c>
      <c r="D507" s="2" t="s">
        <v>42</v>
      </c>
      <c r="E507" s="2" t="s">
        <v>21</v>
      </c>
      <c r="F507" s="2" t="s">
        <v>15</v>
      </c>
      <c r="G507" s="2" t="s">
        <v>1491</v>
      </c>
      <c r="H507" s="2" t="s">
        <v>737</v>
      </c>
      <c r="I507" s="2" t="str">
        <f>IFERROR(__xludf.DUMMYFUNCTION("GOOGLETRANSLATE(C507,""fr"",""en"")"),"Abusive practices.
Taking into account non -responsible claims to increase the amount of monthly payments. When I said to the advice that I had never seen this type of practice in other insurances the answer was as follows:
""It is well known in insuran"&amp;"ce we always pay for others ..."".
My monthly payments went from 88 euros to 132 euros per month by subscribing to the Olivier Insurance, for the same guarantees and a higher franchise ...
Do not fall into the trap of the attractive offers of compar"&amp;"ators who do not reflect in any final price practiced by the Olivier Insurance.")</f>
        <v>Abusive practices.
Taking into account non -responsible claims to increase the amount of monthly payments. When I said to the advice that I had never seen this type of practice in other insurances the answer was as follows:
"It is well known in insurance we always pay for others ...".
My monthly payments went from 88 euros to 132 euros per month by subscribing to the Olivier Insurance, for the same guarantees and a higher franchise ...
Do not fall into the trap of the attractive offers of comparators who do not reflect in any final price practiced by the Olivier Insurance.</v>
      </c>
    </row>
    <row r="508" ht="15.75" customHeight="1">
      <c r="A508" s="2">
        <v>3.0</v>
      </c>
      <c r="B508" s="2" t="s">
        <v>1492</v>
      </c>
      <c r="C508" s="2" t="s">
        <v>1493</v>
      </c>
      <c r="D508" s="2" t="s">
        <v>196</v>
      </c>
      <c r="E508" s="2" t="s">
        <v>21</v>
      </c>
      <c r="F508" s="2" t="s">
        <v>15</v>
      </c>
      <c r="G508" s="2" t="s">
        <v>1218</v>
      </c>
      <c r="H508" s="2" t="s">
        <v>413</v>
      </c>
      <c r="I508" s="2" t="str">
        <f>IFERROR(__xludf.DUMMYFUNCTION("GOOGLETRANSLATE(C508,""fr"",""en"")"),"The only thing to say about the old insurer is that it is necessary to ensure good support for customer service and if it can decrease the price, as it remains there is not much to say.")</f>
        <v>The only thing to say about the old insurer is that it is necessary to ensure good support for customer service and if it can decrease the price, as it remains there is not much to say.</v>
      </c>
    </row>
    <row r="509" ht="15.75" customHeight="1">
      <c r="A509" s="2">
        <v>4.0</v>
      </c>
      <c r="B509" s="2" t="s">
        <v>1494</v>
      </c>
      <c r="C509" s="2" t="s">
        <v>1495</v>
      </c>
      <c r="D509" s="2" t="s">
        <v>42</v>
      </c>
      <c r="E509" s="2" t="s">
        <v>21</v>
      </c>
      <c r="F509" s="2" t="s">
        <v>15</v>
      </c>
      <c r="G509" s="2" t="s">
        <v>1496</v>
      </c>
      <c r="H509" s="2" t="s">
        <v>44</v>
      </c>
      <c r="I509" s="2" t="str">
        <f>IFERROR(__xludf.DUMMYFUNCTION("GOOGLETRANSLATE(C509,""fr"",""en"")"),"Loading...")</f>
        <v>Loading...</v>
      </c>
    </row>
    <row r="510" ht="15.75" customHeight="1">
      <c r="A510" s="2">
        <v>1.0</v>
      </c>
      <c r="B510" s="2" t="s">
        <v>1497</v>
      </c>
      <c r="C510" s="2" t="s">
        <v>1498</v>
      </c>
      <c r="D510" s="2" t="s">
        <v>81</v>
      </c>
      <c r="E510" s="2" t="s">
        <v>104</v>
      </c>
      <c r="F510" s="2" t="s">
        <v>15</v>
      </c>
      <c r="G510" s="2" t="s">
        <v>72</v>
      </c>
      <c r="H510" s="2" t="s">
        <v>72</v>
      </c>
      <c r="I510" s="2" t="str">
        <f>IFERROR(__xludf.DUMMYFUNCTION("GOOGLETRANSLATE(C510,""fr"",""en"")"),"Hello, I have been on ald sick leave for seven 2019. Until the month of October 2020, my interim supplies planned were paid regularly despite some setbacks at the start, but since then, and despite many telephone reminders with more or less correct speake"&amp;"rs (the latest to date replied that given the number of files pending + 3000 I will be paid one day ....) - I sent my documents on time - I think it will be the day or the day Hens will have teeth as our ancients would say .... but how do we live during t"&amp;"his time.
And if AG2R customer service takes the time to respond to each MSG, it's the same for everyone and I sent a request to this address and to date. Nothing, no contact - no acknowledgment of receipt. Do you have to go through a lawyer to get thing"&amp;"s done and get your due?")</f>
        <v>Hello, I have been on ald sick leave for seven 2019. Until the month of October 2020, my interim supplies planned were paid regularly despite some setbacks at the start, but since then, and despite many telephone reminders with more or less correct speakers (the latest to date replied that given the number of files pending + 3000 I will be paid one day ....) - I sent my documents on time - I think it will be the day or the day Hens will have teeth as our ancients would say .... but how do we live during this time.
And if AG2R customer service takes the time to respond to each MSG, it's the same for everyone and I sent a request to this address and to date. Nothing, no contact - no acknowledgment of receipt. Do you have to go through a lawyer to get things done and get your due?</v>
      </c>
    </row>
    <row r="511" ht="15.75" customHeight="1">
      <c r="A511" s="2">
        <v>2.0</v>
      </c>
      <c r="B511" s="2" t="s">
        <v>1499</v>
      </c>
      <c r="C511" s="2" t="s">
        <v>1500</v>
      </c>
      <c r="D511" s="2" t="s">
        <v>62</v>
      </c>
      <c r="E511" s="2" t="s">
        <v>21</v>
      </c>
      <c r="F511" s="2" t="s">
        <v>15</v>
      </c>
      <c r="G511" s="2" t="s">
        <v>1501</v>
      </c>
      <c r="H511" s="2" t="s">
        <v>113</v>
      </c>
      <c r="I511" s="2" t="str">
        <f>IFERROR(__xludf.DUMMYFUNCTION("GOOGLETRANSLATE(C511,""fr"",""en"")"),"I am satisfied with the professional and practical service thank you cordially I highly recommend your insurance see you soon I am in the expectation of your quote")</f>
        <v>I am satisfied with the professional and practical service thank you cordially I highly recommend your insurance see you soon I am in the expectation of your quote</v>
      </c>
    </row>
    <row r="512" ht="15.75" customHeight="1">
      <c r="A512" s="2">
        <v>3.0</v>
      </c>
      <c r="B512" s="2" t="s">
        <v>1502</v>
      </c>
      <c r="C512" s="2" t="s">
        <v>1503</v>
      </c>
      <c r="D512" s="2" t="s">
        <v>47</v>
      </c>
      <c r="E512" s="2" t="s">
        <v>104</v>
      </c>
      <c r="F512" s="2" t="s">
        <v>15</v>
      </c>
      <c r="G512" s="2" t="s">
        <v>1504</v>
      </c>
      <c r="H512" s="2" t="s">
        <v>886</v>
      </c>
      <c r="I512" s="2" t="str">
        <f>IFERROR(__xludf.DUMMYFUNCTION("GOOGLETRANSLATE(C512,""fr"",""en"")"),"My husband died, and he had subscribed to the Essen'Ciel provident insurance. Only he died before the ""1 year"" for the validation of the contract.
In accordance with the conditions of the contract, I had to touch up the amount of contributions paid.
I"&amp;" received a transfer on my bank (which corresponds to a little more than half of the amount that was from me) but I have no explanation or mail or email, I absolutely do not know what this amount corresponds to.
No one at Axa understands, my agent tells "&amp;"me that he understands and takes steps that remain unanswered.
Obviously I do not want to leave this situation as it is. I fear that I was fooled.")</f>
        <v>My husband died, and he had subscribed to the Essen'Ciel provident insurance. Only he died before the "1 year" for the validation of the contract.
In accordance with the conditions of the contract, I had to touch up the amount of contributions paid.
I received a transfer on my bank (which corresponds to a little more than half of the amount that was from me) but I have no explanation or mail or email, I absolutely do not know what this amount corresponds to.
No one at Axa understands, my agent tells me that he understands and takes steps that remain unanswered.
Obviously I do not want to leave this situation as it is. I fear that I was fooled.</v>
      </c>
    </row>
    <row r="513" ht="15.75" customHeight="1">
      <c r="A513" s="2">
        <v>4.0</v>
      </c>
      <c r="B513" s="2" t="s">
        <v>1505</v>
      </c>
      <c r="C513" s="2" t="s">
        <v>1506</v>
      </c>
      <c r="D513" s="2" t="s">
        <v>42</v>
      </c>
      <c r="E513" s="2" t="s">
        <v>21</v>
      </c>
      <c r="F513" s="2" t="s">
        <v>15</v>
      </c>
      <c r="G513" s="2" t="s">
        <v>1507</v>
      </c>
      <c r="H513" s="2" t="s">
        <v>54</v>
      </c>
      <c r="I513" s="2" t="str">
        <f>IFERROR(__xludf.DUMMYFUNCTION("GOOGLETRANSLATE(C513,""fr"",""en"")"),"I'm happy. Simple and practical. Thanks for your help. I am satisfied with the application. Customer service is courteous and understanding. Thank you")</f>
        <v>I'm happy. Simple and practical. Thanks for your help. I am satisfied with the application. Customer service is courteous and understanding. Thank you</v>
      </c>
    </row>
    <row r="514" ht="15.75" customHeight="1">
      <c r="A514" s="2">
        <v>1.0</v>
      </c>
      <c r="B514" s="2" t="s">
        <v>1508</v>
      </c>
      <c r="C514" s="2" t="s">
        <v>1509</v>
      </c>
      <c r="D514" s="2" t="s">
        <v>62</v>
      </c>
      <c r="E514" s="2" t="s">
        <v>21</v>
      </c>
      <c r="F514" s="2" t="s">
        <v>15</v>
      </c>
      <c r="G514" s="2" t="s">
        <v>1510</v>
      </c>
      <c r="H514" s="2" t="s">
        <v>193</v>
      </c>
      <c r="I514" s="2" t="str">
        <f>IFERROR(__xludf.DUMMYFUNCTION("GOOGLETRANSLATE(C514,""fr"",""en"")"),"Attractive price the first year but after it is anything without any accidents they are increasing your bonuses the prices even the year of containment when all other insurances drop! You redo an online quote with your information and you realize that the"&amp;"y offer a price 200 euros cheaper! In short, they take their insured for pigeons! I go to competition.")</f>
        <v>Attractive price the first year but after it is anything without any accidents they are increasing your bonuses the prices even the year of containment when all other insurances drop! You redo an online quote with your information and you realize that they offer a price 200 euros cheaper! In short, they take their insured for pigeons! I go to competition.</v>
      </c>
    </row>
    <row r="515" ht="15.75" customHeight="1">
      <c r="A515" s="2">
        <v>5.0</v>
      </c>
      <c r="B515" s="2" t="s">
        <v>1511</v>
      </c>
      <c r="C515" s="2" t="s">
        <v>1512</v>
      </c>
      <c r="D515" s="2" t="s">
        <v>42</v>
      </c>
      <c r="E515" s="2" t="s">
        <v>21</v>
      </c>
      <c r="F515" s="2" t="s">
        <v>15</v>
      </c>
      <c r="G515" s="2" t="s">
        <v>803</v>
      </c>
      <c r="H515" s="2" t="s">
        <v>54</v>
      </c>
      <c r="I515" s="2" t="str">
        <f>IFERROR(__xludf.DUMMYFUNCTION("GOOGLETRANSLATE(C515,""fr"",""en"")"),"Well, I will recommend the olive tree to my loved ones. I am happy with the prices charged. Well, I will recommend the olive tree to my loved ones. I am happy with the prices charged.")</f>
        <v>Well, I will recommend the olive tree to my loved ones. I am happy with the prices charged. Well, I will recommend the olive tree to my loved ones. I am happy with the prices charged.</v>
      </c>
    </row>
    <row r="516" ht="15.75" customHeight="1">
      <c r="A516" s="2">
        <v>2.0</v>
      </c>
      <c r="B516" s="2" t="s">
        <v>1513</v>
      </c>
      <c r="C516" s="2" t="s">
        <v>1514</v>
      </c>
      <c r="D516" s="2" t="s">
        <v>37</v>
      </c>
      <c r="E516" s="2" t="s">
        <v>14</v>
      </c>
      <c r="F516" s="2" t="s">
        <v>15</v>
      </c>
      <c r="G516" s="2" t="s">
        <v>707</v>
      </c>
      <c r="H516" s="2" t="s">
        <v>64</v>
      </c>
      <c r="I516" s="2" t="str">
        <f>IFERROR(__xludf.DUMMYFUNCTION("GOOGLETRANSLATE(C516,""fr"",""en"")"),"To flee make me samples despite my termination within 14 days and my recommended letters is not serious. They make the harassment last")</f>
        <v>To flee make me samples despite my termination within 14 days and my recommended letters is not serious. They make the harassment last</v>
      </c>
    </row>
    <row r="517" ht="15.75" customHeight="1">
      <c r="A517" s="2">
        <v>4.0</v>
      </c>
      <c r="B517" s="2" t="s">
        <v>1515</v>
      </c>
      <c r="C517" s="2" t="s">
        <v>1516</v>
      </c>
      <c r="D517" s="2" t="s">
        <v>20</v>
      </c>
      <c r="E517" s="2" t="s">
        <v>21</v>
      </c>
      <c r="F517" s="2" t="s">
        <v>15</v>
      </c>
      <c r="G517" s="2" t="s">
        <v>1517</v>
      </c>
      <c r="H517" s="2" t="s">
        <v>54</v>
      </c>
      <c r="I517" s="2" t="str">
        <f>IFERROR(__xludf.DUMMYFUNCTION("GOOGLETRANSLATE(C517,""fr"",""en"")"),"Loading...")</f>
        <v>Loading...</v>
      </c>
    </row>
    <row r="518" ht="15.75" customHeight="1">
      <c r="A518" s="2">
        <v>2.0</v>
      </c>
      <c r="B518" s="2" t="s">
        <v>1518</v>
      </c>
      <c r="C518" s="2" t="s">
        <v>1519</v>
      </c>
      <c r="D518" s="2" t="s">
        <v>255</v>
      </c>
      <c r="E518" s="2" t="s">
        <v>21</v>
      </c>
      <c r="F518" s="2" t="s">
        <v>15</v>
      </c>
      <c r="G518" s="2" t="s">
        <v>1520</v>
      </c>
      <c r="H518" s="2" t="s">
        <v>154</v>
      </c>
      <c r="I518" s="2" t="str">
        <f>IFERROR(__xludf.DUMMYFUNCTION("GOOGLETRANSLATE(C518,""fr"",""en"")"),"No relationships, no privileges for faithful customers.")</f>
        <v>No relationships, no privileges for faithful customers.</v>
      </c>
    </row>
    <row r="519" ht="15.75" customHeight="1">
      <c r="A519" s="2">
        <v>2.0</v>
      </c>
      <c r="B519" s="2" t="s">
        <v>1521</v>
      </c>
      <c r="C519" s="2" t="s">
        <v>1522</v>
      </c>
      <c r="D519" s="2" t="s">
        <v>81</v>
      </c>
      <c r="E519" s="2" t="s">
        <v>104</v>
      </c>
      <c r="F519" s="2" t="s">
        <v>15</v>
      </c>
      <c r="G519" s="2" t="s">
        <v>1523</v>
      </c>
      <c r="H519" s="2" t="s">
        <v>161</v>
      </c>
      <c r="I519" s="2" t="str">
        <f>IFERROR(__xludf.DUMMYFUNCTION("GOOGLETRANSLATE(C519,""fr"",""en"")"),"Pending since 2016 for a supplement to the Title Supply Supply following a sickness stop for the pèriode of 07.07.2016 at 31/10.2016. My collective agreement announces 1 year seniority for a complement of 2 months. And the AGR2 announces 2 years of senior"&amp;"ities !!! How can they not respect the collective agreement and do how they see fit? Several reminders with my company from the 'Biom ...' but they are just as incompetent to solve this problem! A file has in court with the labor inspectorate.")</f>
        <v>Pending since 2016 for a supplement to the Title Supply Supply following a sickness stop for the pèriode of 07.07.2016 at 31/10.2016. My collective agreement announces 1 year seniority for a complement of 2 months. And the AGR2 announces 2 years of seniorities !!! How can they not respect the collective agreement and do how they see fit? Several reminders with my company from the 'Biom ...' but they are just as incompetent to solve this problem! A file has in court with the labor inspectorate.</v>
      </c>
    </row>
    <row r="520" ht="15.75" customHeight="1">
      <c r="A520" s="2">
        <v>3.0</v>
      </c>
      <c r="B520" s="2" t="s">
        <v>1524</v>
      </c>
      <c r="C520" s="2" t="s">
        <v>1525</v>
      </c>
      <c r="D520" s="2" t="s">
        <v>62</v>
      </c>
      <c r="E520" s="2" t="s">
        <v>21</v>
      </c>
      <c r="F520" s="2" t="s">
        <v>15</v>
      </c>
      <c r="G520" s="2" t="s">
        <v>1526</v>
      </c>
      <c r="H520" s="2" t="s">
        <v>59</v>
      </c>
      <c r="I520" s="2" t="str">
        <f>IFERROR(__xludf.DUMMYFUNCTION("GOOGLETRANSLATE(C520,""fr"",""en"")"),"I haven't had any sinister in home since always, I would have hoped for an adjustment why not a bonus / penalty system as for vehicles?")</f>
        <v>I haven't had any sinister in home since always, I would have hoped for an adjustment why not a bonus / penalty system as for vehicles?</v>
      </c>
    </row>
    <row r="521" ht="15.75" customHeight="1">
      <c r="A521" s="2">
        <v>1.0</v>
      </c>
      <c r="B521" s="2" t="s">
        <v>1527</v>
      </c>
      <c r="C521" s="2" t="s">
        <v>1528</v>
      </c>
      <c r="D521" s="2" t="s">
        <v>137</v>
      </c>
      <c r="E521" s="2" t="s">
        <v>21</v>
      </c>
      <c r="F521" s="2" t="s">
        <v>15</v>
      </c>
      <c r="G521" s="2" t="s">
        <v>1529</v>
      </c>
      <c r="H521" s="2" t="s">
        <v>479</v>
      </c>
      <c r="I521" s="2" t="str">
        <f>IFERROR(__xludf.DUMMYFUNCTION("GOOGLETRANSLATE(C521,""fr"",""en"")"),"I am extremely disappointed with the way in which my contract will end (incessantly incessantly!)
I had a responsible accident last month, that day the advisers were responsive and attentive, I was pleasantly surprised!
Thereafter I was told that my veh"&amp;"icle will not be repairable because its value lower than the cost of repairs. I am pressing to go give the gray card.
No more news.
I finally call to find out where is the payment of the disaster and I learn when my file was simply left in a corner and "&amp;"the check not even prepared !!!! In addition, I am taken up on the phone.
I had made quotes at home for auto and car insurance credit, also extremely disappointed with prices and the lack of taking into account my client past at home. Knowing that my fat"&amp;"her is a collaborator and that my whole family is insured there.
The maaf is finished for me, and with a very bitter taste.")</f>
        <v>I am extremely disappointed with the way in which my contract will end (incessantly incessantly!)
I had a responsible accident last month, that day the advisers were responsive and attentive, I was pleasantly surprised!
Thereafter I was told that my vehicle will not be repairable because its value lower than the cost of repairs. I am pressing to go give the gray card.
No more news.
I finally call to find out where is the payment of the disaster and I learn when my file was simply left in a corner and the check not even prepared !!!! In addition, I am taken up on the phone.
I had made quotes at home for auto and car insurance credit, also extremely disappointed with prices and the lack of taking into account my client past at home. Knowing that my father is a collaborator and that my whole family is insured there.
The maaf is finished for me, and with a very bitter taste.</v>
      </c>
    </row>
    <row r="522" ht="15.75" customHeight="1">
      <c r="A522" s="2">
        <v>5.0</v>
      </c>
      <c r="B522" s="2" t="s">
        <v>1530</v>
      </c>
      <c r="C522" s="2" t="s">
        <v>1531</v>
      </c>
      <c r="D522" s="2" t="s">
        <v>42</v>
      </c>
      <c r="E522" s="2" t="s">
        <v>21</v>
      </c>
      <c r="F522" s="2" t="s">
        <v>15</v>
      </c>
      <c r="G522" s="2" t="s">
        <v>1532</v>
      </c>
      <c r="H522" s="2" t="s">
        <v>612</v>
      </c>
      <c r="I522" s="2" t="str">
        <f>IFERROR(__xludf.DUMMYFUNCTION("GOOGLETRANSLATE(C522,""fr"",""en"")"),"Insurance that we can only recommend ...
")</f>
        <v>Insurance that we can only recommend ...
</v>
      </c>
    </row>
    <row r="523" ht="15.75" customHeight="1">
      <c r="A523" s="2">
        <v>1.0</v>
      </c>
      <c r="B523" s="2" t="s">
        <v>1533</v>
      </c>
      <c r="C523" s="2" t="s">
        <v>1534</v>
      </c>
      <c r="D523" s="2" t="s">
        <v>1011</v>
      </c>
      <c r="E523" s="2" t="s">
        <v>457</v>
      </c>
      <c r="F523" s="2" t="s">
        <v>15</v>
      </c>
      <c r="G523" s="2" t="s">
        <v>1535</v>
      </c>
      <c r="H523" s="2" t="s">
        <v>78</v>
      </c>
      <c r="I523" s="2" t="str">
        <f>IFERROR(__xludf.DUMMYFUNCTION("GOOGLETRANSLATE(C523,""fr"",""en"")"),"Dear,
This day I was disturbed by a TLA? 3 p.m. on my 061319 **** who tells me clearly when I tell him that I have already subscribed that I fell into the sign of a Moroccan competitor I therefore put Madame in her place by telling her that I did my co"&amp;"mparison , she clings me to the nose I reminds she refuses to give me her name and tells me that I only have to appeal to the good Lord.
First of all, we are in 2019 and I think racism is intolerable! In addition, knowing that Madame seems to have a sm"&amp;"all accent;)
Secondly hanging up on the nose of a client is unacceptable knowing that I did not insult him and I have absolutely not been disrespectful!
Thirdly concerning the good Lord I buried my fiancé barely a year ago!
And to finish I have n"&amp;"ot yet taken the mutual for my cat so you have not lost a single potential client but all the people I will meet who is looking for an animal mutual knowing that I am not bad in the environment!
Her behavior is unacceptable and I hope she will be saten"&amp;"tion so that she learns professionalism!
Wishing you a very good reception
Miss Running
")</f>
        <v>Dear,
This day I was disturbed by a TLA? 3 p.m. on my 061319 **** who tells me clearly when I tell him that I have already subscribed that I fell into the sign of a Moroccan competitor I therefore put Madame in her place by telling her that I did my comparison , she clings me to the nose I reminds she refuses to give me her name and tells me that I only have to appeal to the good Lord.
First of all, we are in 2019 and I think racism is intolerable! In addition, knowing that Madame seems to have a small accent;)
Secondly hanging up on the nose of a client is unacceptable knowing that I did not insult him and I have absolutely not been disrespectful!
Thirdly concerning the good Lord I buried my fiancé barely a year ago!
And to finish I have not yet taken the mutual for my cat so you have not lost a single potential client but all the people I will meet who is looking for an animal mutual knowing that I am not bad in the environment!
Her behavior is unacceptable and I hope she will be satention so that she learns professionalism!
Wishing you a very good reception
Miss Running
</v>
      </c>
    </row>
    <row r="524" ht="15.75" customHeight="1">
      <c r="A524" s="2">
        <v>2.0</v>
      </c>
      <c r="B524" s="2" t="s">
        <v>1536</v>
      </c>
      <c r="C524" s="2" t="s">
        <v>1537</v>
      </c>
      <c r="D524" s="2" t="s">
        <v>62</v>
      </c>
      <c r="E524" s="2" t="s">
        <v>21</v>
      </c>
      <c r="F524" s="2" t="s">
        <v>15</v>
      </c>
      <c r="G524" s="2" t="s">
        <v>1538</v>
      </c>
      <c r="H524" s="2" t="s">
        <v>54</v>
      </c>
      <c r="I524" s="2" t="str">
        <f>IFERROR(__xludf.DUMMYFUNCTION("GOOGLETRANSLATE(C524,""fr"",""en"")"),"hello
I have nothing to blame my insurer except that I see a big price difference with a quote that I made on Assurland with a competitor it is only for this reason it is in the normality of things to look for the less Dear especially a difference in dou"&amp;"ble!")</f>
        <v>hello
I have nothing to blame my insurer except that I see a big price difference with a quote that I made on Assurland with a competitor it is only for this reason it is in the normality of things to look for the less Dear especially a difference in double!</v>
      </c>
    </row>
    <row r="525" ht="15.75" customHeight="1">
      <c r="A525" s="2">
        <v>1.0</v>
      </c>
      <c r="B525" s="2" t="s">
        <v>1539</v>
      </c>
      <c r="C525" s="2" t="s">
        <v>1540</v>
      </c>
      <c r="D525" s="2" t="s">
        <v>47</v>
      </c>
      <c r="E525" s="2" t="s">
        <v>21</v>
      </c>
      <c r="F525" s="2" t="s">
        <v>15</v>
      </c>
      <c r="G525" s="2" t="s">
        <v>266</v>
      </c>
      <c r="H525" s="2" t="s">
        <v>266</v>
      </c>
      <c r="I525" s="2" t="str">
        <f>IFERROR(__xludf.DUMMYFUNCTION("GOOGLETRANSLATE(C525,""fr"",""en"")"),"Disgusted !!!! Insured for 30 years. Only one loss responsible in my name. Before my divorce, all vehicles + house at home.
Insured for a collector vehicle all damage with a contribution greater than € 1,300. Victim of a parking accident for more than a "&amp;"year, the expertise was carried out by a trainee expert in training not having knowledge of the vehicle, who disputed the declaration. One year of recovery, contradictory expertise at my expense which confirms the parking accident. But nothing moves. I ha"&amp;"ve no response and I continue to pay my subscription plus the storage costs of the vehicle immobilized for a year.
I am scandalized by the attitude of this insurer who lets drag in order to discourage me.")</f>
        <v>Disgusted !!!! Insured for 30 years. Only one loss responsible in my name. Before my divorce, all vehicles + house at home.
Insured for a collector vehicle all damage with a contribution greater than € 1,300. Victim of a parking accident for more than a year, the expertise was carried out by a trainee expert in training not having knowledge of the vehicle, who disputed the declaration. One year of recovery, contradictory expertise at my expense which confirms the parking accident. But nothing moves. I have no response and I continue to pay my subscription plus the storage costs of the vehicle immobilized for a year.
I am scandalized by the attitude of this insurer who lets drag in order to discourage me.</v>
      </c>
    </row>
    <row r="526" ht="15.75" customHeight="1">
      <c r="A526" s="2">
        <v>5.0</v>
      </c>
      <c r="B526" s="2" t="s">
        <v>1541</v>
      </c>
      <c r="C526" s="2" t="s">
        <v>1542</v>
      </c>
      <c r="D526" s="2" t="s">
        <v>42</v>
      </c>
      <c r="E526" s="2" t="s">
        <v>21</v>
      </c>
      <c r="F526" s="2" t="s">
        <v>15</v>
      </c>
      <c r="G526" s="2" t="s">
        <v>1543</v>
      </c>
      <c r="H526" s="2" t="s">
        <v>39</v>
      </c>
      <c r="I526" s="2" t="str">
        <f>IFERROR(__xludf.DUMMYFUNCTION("GOOGLETRANSLATE(C526,""fr"",""en"")"),"I am satisfied with Lassurance with whom I was taking place behind, the price is convinced, the packs offer are also good
the most important the price that is satisfactory")</f>
        <v>I am satisfied with Lassurance with whom I was taking place behind, the price is convinced, the packs offer are also good
the most important the price that is satisfactory</v>
      </c>
    </row>
    <row r="527" ht="15.75" customHeight="1">
      <c r="A527" s="2">
        <v>1.0</v>
      </c>
      <c r="B527" s="2" t="s">
        <v>1544</v>
      </c>
      <c r="C527" s="2" t="s">
        <v>1545</v>
      </c>
      <c r="D527" s="2" t="s">
        <v>137</v>
      </c>
      <c r="E527" s="2" t="s">
        <v>21</v>
      </c>
      <c r="F527" s="2" t="s">
        <v>15</v>
      </c>
      <c r="G527" s="2" t="s">
        <v>1546</v>
      </c>
      <c r="H527" s="2" t="s">
        <v>1205</v>
      </c>
      <c r="I527" s="2" t="str">
        <f>IFERROR(__xludf.DUMMYFUNCTION("GOOGLETRANSLATE(C527,""fr"",""en"")"),"I broke down on 01/26 going on vacation at 9 a.m. on the highway! After 45 min waiting we are taken care of by the convenience store which leads us to his deposit! After calling to the assistant we had to be taken care of by it 30 min after but nothing !!"&amp;"! We recall the audience in total 3 times so that they are a taxi !! In total we had to wait 7 hours at the deposit with my family (3 children aged 3 to 10) and outside without eating for them !! We found ourselves a rental car !! We asked for a reimburse"&amp;"ment of the rental fees but they were refused !! We had 4 contracts at home !! A shame for assurance not to assume their fault !! Nor having to leave a family without eating anything for 7 hours !! To run away absolutely")</f>
        <v>I broke down on 01/26 going on vacation at 9 a.m. on the highway! After 45 min waiting we are taken care of by the convenience store which leads us to his deposit! After calling to the assistant we had to be taken care of by it 30 min after but nothing !!! We recall the audience in total 3 times so that they are a taxi !! In total we had to wait 7 hours at the deposit with my family (3 children aged 3 to 10) and outside without eating for them !! We found ourselves a rental car !! We asked for a reimbursement of the rental fees but they were refused !! We had 4 contracts at home !! A shame for assurance not to assume their fault !! Nor having to leave a family without eating anything for 7 hours !! To run away absolutely</v>
      </c>
    </row>
    <row r="528" ht="15.75" customHeight="1">
      <c r="A528" s="2">
        <v>3.0</v>
      </c>
      <c r="B528" s="2" t="s">
        <v>1547</v>
      </c>
      <c r="C528" s="2" t="s">
        <v>1548</v>
      </c>
      <c r="D528" s="2" t="s">
        <v>269</v>
      </c>
      <c r="E528" s="2" t="s">
        <v>14</v>
      </c>
      <c r="F528" s="2" t="s">
        <v>15</v>
      </c>
      <c r="G528" s="2" t="s">
        <v>383</v>
      </c>
      <c r="H528" s="2" t="s">
        <v>266</v>
      </c>
      <c r="I528" s="2" t="str">
        <f>IFERROR(__xludf.DUMMYFUNCTION("GOOGLETRANSLATE(C528,""fr"",""en"")"),"Very responsive mutual, customer service is effective.
The application to send the supporting documents is very practical (sometimes a few bugs when sending repeated but overall OK)")</f>
        <v>Very responsive mutual, customer service is effective.
The application to send the supporting documents is very practical (sometimes a few bugs when sending repeated but overall OK)</v>
      </c>
    </row>
    <row r="529" ht="15.75" customHeight="1">
      <c r="A529" s="2">
        <v>1.0</v>
      </c>
      <c r="B529" s="2" t="s">
        <v>1549</v>
      </c>
      <c r="C529" s="2" t="s">
        <v>1550</v>
      </c>
      <c r="D529" s="2" t="s">
        <v>42</v>
      </c>
      <c r="E529" s="2" t="s">
        <v>21</v>
      </c>
      <c r="F529" s="2" t="s">
        <v>15</v>
      </c>
      <c r="G529" s="2" t="s">
        <v>1551</v>
      </c>
      <c r="H529" s="2" t="s">
        <v>252</v>
      </c>
      <c r="I529" s="2" t="str">
        <f>IFERROR(__xludf.DUMMYFUNCTION("GOOGLETRANSLATE(C529,""fr"",""en"")"),"The Olivier Insurance, the insurance that gives you an amendment to the contract, without your agreement, just after price information, and when you contact them to find out why they allowed you for donkeys. Answer and we explain that it is a vs to refuse"&amp;" the addendum, while vs have never asked for one .... and it allows yourself to take insurance with amendment, while no signed contract and even less requested . I think some behind their phone wanted their bonus .. ??
")</f>
        <v>The Olivier Insurance, the insurance that gives you an amendment to the contract, without your agreement, just after price information, and when you contact them to find out why they allowed you for donkeys. Answer and we explain that it is a vs to refuse the addendum, while vs have never asked for one .... and it allows yourself to take insurance with amendment, while no signed contract and even less requested . I think some behind their phone wanted their bonus .. ??
</v>
      </c>
    </row>
    <row r="530" ht="15.75" customHeight="1">
      <c r="A530" s="2">
        <v>5.0</v>
      </c>
      <c r="B530" s="2" t="s">
        <v>1552</v>
      </c>
      <c r="C530" s="2" t="s">
        <v>1553</v>
      </c>
      <c r="D530" s="2" t="s">
        <v>42</v>
      </c>
      <c r="E530" s="2" t="s">
        <v>21</v>
      </c>
      <c r="F530" s="2" t="s">
        <v>15</v>
      </c>
      <c r="G530" s="2" t="s">
        <v>1554</v>
      </c>
      <c r="H530" s="2" t="s">
        <v>266</v>
      </c>
      <c r="I530" s="2" t="str">
        <f>IFERROR(__xludf.DUMMYFUNCTION("GOOGLETRANSLATE(C530,""fr"",""en"")"),"Very satisfied with the offers, the availability of staff, kindness and speed.
The wait to speak to an operator is very satisfactory")</f>
        <v>Very satisfied with the offers, the availability of staff, kindness and speed.
The wait to speak to an operator is very satisfactory</v>
      </c>
    </row>
    <row r="531" ht="15.75" customHeight="1">
      <c r="A531" s="2">
        <v>1.0</v>
      </c>
      <c r="B531" s="2" t="s">
        <v>1555</v>
      </c>
      <c r="C531" s="2" t="s">
        <v>1556</v>
      </c>
      <c r="D531" s="2" t="s">
        <v>250</v>
      </c>
      <c r="E531" s="2" t="s">
        <v>21</v>
      </c>
      <c r="F531" s="2" t="s">
        <v>15</v>
      </c>
      <c r="G531" s="2" t="s">
        <v>1557</v>
      </c>
      <c r="H531" s="2" t="s">
        <v>266</v>
      </c>
      <c r="I531" s="2" t="str">
        <f>IFERROR(__xludf.DUMMYFUNCTION("GOOGLETRANSLATE(C531,""fr"",""en"")"),"To flee!
Unable to manage the cessation of a contract despite several calls and mail! Prefers not to take care of the file and use recovery companies!")</f>
        <v>To flee!
Unable to manage the cessation of a contract despite several calls and mail! Prefers not to take care of the file and use recovery companies!</v>
      </c>
    </row>
    <row r="532" ht="15.75" customHeight="1">
      <c r="A532" s="2">
        <v>5.0</v>
      </c>
      <c r="B532" s="2" t="s">
        <v>1558</v>
      </c>
      <c r="C532" s="2" t="s">
        <v>1559</v>
      </c>
      <c r="D532" s="2" t="s">
        <v>62</v>
      </c>
      <c r="E532" s="2" t="s">
        <v>21</v>
      </c>
      <c r="F532" s="2" t="s">
        <v>15</v>
      </c>
      <c r="G532" s="2" t="s">
        <v>72</v>
      </c>
      <c r="H532" s="2" t="s">
        <v>72</v>
      </c>
      <c r="I532" s="2" t="str">
        <f>IFERROR(__xludf.DUMMYFUNCTION("GOOGLETRANSLATE(C532,""fr"",""en"")"),"I am satisfied with the price of this service and I really plan to go there until the end. Prices are acceptable so far and I recommend this service to friends")</f>
        <v>I am satisfied with the price of this service and I really plan to go there until the end. Prices are acceptable so far and I recommend this service to friends</v>
      </c>
    </row>
    <row r="533" ht="15.75" customHeight="1">
      <c r="A533" s="2">
        <v>5.0</v>
      </c>
      <c r="B533" s="2" t="s">
        <v>1560</v>
      </c>
      <c r="C533" s="2" t="s">
        <v>1561</v>
      </c>
      <c r="D533" s="2" t="s">
        <v>183</v>
      </c>
      <c r="E533" s="2" t="s">
        <v>14</v>
      </c>
      <c r="F533" s="2" t="s">
        <v>15</v>
      </c>
      <c r="G533" s="2" t="s">
        <v>1562</v>
      </c>
      <c r="H533" s="2" t="s">
        <v>201</v>
      </c>
      <c r="I533" s="2" t="str">
        <f>IFERROR(__xludf.DUMMYFUNCTION("GOOGLETRANSLATE(C533,""fr"",""en"")"),"Very satisfied with this mutual insurance company for 2 years. It is recognized everywhere, reimbursements are much faster than on my old mutual and the price is very good because there are no strong annual increases. In addition my broker remains very re"&amp;"achable whether on the phone by email or by SMS, it is always present when I have the least question. I really recommend and I do not understand at all the bad advice that I see on this site.")</f>
        <v>Very satisfied with this mutual insurance company for 2 years. It is recognized everywhere, reimbursements are much faster than on my old mutual and the price is very good because there are no strong annual increases. In addition my broker remains very reachable whether on the phone by email or by SMS, it is always present when I have the least question. I really recommend and I do not understand at all the bad advice that I see on this site.</v>
      </c>
    </row>
    <row r="534" ht="15.75" customHeight="1">
      <c r="A534" s="2">
        <v>4.0</v>
      </c>
      <c r="B534" s="2" t="s">
        <v>1563</v>
      </c>
      <c r="C534" s="2" t="s">
        <v>1564</v>
      </c>
      <c r="D534" s="2" t="s">
        <v>42</v>
      </c>
      <c r="E534" s="2" t="s">
        <v>21</v>
      </c>
      <c r="F534" s="2" t="s">
        <v>15</v>
      </c>
      <c r="G534" s="2" t="s">
        <v>1565</v>
      </c>
      <c r="H534" s="2" t="s">
        <v>54</v>
      </c>
      <c r="I534" s="2" t="str">
        <f>IFERROR(__xludf.DUMMYFUNCTION("GOOGLETRANSLATE(C534,""fr"",""en"")"),"Contract and Sepa not very readable before signature, otherwise I am currently satisfied with the first telephone contact and the price and guarantees offered")</f>
        <v>Contract and Sepa not very readable before signature, otherwise I am currently satisfied with the first telephone contact and the price and guarantees offered</v>
      </c>
    </row>
    <row r="535" ht="15.75" customHeight="1">
      <c r="A535" s="2">
        <v>1.0</v>
      </c>
      <c r="B535" s="2" t="s">
        <v>1566</v>
      </c>
      <c r="C535" s="2" t="s">
        <v>1567</v>
      </c>
      <c r="D535" s="2" t="s">
        <v>20</v>
      </c>
      <c r="E535" s="2" t="s">
        <v>21</v>
      </c>
      <c r="F535" s="2" t="s">
        <v>15</v>
      </c>
      <c r="G535" s="2" t="s">
        <v>1568</v>
      </c>
      <c r="H535" s="2" t="s">
        <v>544</v>
      </c>
      <c r="I535" s="2" t="str">
        <f>IFERROR(__xludf.DUMMYFUNCTION("GOOGLETRANSLATE(C535,""fr"",""en"")"),"Ensures GMF Auto, 1st day of vacation breakdown on the highway of my vehicle, so I call for my GMF assistance however on contract any risk on a very high -end vehicle.
 The service has been pitiful, lets customers in the middle of nowhere are their own m"&amp;"eans when they have no solution. A shame, run away from this insurance.")</f>
        <v>Ensures GMF Auto, 1st day of vacation breakdown on the highway of my vehicle, so I call for my GMF assistance however on contract any risk on a very high -end vehicle.
 The service has been pitiful, lets customers in the middle of nowhere are their own means when they have no solution. A shame, run away from this insurance.</v>
      </c>
    </row>
    <row r="536" ht="15.75" customHeight="1">
      <c r="A536" s="2">
        <v>3.0</v>
      </c>
      <c r="B536" s="2" t="s">
        <v>1569</v>
      </c>
      <c r="C536" s="2" t="s">
        <v>1570</v>
      </c>
      <c r="D536" s="2" t="s">
        <v>47</v>
      </c>
      <c r="E536" s="2" t="s">
        <v>21</v>
      </c>
      <c r="F536" s="2" t="s">
        <v>15</v>
      </c>
      <c r="G536" s="2" t="s">
        <v>1571</v>
      </c>
      <c r="H536" s="2" t="s">
        <v>544</v>
      </c>
      <c r="I536" s="2" t="str">
        <f>IFERROR(__xludf.DUMMYFUNCTION("GOOGLETRANSLATE(C536,""fr"",""en"")"),"Axa Fleury Carentan have a prefered garage in carentan, bourdet garage. By using that garage, all payments are made directly by axa.
My car, not 2 years old, was exisseively dammed during very high winds in December 2019.
The Incompence of the Raveirers"&amp;" was such that it tuok until juy 2020 for the car to be correctly winned to original specials. I was not supported by axa Fleury in my serious complains about the original repair work done, a named manager and the repair to the original repairs, redone ag"&amp;"ain and again.
I AM LOOOKING FOR ANTHER Auto Insurer and WOULD NOT MAKE A RECOMMATION OF THE GARAGE BOURDET NOR AXA FLEURY FOR ANY EXTENSIVE AUTO REPOR AND THE REPRESENTATION OF THE CUSTOMER IN ANY Complaint.")</f>
        <v>Axa Fleury Carentan have a prefered garage in carentan, bourdet garage. By using that garage, all payments are made directly by axa.
My car, not 2 years old, was exisseively dammed during very high winds in December 2019.
The Incompence of the Raveirers was such that it tuok until juy 2020 for the car to be correctly winned to original specials. I was not supported by axa Fleury in my serious complains about the original repair work done, a named manager and the repair to the original repairs, redone again and again.
I AM LOOOKING FOR ANTHER Auto Insurer and WOULD NOT MAKE A RECOMMATION OF THE GARAGE BOURDET NOR AXA FLEURY FOR ANY EXTENSIVE AUTO REPOR AND THE REPRESENTATION OF THE CUSTOMER IN ANY Complaint.</v>
      </c>
    </row>
    <row r="537" ht="15.75" customHeight="1">
      <c r="A537" s="2">
        <v>3.0</v>
      </c>
      <c r="B537" s="2" t="s">
        <v>1572</v>
      </c>
      <c r="C537" s="2" t="s">
        <v>1573</v>
      </c>
      <c r="D537" s="2" t="s">
        <v>89</v>
      </c>
      <c r="E537" s="2" t="s">
        <v>90</v>
      </c>
      <c r="F537" s="2" t="s">
        <v>15</v>
      </c>
      <c r="G537" s="2" t="s">
        <v>1043</v>
      </c>
      <c r="H537" s="2" t="s">
        <v>123</v>
      </c>
      <c r="I537" s="2" t="str">
        <f>IFERROR(__xludf.DUMMYFUNCTION("GOOGLETRANSLATE(C537,""fr"",""en"")"),"My father had been paying life insurance for AFER for 25 years and was a customer in the rue de Chateaudun where he had chosen his domiciliation. Now since Mi 20 ""or 14, my father was domiciled by AFER without his consent to Brittany at the BNP ?????? an"&amp;"d without being notified other than by the change of The address of the mail. My father died on August 10 and I therefore got closer to the AFER advisor where my father had opened life insurance on my own, near his home in Paris 16 who tells me that the r"&amp;"emarks or any problems From my file (there is none because it is very simple and I transmitted all the acts) we will be asked by Brittany (BNP). What is this story, my father never consented to this and I have the history of all letters and copy of the pa"&amp;"yment checks. My father had organized a simple succession, why everything becomes complicated outside of any consent. My mother -in -law is his second wife is In the same case as me and to her at the start life insurance on rue de Chateaudun and her life "&amp;"insurance was transfered to the BNP in Brittany his ns that she has knowledge. Excuse me but what is this boxon? It is unacceptable")</f>
        <v>My father had been paying life insurance for AFER for 25 years and was a customer in the rue de Chateaudun where he had chosen his domiciliation. Now since Mi 20 "or 14, my father was domiciled by AFER without his consent to Brittany at the BNP ?????? and without being notified other than by the change of The address of the mail. My father died on August 10 and I therefore got closer to the AFER advisor where my father had opened life insurance on my own, near his home in Paris 16 who tells me that the remarks or any problems From my file (there is none because it is very simple and I transmitted all the acts) we will be asked by Brittany (BNP). What is this story, my father never consented to this and I have the history of all letters and copy of the payment checks. My father had organized a simple succession, why everything becomes complicated outside of any consent. My mother -in -law is his second wife is In the same case as me and to her at the start life insurance on rue de Chateaudun and her life insurance was transfered to the BNP in Brittany his ns that she has knowledge. Excuse me but what is this boxon? It is unacceptable</v>
      </c>
    </row>
    <row r="538" ht="15.75" customHeight="1">
      <c r="A538" s="2">
        <v>2.0</v>
      </c>
      <c r="B538" s="2" t="s">
        <v>1574</v>
      </c>
      <c r="C538" s="2" t="s">
        <v>1575</v>
      </c>
      <c r="D538" s="2" t="s">
        <v>37</v>
      </c>
      <c r="E538" s="2" t="s">
        <v>76</v>
      </c>
      <c r="F538" s="2" t="s">
        <v>15</v>
      </c>
      <c r="G538" s="2" t="s">
        <v>1576</v>
      </c>
      <c r="H538" s="2" t="s">
        <v>838</v>
      </c>
      <c r="I538" s="2" t="str">
        <f>IFERROR(__xludf.DUMMYFUNCTION("GOOGLETRANSLATE(C538,""fr"",""en"")"),"Refusal")</f>
        <v>Refusal</v>
      </c>
    </row>
    <row r="539" ht="15.75" customHeight="1">
      <c r="A539" s="2">
        <v>3.0</v>
      </c>
      <c r="B539" s="2" t="s">
        <v>1577</v>
      </c>
      <c r="C539" s="2" t="s">
        <v>1578</v>
      </c>
      <c r="D539" s="2" t="s">
        <v>62</v>
      </c>
      <c r="E539" s="2" t="s">
        <v>21</v>
      </c>
      <c r="F539" s="2" t="s">
        <v>15</v>
      </c>
      <c r="G539" s="2" t="s">
        <v>707</v>
      </c>
      <c r="H539" s="2" t="s">
        <v>64</v>
      </c>
      <c r="I539" s="2" t="str">
        <f>IFERROR(__xludf.DUMMYFUNCTION("GOOGLETRANSLATE(C539,""fr"",""en"")"),"new in the company I cannot judge the skills of the insurance and my satisfaction. I leave myself a year to be able to give a 1st opinion. In any event, the advisor was very professional and courteous.")</f>
        <v>new in the company I cannot judge the skills of the insurance and my satisfaction. I leave myself a year to be able to give a 1st opinion. In any event, the advisor was very professional and courteous.</v>
      </c>
    </row>
    <row r="540" ht="15.75" customHeight="1">
      <c r="A540" s="2">
        <v>1.0</v>
      </c>
      <c r="B540" s="2" t="s">
        <v>1579</v>
      </c>
      <c r="C540" s="2" t="s">
        <v>1580</v>
      </c>
      <c r="D540" s="2" t="s">
        <v>62</v>
      </c>
      <c r="E540" s="2" t="s">
        <v>21</v>
      </c>
      <c r="F540" s="2" t="s">
        <v>15</v>
      </c>
      <c r="G540" s="2" t="s">
        <v>1581</v>
      </c>
      <c r="H540" s="2" t="s">
        <v>815</v>
      </c>
      <c r="I540" s="2" t="str">
        <f>IFERROR(__xludf.DUMMYFUNCTION("GOOGLETRANSLATE(C540,""fr"",""en"")"),"Unreachable except to subscribe increases without any reason (for the same vehicle the internet simulation on their city is 25% cheaper) the battery of my such discharge before the customer charge therefore responds to goodbye and forever to flee")</f>
        <v>Unreachable except to subscribe increases without any reason (for the same vehicle the internet simulation on their city is 25% cheaper) the battery of my such discharge before the customer charge therefore responds to goodbye and forever to flee</v>
      </c>
    </row>
    <row r="541" ht="15.75" customHeight="1">
      <c r="A541" s="2">
        <v>4.0</v>
      </c>
      <c r="B541" s="2" t="s">
        <v>1582</v>
      </c>
      <c r="C541" s="2" t="s">
        <v>1583</v>
      </c>
      <c r="D541" s="2" t="s">
        <v>20</v>
      </c>
      <c r="E541" s="2" t="s">
        <v>21</v>
      </c>
      <c r="F541" s="2" t="s">
        <v>15</v>
      </c>
      <c r="G541" s="2" t="s">
        <v>972</v>
      </c>
      <c r="H541" s="2" t="s">
        <v>123</v>
      </c>
      <c r="I541" s="2" t="str">
        <f>IFERROR(__xludf.DUMMYFUNCTION("GOOGLETRANSLATE(C541,""fr"",""en"")"),"I am satisfied with the service
I find the prices interesting
Too bad there are no other dates of withdrawal than the 3 of each month
Cordially")</f>
        <v>I am satisfied with the service
I find the prices interesting
Too bad there are no other dates of withdrawal than the 3 of each month
Cordially</v>
      </c>
    </row>
    <row r="542" ht="15.75" customHeight="1">
      <c r="A542" s="2">
        <v>1.0</v>
      </c>
      <c r="B542" s="2" t="s">
        <v>1584</v>
      </c>
      <c r="C542" s="2" t="s">
        <v>1585</v>
      </c>
      <c r="D542" s="2" t="s">
        <v>255</v>
      </c>
      <c r="E542" s="2" t="s">
        <v>129</v>
      </c>
      <c r="F542" s="2" t="s">
        <v>15</v>
      </c>
      <c r="G542" s="2" t="s">
        <v>1586</v>
      </c>
      <c r="H542" s="2" t="s">
        <v>904</v>
      </c>
      <c r="I542" s="2" t="str">
        <f>IFERROR(__xludf.DUMMYFUNCTION("GOOGLETRANSLATE(C542,""fr"",""en"")"),"Water leak not covered by insurance, no expert passes I had to pay the bill I advise against everyone to leave their home. I made a credit to pay the plumber a shame.")</f>
        <v>Water leak not covered by insurance, no expert passes I had to pay the bill I advise against everyone to leave their home. I made a credit to pay the plumber a shame.</v>
      </c>
    </row>
    <row r="543" ht="15.75" customHeight="1">
      <c r="A543" s="2">
        <v>4.0</v>
      </c>
      <c r="B543" s="2" t="s">
        <v>1587</v>
      </c>
      <c r="C543" s="2" t="s">
        <v>1588</v>
      </c>
      <c r="D543" s="2" t="s">
        <v>31</v>
      </c>
      <c r="E543" s="2" t="s">
        <v>32</v>
      </c>
      <c r="F543" s="2" t="s">
        <v>15</v>
      </c>
      <c r="G543" s="2" t="s">
        <v>936</v>
      </c>
      <c r="H543" s="2" t="s">
        <v>54</v>
      </c>
      <c r="I543" s="2" t="str">
        <f>IFERROR(__xludf.DUMMYFUNCTION("GOOGLETRANSLATE(C543,""fr"",""en"")"),"I am satisfied with the service and the prices are correct the site is very easy to register
I simply recommend this insurance
I hope I will not be disappointed in the long term")</f>
        <v>I am satisfied with the service and the prices are correct the site is very easy to register
I simply recommend this insurance
I hope I will not be disappointed in the long term</v>
      </c>
    </row>
    <row r="544" ht="15.75" customHeight="1">
      <c r="A544" s="2">
        <v>3.0</v>
      </c>
      <c r="B544" s="2" t="s">
        <v>1589</v>
      </c>
      <c r="C544" s="2" t="s">
        <v>1590</v>
      </c>
      <c r="D544" s="2" t="s">
        <v>42</v>
      </c>
      <c r="E544" s="2" t="s">
        <v>21</v>
      </c>
      <c r="F544" s="2" t="s">
        <v>15</v>
      </c>
      <c r="G544" s="2" t="s">
        <v>1591</v>
      </c>
      <c r="H544" s="2" t="s">
        <v>50</v>
      </c>
      <c r="I544" s="2" t="str">
        <f>IFERROR(__xludf.DUMMYFUNCTION("GOOGLETRANSLATE(C544,""fr"",""en"")"),"Reactive insurance, I needed a tow truck I got it in the half time following my call, nothing had to advance as money everything was taken care of")</f>
        <v>Reactive insurance, I needed a tow truck I got it in the half time following my call, nothing had to advance as money everything was taken care of</v>
      </c>
    </row>
    <row r="545" ht="15.75" customHeight="1">
      <c r="A545" s="2">
        <v>1.0</v>
      </c>
      <c r="B545" s="2" t="s">
        <v>1592</v>
      </c>
      <c r="C545" s="2" t="s">
        <v>1593</v>
      </c>
      <c r="D545" s="2" t="s">
        <v>578</v>
      </c>
      <c r="E545" s="2" t="s">
        <v>129</v>
      </c>
      <c r="F545" s="2" t="s">
        <v>15</v>
      </c>
      <c r="G545" s="2" t="s">
        <v>1594</v>
      </c>
      <c r="H545" s="2" t="s">
        <v>1595</v>
      </c>
      <c r="I545" s="2" t="str">
        <f>IFERROR(__xludf.DUMMYFUNCTION("GOOGLETRANSLATE(C545,""fr"",""en"")"),"Sinister in June 2018, the craftsman is awaiting the quote offered more than 4 months ago! Calls without ever anyone to answer and promise a reminder not held. We have decided to file a complaint and the AR mail will follow as well as the termination and "&amp;"the advertising that goes with it. Inadmissible not to respond to the day to the claim, for the subscriptions and collections ya from the world but in the event of concern the service is not rendered. To be fleeing before a claim set out.")</f>
        <v>Sinister in June 2018, the craftsman is awaiting the quote offered more than 4 months ago! Calls without ever anyone to answer and promise a reminder not held. We have decided to file a complaint and the AR mail will follow as well as the termination and the advertising that goes with it. Inadmissible not to respond to the day to the claim, for the subscriptions and collections ya from the world but in the event of concern the service is not rendered. To be fleeing before a claim set out.</v>
      </c>
    </row>
    <row r="546" ht="15.75" customHeight="1">
      <c r="A546" s="2">
        <v>1.0</v>
      </c>
      <c r="B546" s="2" t="s">
        <v>1596</v>
      </c>
      <c r="C546" s="2" t="s">
        <v>1597</v>
      </c>
      <c r="D546" s="2" t="s">
        <v>42</v>
      </c>
      <c r="E546" s="2" t="s">
        <v>21</v>
      </c>
      <c r="F546" s="2" t="s">
        <v>15</v>
      </c>
      <c r="G546" s="2" t="s">
        <v>1598</v>
      </c>
      <c r="H546" s="2" t="s">
        <v>185</v>
      </c>
      <c r="I546" s="2" t="str">
        <f>IFERROR(__xludf.DUMMYFUNCTION("GOOGLETRANSLATE(C546,""fr"",""en"")"),"significant bonus increase without proof depending on the situation from one year to the next")</f>
        <v>significant bonus increase without proof depending on the situation from one year to the next</v>
      </c>
    </row>
    <row r="547" ht="15.75" customHeight="1">
      <c r="A547" s="2">
        <v>3.0</v>
      </c>
      <c r="B547" s="2" t="s">
        <v>1599</v>
      </c>
      <c r="C547" s="2" t="s">
        <v>1600</v>
      </c>
      <c r="D547" s="2" t="s">
        <v>42</v>
      </c>
      <c r="E547" s="2" t="s">
        <v>21</v>
      </c>
      <c r="F547" s="2" t="s">
        <v>15</v>
      </c>
      <c r="G547" s="2" t="s">
        <v>376</v>
      </c>
      <c r="H547" s="2" t="s">
        <v>34</v>
      </c>
      <c r="I547" s="2" t="str">
        <f>IFERROR(__xludf.DUMMYFUNCTION("GOOGLETRANSLATE(C547,""fr"",""en"")"),"I have to pay the assurance of a car that does not use, it nevertheless specified during the quote because there was a change of vehicle, I am obviously assured of the new car as well as the old while I However, said that she will not drive anymore!
")</f>
        <v>I have to pay the assurance of a car that does not use, it nevertheless specified during the quote because there was a change of vehicle, I am obviously assured of the new car as well as the old while I However, said that she will not drive anymore!
</v>
      </c>
    </row>
    <row r="548" ht="15.75" customHeight="1">
      <c r="A548" s="2">
        <v>5.0</v>
      </c>
      <c r="B548" s="2" t="s">
        <v>1601</v>
      </c>
      <c r="C548" s="2" t="s">
        <v>1602</v>
      </c>
      <c r="D548" s="2" t="s">
        <v>210</v>
      </c>
      <c r="E548" s="2" t="s">
        <v>14</v>
      </c>
      <c r="F548" s="2" t="s">
        <v>15</v>
      </c>
      <c r="G548" s="2" t="s">
        <v>400</v>
      </c>
      <c r="H548" s="2" t="s">
        <v>44</v>
      </c>
      <c r="I548" s="2" t="str">
        <f>IFERROR(__xludf.DUMMYFUNCTION("GOOGLETRANSLATE(C548,""fr"",""en"")"),"Very reactive, very pleasant advisor. She was able to solve my connection difficulties and took the time to help me so that I can easily understand the application. I recommend !!!")</f>
        <v>Very reactive, very pleasant advisor. She was able to solve my connection difficulties and took the time to help me so that I can easily understand the application. I recommend !!!</v>
      </c>
    </row>
    <row r="549" ht="15.75" customHeight="1">
      <c r="A549" s="2">
        <v>3.0</v>
      </c>
      <c r="B549" s="2" t="s">
        <v>1603</v>
      </c>
      <c r="C549" s="2" t="s">
        <v>1604</v>
      </c>
      <c r="D549" s="2" t="s">
        <v>183</v>
      </c>
      <c r="E549" s="2" t="s">
        <v>14</v>
      </c>
      <c r="F549" s="2" t="s">
        <v>15</v>
      </c>
      <c r="G549" s="2" t="s">
        <v>511</v>
      </c>
      <c r="H549" s="2" t="s">
        <v>54</v>
      </c>
      <c r="I549" s="2" t="str">
        <f>IFERROR(__xludf.DUMMYFUNCTION("GOOGLETRANSLATE(C549,""fr"",""en"")"),"Loading...")</f>
        <v>Loading...</v>
      </c>
    </row>
    <row r="550" ht="15.75" customHeight="1">
      <c r="A550" s="2">
        <v>2.0</v>
      </c>
      <c r="B550" s="2" t="s">
        <v>1605</v>
      </c>
      <c r="C550" s="2" t="s">
        <v>1606</v>
      </c>
      <c r="D550" s="2" t="s">
        <v>95</v>
      </c>
      <c r="E550" s="2" t="s">
        <v>32</v>
      </c>
      <c r="F550" s="2" t="s">
        <v>15</v>
      </c>
      <c r="G550" s="2" t="s">
        <v>1607</v>
      </c>
      <c r="H550" s="2" t="s">
        <v>362</v>
      </c>
      <c r="I550" s="2" t="str">
        <f>IFERROR(__xludf.DUMMYFUNCTION("GOOGLETRANSLATE(C550,""fr"",""en"")"),"I have 6 two wheels insured at the Mutuelle des Motards, I cannot pilot 2 motorcycles at the same time, so I could hope that my insurer takes into account and this is not the case, I ride in 2 wheels from the Age of 14 I never had a claim and I pay 580 eu"&amp;"ros in insurance per year (56 years of driving, I was born in 1951 almost 70 years)")</f>
        <v>I have 6 two wheels insured at the Mutuelle des Motards, I cannot pilot 2 motorcycles at the same time, so I could hope that my insurer takes into account and this is not the case, I ride in 2 wheels from the Age of 14 I never had a claim and I pay 580 euros in insurance per year (56 years of driving, I was born in 1951 almost 70 years)</v>
      </c>
    </row>
    <row r="551" ht="15.75" customHeight="1">
      <c r="A551" s="2">
        <v>1.0</v>
      </c>
      <c r="B551" s="2" t="s">
        <v>1608</v>
      </c>
      <c r="C551" s="2" t="s">
        <v>1609</v>
      </c>
      <c r="D551" s="2" t="s">
        <v>926</v>
      </c>
      <c r="E551" s="2" t="s">
        <v>14</v>
      </c>
      <c r="F551" s="2" t="s">
        <v>15</v>
      </c>
      <c r="G551" s="2" t="s">
        <v>1610</v>
      </c>
      <c r="H551" s="2" t="s">
        <v>266</v>
      </c>
      <c r="I551" s="2" t="str">
        <f>IFERROR(__xludf.DUMMYFUNCTION("GOOGLETRANSLATE(C551,""fr"",""en"")"),"Reimbursement times are more and more long (+2 months for hearing prostheses). They request ""paid"" invoices to delay the refunds. If I have the practitioner's bill, it is because I paid it otherwise I would not have the bill!
It's intolerable.")</f>
        <v>Reimbursement times are more and more long (+2 months for hearing prostheses). They request "paid" invoices to delay the refunds. If I have the practitioner's bill, it is because I paid it otherwise I would not have the bill!
It's intolerable.</v>
      </c>
    </row>
    <row r="552" ht="15.75" customHeight="1">
      <c r="A552" s="2">
        <v>4.0</v>
      </c>
      <c r="B552" s="2" t="s">
        <v>1611</v>
      </c>
      <c r="C552" s="2" t="s">
        <v>1612</v>
      </c>
      <c r="D552" s="2" t="s">
        <v>67</v>
      </c>
      <c r="E552" s="2" t="s">
        <v>32</v>
      </c>
      <c r="F552" s="2" t="s">
        <v>15</v>
      </c>
      <c r="G552" s="2" t="s">
        <v>228</v>
      </c>
      <c r="H552" s="2" t="s">
        <v>123</v>
      </c>
      <c r="I552" s="2" t="str">
        <f>IFERROR(__xludf.DUMMYFUNCTION("GOOGLETRANSLATE(C552,""fr"",""en"")"),"Practical to subscribe online :)
However, I would have liked to have a green card to print rather than a certificate while waiting for the mail version.
Thanks,")</f>
        <v>Practical to subscribe online :)
However, I would have liked to have a green card to print rather than a certificate while waiting for the mail version.
Thanks,</v>
      </c>
    </row>
    <row r="553" ht="15.75" customHeight="1">
      <c r="A553" s="2">
        <v>1.0</v>
      </c>
      <c r="B553" s="2" t="s">
        <v>1613</v>
      </c>
      <c r="C553" s="2" t="s">
        <v>1614</v>
      </c>
      <c r="D553" s="2" t="s">
        <v>183</v>
      </c>
      <c r="E553" s="2" t="s">
        <v>14</v>
      </c>
      <c r="F553" s="2" t="s">
        <v>15</v>
      </c>
      <c r="G553" s="2" t="s">
        <v>1615</v>
      </c>
      <c r="H553" s="2" t="s">
        <v>515</v>
      </c>
      <c r="I553" s="2" t="str">
        <f>IFERROR(__xludf.DUMMYFUNCTION("GOOGLETRANSLATE(C553,""fr"",""en"")"),"Telephone canvassing yesterday. A person took place for social security and at the end of the conversation presented himself as Neoliane. The salesperson told me that with the Macron law, hospital costs are no longer taken into account by the SS and the m"&amp;"utual. They had the information about me, they forced me to take out a contract despite my refusal. This person was aggressive and not very conciliatory to dialogue. Suddenly, he tells me that I would receive a contract within 15 days and that the direct "&amp;"debits will start on November 1. No need for signature on my part. My daughter contacted them to get more explanations. The tone has risen. They don't want to hear anything. How to withdraw from a contract that we never wanted within 14 days without havin"&amp;"g neither contract nor special conditions? In addition, the law frames far more contracts and telephone demarchages with a consumer.")</f>
        <v>Telephone canvassing yesterday. A person took place for social security and at the end of the conversation presented himself as Neoliane. The salesperson told me that with the Macron law, hospital costs are no longer taken into account by the SS and the mutual. They had the information about me, they forced me to take out a contract despite my refusal. This person was aggressive and not very conciliatory to dialogue. Suddenly, he tells me that I would receive a contract within 15 days and that the direct debits will start on November 1. No need for signature on my part. My daughter contacted them to get more explanations. The tone has risen. They don't want to hear anything. How to withdraw from a contract that we never wanted within 14 days without having neither contract nor special conditions? In addition, the law frames far more contracts and telephone demarchages with a consumer.</v>
      </c>
    </row>
    <row r="554" ht="15.75" customHeight="1">
      <c r="A554" s="2">
        <v>4.0</v>
      </c>
      <c r="B554" s="2" t="s">
        <v>1616</v>
      </c>
      <c r="C554" s="2" t="s">
        <v>1617</v>
      </c>
      <c r="D554" s="2" t="s">
        <v>42</v>
      </c>
      <c r="E554" s="2" t="s">
        <v>21</v>
      </c>
      <c r="F554" s="2" t="s">
        <v>15</v>
      </c>
      <c r="G554" s="2" t="s">
        <v>1496</v>
      </c>
      <c r="H554" s="2" t="s">
        <v>44</v>
      </c>
      <c r="I554" s="2" t="str">
        <f>IFERROR(__xludf.DUMMYFUNCTION("GOOGLETRANSLATE(C554,""fr"",""en"")"),"I just subscribed to the olive tree following recommendation, for the moment everything is going well the offer corresponding to my expectations to be short of the year")</f>
        <v>I just subscribed to the olive tree following recommendation, for the moment everything is going well the offer corresponding to my expectations to be short of the year</v>
      </c>
    </row>
    <row r="555" ht="15.75" customHeight="1">
      <c r="A555" s="2">
        <v>3.0</v>
      </c>
      <c r="B555" s="2" t="s">
        <v>1618</v>
      </c>
      <c r="C555" s="2" t="s">
        <v>1619</v>
      </c>
      <c r="D555" s="2" t="s">
        <v>42</v>
      </c>
      <c r="E555" s="2" t="s">
        <v>21</v>
      </c>
      <c r="F555" s="2" t="s">
        <v>15</v>
      </c>
      <c r="G555" s="2" t="s">
        <v>1215</v>
      </c>
      <c r="H555" s="2" t="s">
        <v>39</v>
      </c>
      <c r="I555" s="2" t="str">
        <f>IFERROR(__xludf.DUMMYFUNCTION("GOOGLETRANSLATE(C555,""fr"",""en"")"),"Loading...")</f>
        <v>Loading...</v>
      </c>
    </row>
    <row r="556" ht="15.75" customHeight="1">
      <c r="A556" s="2">
        <v>5.0</v>
      </c>
      <c r="B556" s="2" t="s">
        <v>1620</v>
      </c>
      <c r="C556" s="2" t="s">
        <v>1621</v>
      </c>
      <c r="D556" s="2" t="s">
        <v>62</v>
      </c>
      <c r="E556" s="2" t="s">
        <v>21</v>
      </c>
      <c r="F556" s="2" t="s">
        <v>15</v>
      </c>
      <c r="G556" s="2" t="s">
        <v>663</v>
      </c>
      <c r="H556" s="2" t="s">
        <v>64</v>
      </c>
      <c r="I556" s="2" t="str">
        <f>IFERROR(__xludf.DUMMYFUNCTION("GOOGLETRANSLATE(C556,""fr"",""en"")"),"Very satisfied with everything related to my insurance.
Correct price,
Management in the event of a quick and effective problem.
If I buy a car I probably come back to your home.")</f>
        <v>Very satisfied with everything related to my insurance.
Correct price,
Management in the event of a quick and effective problem.
If I buy a car I probably come back to your home.</v>
      </c>
    </row>
    <row r="557" ht="15.75" customHeight="1">
      <c r="A557" s="2">
        <v>4.0</v>
      </c>
      <c r="B557" s="2" t="s">
        <v>1622</v>
      </c>
      <c r="C557" s="2" t="s">
        <v>1623</v>
      </c>
      <c r="D557" s="2" t="s">
        <v>42</v>
      </c>
      <c r="E557" s="2" t="s">
        <v>21</v>
      </c>
      <c r="F557" s="2" t="s">
        <v>15</v>
      </c>
      <c r="G557" s="2" t="s">
        <v>122</v>
      </c>
      <c r="H557" s="2" t="s">
        <v>123</v>
      </c>
      <c r="I557" s="2" t="str">
        <f>IFERROR(__xludf.DUMMYFUNCTION("GOOGLETRANSLATE(C557,""fr"",""en"")"),"I am satisfied with prices and telephone assistance. However, the Olivier Insurance website is unstable: recurring errors appear and force to recharge the page.")</f>
        <v>I am satisfied with prices and telephone assistance. However, the Olivier Insurance website is unstable: recurring errors appear and force to recharge the page.</v>
      </c>
    </row>
    <row r="558" ht="15.75" customHeight="1">
      <c r="A558" s="2">
        <v>4.0</v>
      </c>
      <c r="B558" s="2" t="s">
        <v>1624</v>
      </c>
      <c r="C558" s="2" t="s">
        <v>1625</v>
      </c>
      <c r="D558" s="2" t="s">
        <v>31</v>
      </c>
      <c r="E558" s="2" t="s">
        <v>32</v>
      </c>
      <c r="F558" s="2" t="s">
        <v>15</v>
      </c>
      <c r="G558" s="2" t="s">
        <v>866</v>
      </c>
      <c r="H558" s="2" t="s">
        <v>34</v>
      </c>
      <c r="I558" s="2" t="str">
        <f>IFERROR(__xludf.DUMMYFUNCTION("GOOGLETRANSLATE(C558,""fr"",""en"")"),"The service is effective, all the steps are very fast
 Everything is done in a few minutes
The price level is competitive.
I am therefore satisfied")</f>
        <v>The service is effective, all the steps are very fast
 Everything is done in a few minutes
The price level is competitive.
I am therefore satisfied</v>
      </c>
    </row>
    <row r="559" ht="15.75" customHeight="1">
      <c r="A559" s="2">
        <v>4.0</v>
      </c>
      <c r="B559" s="2" t="s">
        <v>1626</v>
      </c>
      <c r="C559" s="2" t="s">
        <v>1627</v>
      </c>
      <c r="D559" s="2" t="s">
        <v>42</v>
      </c>
      <c r="E559" s="2" t="s">
        <v>21</v>
      </c>
      <c r="F559" s="2" t="s">
        <v>15</v>
      </c>
      <c r="G559" s="2" t="s">
        <v>1628</v>
      </c>
      <c r="H559" s="2" t="s">
        <v>54</v>
      </c>
      <c r="I559" s="2" t="str">
        <f>IFERROR(__xludf.DUMMYFUNCTION("GOOGLETRANSLATE(C559,""fr"",""en"")"),"Reachable by phone for more information and requests for requests.
The whole is satisfactory.
Access to the easy and intuitive site.
Well placed level rate")</f>
        <v>Reachable by phone for more information and requests for requests.
The whole is satisfactory.
Access to the easy and intuitive site.
Well placed level rate</v>
      </c>
    </row>
    <row r="560" ht="15.75" customHeight="1">
      <c r="A560" s="2">
        <v>4.0</v>
      </c>
      <c r="B560" s="2" t="s">
        <v>1629</v>
      </c>
      <c r="C560" s="2" t="s">
        <v>1630</v>
      </c>
      <c r="D560" s="2" t="s">
        <v>418</v>
      </c>
      <c r="E560" s="2" t="s">
        <v>76</v>
      </c>
      <c r="F560" s="2" t="s">
        <v>15</v>
      </c>
      <c r="G560" s="2" t="s">
        <v>525</v>
      </c>
      <c r="H560" s="2" t="s">
        <v>59</v>
      </c>
      <c r="I560" s="2" t="str">
        <f>IFERROR(__xludf.DUMMYFUNCTION("GOOGLETRANSLATE(C560,""fr"",""en"")"),"Satisfied with the patience of my interlocutor
Well conducted file with very good follow -up and kindness
You had to be persevering to convince me and he knew how to find the words
Cheer")</f>
        <v>Satisfied with the patience of my interlocutor
Well conducted file with very good follow -up and kindness
You had to be persevering to convince me and he knew how to find the words
Cheer</v>
      </c>
    </row>
    <row r="561" ht="15.75" customHeight="1">
      <c r="A561" s="2">
        <v>3.0</v>
      </c>
      <c r="B561" s="2" t="s">
        <v>1631</v>
      </c>
      <c r="C561" s="2" t="s">
        <v>1632</v>
      </c>
      <c r="D561" s="2" t="s">
        <v>42</v>
      </c>
      <c r="E561" s="2" t="s">
        <v>21</v>
      </c>
      <c r="F561" s="2" t="s">
        <v>15</v>
      </c>
      <c r="G561" s="2" t="s">
        <v>1633</v>
      </c>
      <c r="H561" s="2" t="s">
        <v>123</v>
      </c>
      <c r="I561" s="2" t="str">
        <f>IFERROR(__xludf.DUMMYFUNCTION("GOOGLETRANSLATE(C561,""fr"",""en"")"),"Loading...")</f>
        <v>Loading...</v>
      </c>
    </row>
    <row r="562" ht="15.75" customHeight="1">
      <c r="A562" s="2">
        <v>1.0</v>
      </c>
      <c r="B562" s="2" t="s">
        <v>1634</v>
      </c>
      <c r="C562" s="2" t="s">
        <v>1635</v>
      </c>
      <c r="D562" s="2" t="s">
        <v>250</v>
      </c>
      <c r="E562" s="2" t="s">
        <v>21</v>
      </c>
      <c r="F562" s="2" t="s">
        <v>15</v>
      </c>
      <c r="G562" s="2" t="s">
        <v>1636</v>
      </c>
      <c r="H562" s="2" t="s">
        <v>78</v>
      </c>
      <c r="I562" s="2" t="str">
        <f>IFERROR(__xludf.DUMMYFUNCTION("GOOGLETRANSLATE(C562,""fr"",""en"")"),"Having several contracts at the Macif, I asked to review my contracts down, they replied to go and see elsewhere not sympathetic, that they would do nothing, super nice answer, I have my contracts Since 1976, to see how they answer without doing anything "&amp;"mind -blowing, I hope that their people are thinking a bit because 43 -year -old customers who have never had an accident or damage for the home and that they are received from This way is a shame !!!!!
Hallucinating, they do not work by email ""these da"&amp;"ys it makes you laugh"".
")</f>
        <v>Having several contracts at the Macif, I asked to review my contracts down, they replied to go and see elsewhere not sympathetic, that they would do nothing, super nice answer, I have my contracts Since 1976, to see how they answer without doing anything mind -blowing, I hope that their people are thinking a bit because 43 -year -old customers who have never had an accident or damage for the home and that they are received from This way is a shame !!!!!
Hallucinating, they do not work by email "these days it makes you laugh".
</v>
      </c>
    </row>
    <row r="563" ht="15.75" customHeight="1">
      <c r="A563" s="2">
        <v>3.0</v>
      </c>
      <c r="B563" s="2" t="s">
        <v>1637</v>
      </c>
      <c r="C563" s="2" t="s">
        <v>1638</v>
      </c>
      <c r="D563" s="2" t="s">
        <v>250</v>
      </c>
      <c r="E563" s="2" t="s">
        <v>21</v>
      </c>
      <c r="F563" s="2" t="s">
        <v>15</v>
      </c>
      <c r="G563" s="2" t="s">
        <v>1639</v>
      </c>
      <c r="H563" s="2" t="s">
        <v>737</v>
      </c>
      <c r="I563" s="2" t="str">
        <f>IFERROR(__xludf.DUMMYFUNCTION("GOOGLETRANSLATE(C563,""fr"",""en"")"),"Loading...")</f>
        <v>Loading...</v>
      </c>
    </row>
    <row r="564" ht="15.75" customHeight="1">
      <c r="A564" s="2">
        <v>2.0</v>
      </c>
      <c r="B564" s="2" t="s">
        <v>1640</v>
      </c>
      <c r="C564" s="2" t="s">
        <v>1641</v>
      </c>
      <c r="D564" s="2" t="s">
        <v>62</v>
      </c>
      <c r="E564" s="2" t="s">
        <v>21</v>
      </c>
      <c r="F564" s="2" t="s">
        <v>15</v>
      </c>
      <c r="G564" s="2" t="s">
        <v>86</v>
      </c>
      <c r="H564" s="2" t="s">
        <v>64</v>
      </c>
      <c r="I564" s="2" t="str">
        <f>IFERROR(__xludf.DUMMYFUNCTION("GOOGLETRANSLATE(C564,""fr"",""en"")"),"Everything out of the Internet is always complicated Malges several contracts the prices increase suddenly the competitors are sometimes cheaper and we have contact with the local insurance you should not have more high prices since you say that there are"&amp;" different differences Up to 200euros according to your advertising")</f>
        <v>Everything out of the Internet is always complicated Malges several contracts the prices increase suddenly the competitors are sometimes cheaper and we have contact with the local insurance you should not have more high prices since you say that there are different differences Up to 200euros according to your advertising</v>
      </c>
    </row>
    <row r="565" ht="15.75" customHeight="1">
      <c r="A565" s="2">
        <v>3.0</v>
      </c>
      <c r="B565" s="2" t="s">
        <v>1642</v>
      </c>
      <c r="C565" s="2" t="s">
        <v>1643</v>
      </c>
      <c r="D565" s="2" t="s">
        <v>255</v>
      </c>
      <c r="E565" s="2" t="s">
        <v>21</v>
      </c>
      <c r="F565" s="2" t="s">
        <v>15</v>
      </c>
      <c r="G565" s="2" t="s">
        <v>1644</v>
      </c>
      <c r="H565" s="2" t="s">
        <v>304</v>
      </c>
      <c r="I565" s="2" t="str">
        <f>IFERROR(__xludf.DUMMYFUNCTION("GOOGLETRANSLATE(C565,""fr"",""en"")"),"I have subscribed online, with in support an advisor. Application of 400 € immediate. I receive a contract later as well as a provisional green card Validity 30 JRS. I send the contract, and more news, despite pls calls , without follow -up with an expect"&amp;"ation of more than 30 minutes each time. I am currently online (and pending since xxxx minutes). In fact of interpretation to the subscription on the terms, my file is blocked, without the We sought to communicate with me.
Distressing and following")</f>
        <v>I have subscribed online, with in support an advisor. Application of 400 € immediate. I receive a contract later as well as a provisional green card Validity 30 JRS. I send the contract, and more news, despite pls calls , without follow -up with an expectation of more than 30 minutes each time. I am currently online (and pending since xxxx minutes). In fact of interpretation to the subscription on the terms, my file is blocked, without the We sought to communicate with me.
Distressing and following</v>
      </c>
    </row>
    <row r="566" ht="15.75" customHeight="1">
      <c r="A566" s="2">
        <v>3.0</v>
      </c>
      <c r="B566" s="2" t="s">
        <v>1645</v>
      </c>
      <c r="C566" s="2" t="s">
        <v>1646</v>
      </c>
      <c r="D566" s="2" t="s">
        <v>62</v>
      </c>
      <c r="E566" s="2" t="s">
        <v>21</v>
      </c>
      <c r="F566" s="2" t="s">
        <v>15</v>
      </c>
      <c r="G566" s="2" t="s">
        <v>434</v>
      </c>
      <c r="H566" s="2" t="s">
        <v>59</v>
      </c>
      <c r="I566" s="2" t="str">
        <f>IFERROR(__xludf.DUMMYFUNCTION("GOOGLETRANSLATE(C566,""fr"",""en"")"),"The price suits me, but when we add options (Ice price without franchise/troubleshooting 0km/) which was in my old auto contract the reduction is no longer as important in the final.")</f>
        <v>The price suits me, but when we add options (Ice price without franchise/troubleshooting 0km/) which was in my old auto contract the reduction is no longer as important in the final.</v>
      </c>
    </row>
    <row r="567" ht="15.75" customHeight="1">
      <c r="A567" s="2">
        <v>1.0</v>
      </c>
      <c r="B567" s="2" t="s">
        <v>1647</v>
      </c>
      <c r="C567" s="2" t="s">
        <v>1648</v>
      </c>
      <c r="D567" s="2" t="s">
        <v>285</v>
      </c>
      <c r="E567" s="2" t="s">
        <v>90</v>
      </c>
      <c r="F567" s="2" t="s">
        <v>15</v>
      </c>
      <c r="G567" s="2" t="s">
        <v>1649</v>
      </c>
      <c r="H567" s="2" t="s">
        <v>716</v>
      </c>
      <c r="I567" s="2" t="str">
        <f>IFERROR(__xludf.DUMMYFUNCTION("GOOGLETRANSLATE(C567,""fr"",""en"")"),"Loading...")</f>
        <v>Loading...</v>
      </c>
    </row>
    <row r="568" ht="15.75" customHeight="1">
      <c r="A568" s="2">
        <v>4.0</v>
      </c>
      <c r="B568" s="2" t="s">
        <v>1650</v>
      </c>
      <c r="C568" s="2" t="s">
        <v>1651</v>
      </c>
      <c r="D568" s="2" t="s">
        <v>67</v>
      </c>
      <c r="E568" s="2" t="s">
        <v>32</v>
      </c>
      <c r="F568" s="2" t="s">
        <v>15</v>
      </c>
      <c r="G568" s="2" t="s">
        <v>361</v>
      </c>
      <c r="H568" s="2" t="s">
        <v>362</v>
      </c>
      <c r="I568" s="2" t="str">
        <f>IFERROR(__xludf.DUMMYFUNCTION("GOOGLETRANSLATE(C568,""fr"",""en"")"),"AMV client for many years and never having had anything to blame them for I consider that at the sight of their prices and guarantees and the relationships that we have been able to exchange, my satisfaction is total and I will recommend their services ve"&amp;"ry willingly.")</f>
        <v>AMV client for many years and never having had anything to blame them for I consider that at the sight of their prices and guarantees and the relationships that we have been able to exchange, my satisfaction is total and I will recommend their services very willingly.</v>
      </c>
    </row>
    <row r="569" ht="15.75" customHeight="1">
      <c r="A569" s="2">
        <v>1.0</v>
      </c>
      <c r="B569" s="2" t="s">
        <v>1652</v>
      </c>
      <c r="C569" s="2" t="s">
        <v>1653</v>
      </c>
      <c r="D569" s="2" t="s">
        <v>89</v>
      </c>
      <c r="E569" s="2" t="s">
        <v>90</v>
      </c>
      <c r="F569" s="2" t="s">
        <v>15</v>
      </c>
      <c r="G569" s="2" t="s">
        <v>1654</v>
      </c>
      <c r="H569" s="2" t="s">
        <v>225</v>
      </c>
      <c r="I569" s="2" t="str">
        <f>IFERROR(__xludf.DUMMYFUNCTION("GOOGLETRANSLATE(C569,""fr"",""en"")"),"Loading...")</f>
        <v>Loading...</v>
      </c>
    </row>
    <row r="570" ht="15.75" customHeight="1">
      <c r="A570" s="2">
        <v>1.0</v>
      </c>
      <c r="B570" s="2" t="s">
        <v>1655</v>
      </c>
      <c r="C570" s="2" t="s">
        <v>1656</v>
      </c>
      <c r="D570" s="2" t="s">
        <v>926</v>
      </c>
      <c r="E570" s="2" t="s">
        <v>14</v>
      </c>
      <c r="F570" s="2" t="s">
        <v>15</v>
      </c>
      <c r="G570" s="2" t="s">
        <v>1657</v>
      </c>
      <c r="H570" s="2" t="s">
        <v>723</v>
      </c>
      <c r="I570" s="2" t="str">
        <f>IFERROR(__xludf.DUMMYFUNCTION("GOOGLETRANSLATE(C570,""fr"",""en"")"),"Poor management of portability files. Mandatory Mandatory Employer. Disappointed! Always forced to call them for not founded answers. Here I am for 2 weeks without rights like that, overnight and waiting to process my file ??")</f>
        <v>Poor management of portability files. Mandatory Mandatory Employer. Disappointed! Always forced to call them for not founded answers. Here I am for 2 weeks without rights like that, overnight and waiting to process my file ??</v>
      </c>
    </row>
    <row r="571" ht="15.75" customHeight="1">
      <c r="A571" s="2">
        <v>2.0</v>
      </c>
      <c r="B571" s="2" t="s">
        <v>1658</v>
      </c>
      <c r="C571" s="2" t="s">
        <v>1659</v>
      </c>
      <c r="D571" s="2" t="s">
        <v>62</v>
      </c>
      <c r="E571" s="2" t="s">
        <v>21</v>
      </c>
      <c r="F571" s="2" t="s">
        <v>15</v>
      </c>
      <c r="G571" s="2" t="s">
        <v>1660</v>
      </c>
      <c r="H571" s="2" t="s">
        <v>716</v>
      </c>
      <c r="I571" s="2" t="str">
        <f>IFERROR(__xludf.DUMMYFUNCTION("GOOGLETRANSLATE(C571,""fr"",""en"")"),"Loading...")</f>
        <v>Loading...</v>
      </c>
    </row>
    <row r="572" ht="15.75" customHeight="1">
      <c r="A572" s="2">
        <v>2.0</v>
      </c>
      <c r="B572" s="2" t="s">
        <v>1661</v>
      </c>
      <c r="C572" s="2" t="s">
        <v>1662</v>
      </c>
      <c r="D572" s="2" t="s">
        <v>926</v>
      </c>
      <c r="E572" s="2" t="s">
        <v>14</v>
      </c>
      <c r="F572" s="2" t="s">
        <v>15</v>
      </c>
      <c r="G572" s="2" t="s">
        <v>1663</v>
      </c>
      <c r="H572" s="2" t="s">
        <v>582</v>
      </c>
      <c r="I572" s="2" t="str">
        <f>IFERROR(__xludf.DUMMYFUNCTION("GOOGLETRANSLATE(C572,""fr"",""en"")"),"I have been a member of mutual harmony for many years following a change of address harmony never ask for my security certificate I thought that it was done automatically. From a address to the job is taken into account to send me my new card but again no"&amp;" certificate request. Responsible on their part the holder and responsible for are contract so we must know that it is necessary a certificate even if have not known.")</f>
        <v>I have been a member of mutual harmony for many years following a change of address harmony never ask for my security certificate I thought that it was done automatically. From a address to the job is taken into account to send me my new card but again no certificate request. Responsible on their part the holder and responsible for are contract so we must know that it is necessary a certificate even if have not known.</v>
      </c>
    </row>
    <row r="573" ht="15.75" customHeight="1">
      <c r="A573" s="2">
        <v>1.0</v>
      </c>
      <c r="B573" s="2" t="s">
        <v>1664</v>
      </c>
      <c r="C573" s="2" t="s">
        <v>1665</v>
      </c>
      <c r="D573" s="2" t="s">
        <v>95</v>
      </c>
      <c r="E573" s="2" t="s">
        <v>32</v>
      </c>
      <c r="F573" s="2" t="s">
        <v>15</v>
      </c>
      <c r="G573" s="2" t="s">
        <v>1666</v>
      </c>
      <c r="H573" s="2" t="s">
        <v>64</v>
      </c>
      <c r="I573" s="2" t="str">
        <f>IFERROR(__xludf.DUMMYFUNCTION("GOOGLETRANSLATE(C573,""fr"",""en"")"),"Loading...")</f>
        <v>Loading...</v>
      </c>
    </row>
    <row r="574" ht="15.75" customHeight="1">
      <c r="A574" s="2">
        <v>2.0</v>
      </c>
      <c r="B574" s="2" t="s">
        <v>1667</v>
      </c>
      <c r="C574" s="2" t="s">
        <v>1668</v>
      </c>
      <c r="D574" s="2" t="s">
        <v>183</v>
      </c>
      <c r="E574" s="2" t="s">
        <v>14</v>
      </c>
      <c r="F574" s="2" t="s">
        <v>15</v>
      </c>
      <c r="G574" s="2" t="s">
        <v>1669</v>
      </c>
      <c r="H574" s="2" t="s">
        <v>276</v>
      </c>
      <c r="I574" s="2" t="str">
        <f>IFERROR(__xludf.DUMMYFUNCTION("GOOGLETRANSLATE(C574,""fr"",""en"")"),"Neoliane does not avoid an answer when you send emails I have been waiting for a refund for a month invoice sent by email and mail still no reprobse")</f>
        <v>Neoliane does not avoid an answer when you send emails I have been waiting for a refund for a month invoice sent by email and mail still no reprobse</v>
      </c>
    </row>
    <row r="575" ht="15.75" customHeight="1">
      <c r="A575" s="2">
        <v>1.0</v>
      </c>
      <c r="B575" s="2" t="s">
        <v>1670</v>
      </c>
      <c r="C575" s="2" t="s">
        <v>1671</v>
      </c>
      <c r="D575" s="2" t="s">
        <v>81</v>
      </c>
      <c r="E575" s="2" t="s">
        <v>104</v>
      </c>
      <c r="F575" s="2" t="s">
        <v>15</v>
      </c>
      <c r="G575" s="2" t="s">
        <v>1672</v>
      </c>
      <c r="H575" s="2" t="s">
        <v>362</v>
      </c>
      <c r="I575" s="2" t="str">
        <f>IFERROR(__xludf.DUMMYFUNCTION("GOOGLETRANSLATE(C575,""fr"",""en"")"),"Hello, I see myself claiming reimbursements following compensation received by La Mondiale due to work stoppages and see me obliged to settle my health insurance contributions without being able to benefit from reimbursement of medical expenses.
If someo"&amp;"ne is in an identical situation I am information taker to defend myself.
Good cdt
Db")</f>
        <v>Hello, I see myself claiming reimbursements following compensation received by La Mondiale due to work stoppages and see me obliged to settle my health insurance contributions without being able to benefit from reimbursement of medical expenses.
If someone is in an identical situation I am information taker to defend myself.
Good cdt
Db</v>
      </c>
    </row>
    <row r="576" ht="15.75" customHeight="1">
      <c r="A576" s="2">
        <v>1.0</v>
      </c>
      <c r="B576" s="2" t="s">
        <v>1673</v>
      </c>
      <c r="C576" s="2" t="s">
        <v>1674</v>
      </c>
      <c r="D576" s="2" t="s">
        <v>1675</v>
      </c>
      <c r="E576" s="2" t="s">
        <v>32</v>
      </c>
      <c r="F576" s="2" t="s">
        <v>15</v>
      </c>
      <c r="G576" s="2" t="s">
        <v>82</v>
      </c>
      <c r="H576" s="2" t="s">
        <v>83</v>
      </c>
      <c r="I576" s="2" t="str">
        <f>IFERROR(__xludf.DUMMYFUNCTION("GOOGLETRANSLATE(C576,""fr"",""en"")"),"Insurance below everything, as for the quality of ""advisers"", who do not understand anything for customer requests and ""shoot"" systematically (or voluntary). No file follow -up. Very strong to sell the product, much less to do their job: insure.
Dean"&amp;"s my case, a pseudo ""advisor"" decreed that when I said that I went green, I should have stopped because the ground signaling indicates that I have to leave the passage, which, confirmed by a driving school , is totally false: the signaling is only taken"&amp;" into account when the lights are turned off or the flashing orange. But, suddenly, with this opinion so clear, I am sticked 100% of responsibility, where even the police considered that There were 50/50. Anything !")</f>
        <v>Insurance below everything, as for the quality of "advisers", who do not understand anything for customer requests and "shoot" systematically (or voluntary). No file follow -up. Very strong to sell the product, much less to do their job: insure.
Deans my case, a pseudo "advisor" decreed that when I said that I went green, I should have stopped because the ground signaling indicates that I have to leave the passage, which, confirmed by a driving school , is totally false: the signaling is only taken into account when the lights are turned off or the flashing orange. But, suddenly, with this opinion so clear, I am sticked 100% of responsibility, where even the police considered that There were 50/50. Anything !</v>
      </c>
    </row>
    <row r="577" ht="15.75" customHeight="1">
      <c r="A577" s="2">
        <v>1.0</v>
      </c>
      <c r="B577" s="2" t="s">
        <v>1676</v>
      </c>
      <c r="C577" s="2" t="s">
        <v>1677</v>
      </c>
      <c r="D577" s="2" t="s">
        <v>250</v>
      </c>
      <c r="E577" s="2" t="s">
        <v>21</v>
      </c>
      <c r="F577" s="2" t="s">
        <v>15</v>
      </c>
      <c r="G577" s="2" t="s">
        <v>256</v>
      </c>
      <c r="H577" s="2" t="s">
        <v>185</v>
      </c>
      <c r="I577" s="2" t="str">
        <f>IFERROR(__xludf.DUMMYFUNCTION("GOOGLETRANSLATE(C577,""fr"",""en"")"),"Loading...")</f>
        <v>Loading...</v>
      </c>
    </row>
    <row r="578" ht="15.75" customHeight="1">
      <c r="A578" s="2">
        <v>3.0</v>
      </c>
      <c r="B578" s="2" t="s">
        <v>1678</v>
      </c>
      <c r="C578" s="2" t="s">
        <v>1679</v>
      </c>
      <c r="D578" s="2" t="s">
        <v>62</v>
      </c>
      <c r="E578" s="2" t="s">
        <v>21</v>
      </c>
      <c r="F578" s="2" t="s">
        <v>15</v>
      </c>
      <c r="G578" s="2" t="s">
        <v>975</v>
      </c>
      <c r="H578" s="2" t="s">
        <v>64</v>
      </c>
      <c r="I578" s="2" t="str">
        <f>IFERROR(__xludf.DUMMYFUNCTION("GOOGLETRANSLATE(C578,""fr"",""en"")"),"I barely start with Direct Insurance. So I don't know yet. But it seems correct to me. The salespeople are very attentive. I wait to do my opinion.")</f>
        <v>I barely start with Direct Insurance. So I don't know yet. But it seems correct to me. The salespeople are very attentive. I wait to do my opinion.</v>
      </c>
    </row>
    <row r="579" ht="15.75" customHeight="1">
      <c r="A579" s="2">
        <v>5.0</v>
      </c>
      <c r="B579" s="2" t="s">
        <v>1680</v>
      </c>
      <c r="C579" s="2" t="s">
        <v>1681</v>
      </c>
      <c r="D579" s="2" t="s">
        <v>42</v>
      </c>
      <c r="E579" s="2" t="s">
        <v>21</v>
      </c>
      <c r="F579" s="2" t="s">
        <v>15</v>
      </c>
      <c r="G579" s="2" t="s">
        <v>49</v>
      </c>
      <c r="H579" s="2" t="s">
        <v>39</v>
      </c>
      <c r="I579" s="2" t="str">
        <f>IFERROR(__xludf.DUMMYFUNCTION("GOOGLETRANSLATE(C579,""fr"",""en"")"),"I think I made a good choice, the future will say. The insurance rate is correct for my small leisure car. The telephone reception is pleasant and responsive.")</f>
        <v>I think I made a good choice, the future will say. The insurance rate is correct for my small leisure car. The telephone reception is pleasant and responsive.</v>
      </c>
    </row>
    <row r="580" ht="15.75" customHeight="1">
      <c r="A580" s="2">
        <v>1.0</v>
      </c>
      <c r="B580" s="2" t="s">
        <v>1682</v>
      </c>
      <c r="C580" s="2" t="s">
        <v>1683</v>
      </c>
      <c r="D580" s="2" t="s">
        <v>285</v>
      </c>
      <c r="E580" s="2" t="s">
        <v>76</v>
      </c>
      <c r="F580" s="2" t="s">
        <v>15</v>
      </c>
      <c r="G580" s="2" t="s">
        <v>1684</v>
      </c>
      <c r="H580" s="2" t="s">
        <v>370</v>
      </c>
      <c r="I580" s="2" t="str">
        <f>IFERROR(__xludf.DUMMYFUNCTION("GOOGLETRANSLATE(C580,""fr"",""en"")"),"Cardif borrower insurance has been taken out for a car loan. Following an incapacity for work, the request for care remains unanswered after 5 months from cardif with the broker An Insurance in charge of the file. When I wish to contact Cardif directly, t"&amp;"he latter sends me back to the broker who remains unanswered.
Remaining without solution at the moment I hope this message will have a follow -up. I do not know the legal duration of response to a request for care in this case. However, it seems to me th"&amp;"at Cardif is certified ISO9001, I am therefore as a right customer to request the quality manual in which the process of taking charge of compensation should be stipulated if the latter cannot be provided I will be happy to write a complaint with Afnor")</f>
        <v>Cardif borrower insurance has been taken out for a car loan. Following an incapacity for work, the request for care remains unanswered after 5 months from cardif with the broker An Insurance in charge of the file. When I wish to contact Cardif directly, the latter sends me back to the broker who remains unanswered.
Remaining without solution at the moment I hope this message will have a follow -up. I do not know the legal duration of response to a request for care in this case. However, it seems to me that Cardif is certified ISO9001, I am therefore as a right customer to request the quality manual in which the process of taking charge of compensation should be stipulated if the latter cannot be provided I will be happy to write a complaint with Afnor</v>
      </c>
    </row>
    <row r="581" ht="15.75" customHeight="1">
      <c r="A581" s="2">
        <v>1.0</v>
      </c>
      <c r="B581" s="2" t="s">
        <v>1685</v>
      </c>
      <c r="C581" s="2" t="s">
        <v>1686</v>
      </c>
      <c r="D581" s="2" t="s">
        <v>81</v>
      </c>
      <c r="E581" s="2" t="s">
        <v>104</v>
      </c>
      <c r="F581" s="2" t="s">
        <v>15</v>
      </c>
      <c r="G581" s="2" t="s">
        <v>1687</v>
      </c>
      <c r="H581" s="2" t="s">
        <v>582</v>
      </c>
      <c r="I581" s="2" t="str">
        <f>IFERROR(__xludf.DUMMYFUNCTION("GOOGLETRANSLATE(C581,""fr"",""en"")"),"The service is poor, advise them hanging up on the nose with a disconcerting rudeness !!!
I have been waiting for a payment check since April 9, 2019 following an error on their part I still wait after. Their treatment deadlines are too long more than 1 "&amp;"month and demi to treat a mail and email 70 days even CAF is faster !!
Very much a shame given the contribution that our bosses pay for this pitiful service !!!")</f>
        <v>The service is poor, advise them hanging up on the nose with a disconcerting rudeness !!!
I have been waiting for a payment check since April 9, 2019 following an error on their part I still wait after. Their treatment deadlines are too long more than 1 month and demi to treat a mail and email 70 days even CAF is faster !!
Very much a shame given the contribution that our bosses pay for this pitiful service !!!</v>
      </c>
    </row>
    <row r="582" ht="15.75" customHeight="1">
      <c r="A582" s="2">
        <v>5.0</v>
      </c>
      <c r="B582" s="2" t="s">
        <v>1688</v>
      </c>
      <c r="C582" s="2" t="s">
        <v>1689</v>
      </c>
      <c r="D582" s="2" t="s">
        <v>20</v>
      </c>
      <c r="E582" s="2" t="s">
        <v>21</v>
      </c>
      <c r="F582" s="2" t="s">
        <v>15</v>
      </c>
      <c r="G582" s="2" t="s">
        <v>1690</v>
      </c>
      <c r="H582" s="2" t="s">
        <v>44</v>
      </c>
      <c r="I582" s="2" t="str">
        <f>IFERROR(__xludf.DUMMYFUNCTION("GOOGLETRANSLATE(C582,""fr"",""en"")"),"I am satisfied with the service
I always receive my documents in time
The price suits me
Employees are always cordial, friendly and available")</f>
        <v>I am satisfied with the service
I always receive my documents in time
The price suits me
Employees are always cordial, friendly and available</v>
      </c>
    </row>
    <row r="583" ht="15.75" customHeight="1">
      <c r="A583" s="2">
        <v>3.0</v>
      </c>
      <c r="B583" s="2" t="s">
        <v>1691</v>
      </c>
      <c r="C583" s="2" t="s">
        <v>1692</v>
      </c>
      <c r="D583" s="2" t="s">
        <v>81</v>
      </c>
      <c r="E583" s="2" t="s">
        <v>14</v>
      </c>
      <c r="F583" s="2" t="s">
        <v>15</v>
      </c>
      <c r="G583" s="2" t="s">
        <v>1693</v>
      </c>
      <c r="H583" s="2" t="s">
        <v>161</v>
      </c>
      <c r="I583" s="2" t="str">
        <f>IFERROR(__xludf.DUMMYFUNCTION("GOOGLETRANSLATE(C583,""fr"",""en"")")," Connection impossible with my account, even better, squarely it does not exist, it is painful, I wish to access my new quote, because I want to change guarantees! And above all a big incompetence in terms of employees, I telephoned to make sure of the re"&amp;"imbursement of a drug not reimbursed by the SS the person tells me that it is useless to send the invoice it is no! I reread my contract and I nevertheless send the invoice, the drug has been reimbursed to me, I specify that my contract provides 70 euros "&amp;"in reimbursements for certain medications! The person who responds, has our contract before you, it's dishonest it's a shame and it gives to think, do I stay at AG2R?")</f>
        <v> Connection impossible with my account, even better, squarely it does not exist, it is painful, I wish to access my new quote, because I want to change guarantees! And above all a big incompetence in terms of employees, I telephoned to make sure of the reimbursement of a drug not reimbursed by the SS the person tells me that it is useless to send the invoice it is no! I reread my contract and I nevertheless send the invoice, the drug has been reimbursed to me, I specify that my contract provides 70 euros in reimbursements for certain medications! The person who responds, has our contract before you, it's dishonest it's a shame and it gives to think, do I stay at AG2R?</v>
      </c>
    </row>
    <row r="584" ht="15.75" customHeight="1">
      <c r="A584" s="2">
        <v>1.0</v>
      </c>
      <c r="B584" s="2" t="s">
        <v>1694</v>
      </c>
      <c r="C584" s="2" t="s">
        <v>1695</v>
      </c>
      <c r="D584" s="2" t="s">
        <v>81</v>
      </c>
      <c r="E584" s="2" t="s">
        <v>104</v>
      </c>
      <c r="F584" s="2" t="s">
        <v>15</v>
      </c>
      <c r="G584" s="2" t="s">
        <v>1696</v>
      </c>
      <c r="H584" s="2" t="s">
        <v>106</v>
      </c>
      <c r="I584" s="2" t="str">
        <f>IFERROR(__xludf.DUMMYFUNCTION("GOOGLETRANSLATE(C584,""fr"",""en"")"),"I sent a letter on November 19, 2018 by letter followed for a request for a maternity leave, we are on March 13, 2019, I still have nothing. As soon as I call customer service, I am basically in stories, ect .. I find it unacceptable that people are mistr"&amp;"eated as well. seriously. We have rights and it is completely normal that we ask them, we have contributed for.")</f>
        <v>I sent a letter on November 19, 2018 by letter followed for a request for a maternity leave, we are on March 13, 2019, I still have nothing. As soon as I call customer service, I am basically in stories, ect .. I find it unacceptable that people are mistreated as well. seriously. We have rights and it is completely normal that we ask them, we have contributed for.</v>
      </c>
    </row>
    <row r="585" ht="15.75" customHeight="1">
      <c r="A585" s="2">
        <v>1.0</v>
      </c>
      <c r="B585" s="2" t="s">
        <v>1697</v>
      </c>
      <c r="C585" s="2" t="s">
        <v>1698</v>
      </c>
      <c r="D585" s="2" t="s">
        <v>62</v>
      </c>
      <c r="E585" s="2" t="s">
        <v>21</v>
      </c>
      <c r="F585" s="2" t="s">
        <v>15</v>
      </c>
      <c r="G585" s="2" t="s">
        <v>950</v>
      </c>
      <c r="H585" s="2" t="s">
        <v>44</v>
      </c>
      <c r="I585" s="2" t="str">
        <f>IFERROR(__xludf.DUMMYFUNCTION("GOOGLETRANSLATE(C585,""fr"",""en"")"),"Loading...")</f>
        <v>Loading...</v>
      </c>
    </row>
    <row r="586" ht="15.75" customHeight="1">
      <c r="A586" s="2">
        <v>1.0</v>
      </c>
      <c r="B586" s="2" t="s">
        <v>1699</v>
      </c>
      <c r="C586" s="2" t="s">
        <v>1700</v>
      </c>
      <c r="D586" s="2" t="s">
        <v>62</v>
      </c>
      <c r="E586" s="2" t="s">
        <v>129</v>
      </c>
      <c r="F586" s="2" t="s">
        <v>15</v>
      </c>
      <c r="G586" s="2" t="s">
        <v>1701</v>
      </c>
      <c r="H586" s="2" t="s">
        <v>193</v>
      </c>
      <c r="I586" s="2" t="str">
        <f>IFERROR(__xludf.DUMMYFUNCTION("GOOGLETRANSLATE(C586,""fr"",""en"")"),"In terms of follow -up they are not competent! The price is even too high compared to the skills of this insurance. .")</f>
        <v>In terms of follow -up they are not competent! The price is even too high compared to the skills of this insurance. .</v>
      </c>
    </row>
    <row r="587" ht="15.75" customHeight="1">
      <c r="A587" s="2">
        <v>4.0</v>
      </c>
      <c r="B587" s="2" t="s">
        <v>1702</v>
      </c>
      <c r="C587" s="2" t="s">
        <v>1703</v>
      </c>
      <c r="D587" s="2" t="s">
        <v>183</v>
      </c>
      <c r="E587" s="2" t="s">
        <v>14</v>
      </c>
      <c r="F587" s="2" t="s">
        <v>15</v>
      </c>
      <c r="G587" s="2" t="s">
        <v>903</v>
      </c>
      <c r="H587" s="2" t="s">
        <v>904</v>
      </c>
      <c r="I587" s="2" t="str">
        <f>IFERROR(__xludf.DUMMYFUNCTION("GOOGLETRANSLATE(C587,""fr"",""en"")"),"Since 2015, good contact with staff
On the other hand, the requests for care for hospitalization are very long to achieve hospitals")</f>
        <v>Since 2015, good contact with staff
On the other hand, the requests for care for hospitalization are very long to achieve hospitals</v>
      </c>
    </row>
    <row r="588" ht="15.75" customHeight="1">
      <c r="A588" s="2">
        <v>3.0</v>
      </c>
      <c r="B588" s="2" t="s">
        <v>1704</v>
      </c>
      <c r="C588" s="2" t="s">
        <v>1705</v>
      </c>
      <c r="D588" s="2" t="s">
        <v>20</v>
      </c>
      <c r="E588" s="2" t="s">
        <v>21</v>
      </c>
      <c r="F588" s="2" t="s">
        <v>15</v>
      </c>
      <c r="G588" s="2" t="s">
        <v>1706</v>
      </c>
      <c r="H588" s="2" t="s">
        <v>548</v>
      </c>
      <c r="I588" s="2" t="str">
        <f>IFERROR(__xludf.DUMMYFUNCTION("GOOGLETRANSLATE(C588,""fr"",""en"")"),"GMF is a good complete and competitive insurance")</f>
        <v>GMF is a good complete and competitive insurance</v>
      </c>
    </row>
    <row r="589" ht="15.75" customHeight="1">
      <c r="A589" s="2">
        <v>1.0</v>
      </c>
      <c r="B589" s="2" t="s">
        <v>1707</v>
      </c>
      <c r="C589" s="2" t="s">
        <v>1708</v>
      </c>
      <c r="D589" s="2" t="s">
        <v>137</v>
      </c>
      <c r="E589" s="2" t="s">
        <v>21</v>
      </c>
      <c r="F589" s="2" t="s">
        <v>15</v>
      </c>
      <c r="G589" s="2" t="s">
        <v>1709</v>
      </c>
      <c r="H589" s="2" t="s">
        <v>287</v>
      </c>
      <c r="I589" s="2" t="str">
        <f>IFERROR(__xludf.DUMMYFUNCTION("GOOGLETRANSLATE(C589,""fr"",""en"")"),"Cata telephonic reception. We answer you that if it is to obtain a quote or new customer; Otherwise go brush")</f>
        <v>Cata telephonic reception. We answer you that if it is to obtain a quote or new customer; Otherwise go brush</v>
      </c>
    </row>
    <row r="590" ht="15.75" customHeight="1">
      <c r="A590" s="2">
        <v>3.0</v>
      </c>
      <c r="B590" s="2" t="s">
        <v>1710</v>
      </c>
      <c r="C590" s="2" t="s">
        <v>1711</v>
      </c>
      <c r="D590" s="2" t="s">
        <v>368</v>
      </c>
      <c r="E590" s="2" t="s">
        <v>21</v>
      </c>
      <c r="F590" s="2" t="s">
        <v>15</v>
      </c>
      <c r="G590" s="2" t="s">
        <v>1712</v>
      </c>
      <c r="H590" s="2" t="s">
        <v>92</v>
      </c>
      <c r="I590" s="2" t="str">
        <f>IFERROR(__xludf.DUMMYFUNCTION("GOOGLETRANSLATE(C590,""fr"",""en"")"),"I passed my license to 17 and a half thanks to accompanied driving. So I have an 8 -month certificate. I have just been 18 years old and want to find insurance for the car that my father will give me. I contact Active Assurance, the cheapest on the compar"&amp;"ators, and I am told that I cannot be made because my document has more than 2 months. How could it be otherwise since I have been permit for 8 months. In short, accompanied driving is not a plus for them. They told me to come back with the definitive per"&amp;"mit, to the goodwill of the administration. Conclusion: Active Insurance should improve taking into account the benefits of accompanied driving. Really disappointed.")</f>
        <v>I passed my license to 17 and a half thanks to accompanied driving. So I have an 8 -month certificate. I have just been 18 years old and want to find insurance for the car that my father will give me. I contact Active Assurance, the cheapest on the comparators, and I am told that I cannot be made because my document has more than 2 months. How could it be otherwise since I have been permit for 8 months. In short, accompanied driving is not a plus for them. They told me to come back with the definitive permit, to the goodwill of the administration. Conclusion: Active Insurance should improve taking into account the benefits of accompanied driving. Really disappointed.</v>
      </c>
    </row>
    <row r="591" ht="15.75" customHeight="1">
      <c r="A591" s="2">
        <v>4.0</v>
      </c>
      <c r="B591" s="2" t="s">
        <v>1713</v>
      </c>
      <c r="C591" s="2" t="s">
        <v>1714</v>
      </c>
      <c r="D591" s="2" t="s">
        <v>31</v>
      </c>
      <c r="E591" s="2" t="s">
        <v>32</v>
      </c>
      <c r="F591" s="2" t="s">
        <v>15</v>
      </c>
      <c r="G591" s="2" t="s">
        <v>1715</v>
      </c>
      <c r="H591" s="2" t="s">
        <v>39</v>
      </c>
      <c r="I591" s="2" t="str">
        <f>IFERROR(__xludf.DUMMYFUNCTION("GOOGLETRANSLATE(C591,""fr"",""en"")"),"Satisfy the service for the moment but I'm waiting to see the time, the responsiveness of this new insurer.
I am already assured at Pacifica for another vehicle so I will make the comparison.
")</f>
        <v>Satisfy the service for the moment but I'm waiting to see the time, the responsiveness of this new insurer.
I am already assured at Pacifica for another vehicle so I will make the comparison.
</v>
      </c>
    </row>
    <row r="592" ht="15.75" customHeight="1">
      <c r="A592" s="2">
        <v>2.0</v>
      </c>
      <c r="B592" s="2" t="s">
        <v>1716</v>
      </c>
      <c r="C592" s="2" t="s">
        <v>1717</v>
      </c>
      <c r="D592" s="2" t="s">
        <v>250</v>
      </c>
      <c r="E592" s="2" t="s">
        <v>21</v>
      </c>
      <c r="F592" s="2" t="s">
        <v>15</v>
      </c>
      <c r="G592" s="2" t="s">
        <v>858</v>
      </c>
      <c r="H592" s="2" t="s">
        <v>362</v>
      </c>
      <c r="I592" s="2" t="str">
        <f>IFERROR(__xludf.DUMMYFUNCTION("GOOGLETRANSLATE(C592,""fr"",""en"")"),"Far too expensive for the minimum guaranteed and without option does not reimburse anything
I change the company
Despite 23 years of contributions
Hope not to regret my chiix
")</f>
        <v>Far too expensive for the minimum guaranteed and without option does not reimburse anything
I change the company
Despite 23 years of contributions
Hope not to regret my chiix
</v>
      </c>
    </row>
    <row r="593" ht="15.75" customHeight="1">
      <c r="A593" s="2">
        <v>4.0</v>
      </c>
      <c r="B593" s="2" t="s">
        <v>1718</v>
      </c>
      <c r="C593" s="2" t="s">
        <v>1719</v>
      </c>
      <c r="D593" s="2" t="s">
        <v>250</v>
      </c>
      <c r="E593" s="2" t="s">
        <v>21</v>
      </c>
      <c r="F593" s="2" t="s">
        <v>15</v>
      </c>
      <c r="G593" s="2" t="s">
        <v>1720</v>
      </c>
      <c r="H593" s="2" t="s">
        <v>50</v>
      </c>
      <c r="I593" s="2" t="str">
        <f>IFERROR(__xludf.DUMMYFUNCTION("GOOGLETRANSLATE(C593,""fr"",""en"")"),"Normally, the price is high, and it does not seem reasonable to pay so much for this insurance ?? Because life is not easy with this situation that we cross with Kovid-19.")</f>
        <v>Normally, the price is high, and it does not seem reasonable to pay so much for this insurance ?? Because life is not easy with this situation that we cross with Kovid-19.</v>
      </c>
    </row>
    <row r="594" ht="15.75" customHeight="1">
      <c r="A594" s="2">
        <v>5.0</v>
      </c>
      <c r="B594" s="2" t="s">
        <v>1721</v>
      </c>
      <c r="C594" s="2" t="s">
        <v>1722</v>
      </c>
      <c r="D594" s="2" t="s">
        <v>62</v>
      </c>
      <c r="E594" s="2" t="s">
        <v>21</v>
      </c>
      <c r="F594" s="2" t="s">
        <v>15</v>
      </c>
      <c r="G594" s="2" t="s">
        <v>144</v>
      </c>
      <c r="H594" s="2" t="s">
        <v>44</v>
      </c>
      <c r="I594" s="2" t="str">
        <f>IFERROR(__xludf.DUMMYFUNCTION("GOOGLETRANSLATE(C594,""fr"",""en"")"),"Very effective and good service.
I recommend direct insurance and the sponsorship code for family is very advantageous. Very warm telephone.
")</f>
        <v>Very effective and good service.
I recommend direct insurance and the sponsorship code for family is very advantageous. Very warm telephone.
</v>
      </c>
    </row>
    <row r="595" ht="15.75" customHeight="1">
      <c r="A595" s="2">
        <v>3.0</v>
      </c>
      <c r="B595" s="2" t="s">
        <v>1723</v>
      </c>
      <c r="C595" s="2" t="s">
        <v>1724</v>
      </c>
      <c r="D595" s="2" t="s">
        <v>42</v>
      </c>
      <c r="E595" s="2" t="s">
        <v>21</v>
      </c>
      <c r="F595" s="2" t="s">
        <v>15</v>
      </c>
      <c r="G595" s="2" t="s">
        <v>119</v>
      </c>
      <c r="H595" s="2" t="s">
        <v>59</v>
      </c>
      <c r="I595" s="2" t="str">
        <f>IFERROR(__xludf.DUMMYFUNCTION("GOOGLETRANSLATE(C595,""fr"",""en"")"),"satisfy but slightly high prices compared to the competitor
Quick Telephonic Service
I have 2 vehicles
Once I broke down and the repair was included in my contract, my saved.")</f>
        <v>satisfy but slightly high prices compared to the competitor
Quick Telephonic Service
I have 2 vehicles
Once I broke down and the repair was included in my contract, my saved.</v>
      </c>
    </row>
    <row r="596" ht="15.75" customHeight="1">
      <c r="A596" s="2">
        <v>3.0</v>
      </c>
      <c r="B596" s="2" t="s">
        <v>1725</v>
      </c>
      <c r="C596" s="2" t="s">
        <v>1726</v>
      </c>
      <c r="D596" s="2" t="s">
        <v>67</v>
      </c>
      <c r="E596" s="2" t="s">
        <v>32</v>
      </c>
      <c r="F596" s="2" t="s">
        <v>15</v>
      </c>
      <c r="G596" s="2" t="s">
        <v>572</v>
      </c>
      <c r="H596" s="2" t="s">
        <v>154</v>
      </c>
      <c r="I596" s="2" t="str">
        <f>IFERROR(__xludf.DUMMYFUNCTION("GOOGLETRANSLATE(C596,""fr"",""en"")"),"After a liable loss, I was able to undergo their approaches which are far from being clear to their client.
Passage of the expert in a garage where there was no possible repair = useless and paid security fees of my pocket
Passage of a second expert, "&amp;"decision to sell the motorcycle (RIV), except that it is a subcontractor who takes care of the procedures, AMV does not master deadlines or the subcontracting, it is the customer who must Recall the people concerned (garage, expert, subcontractor who make"&amp;"s the papers ...) to advance the file!
Very tedious and wearing! Especially when we give optimisite deadlines ""Yes yes it goes fast, you can have the refund within two weeks"", a month later it still drags ...
Payment is at the Compta service ...
"&amp;"Pfff
")</f>
        <v>After a liable loss, I was able to undergo their approaches which are far from being clear to their client.
Passage of the expert in a garage where there was no possible repair = useless and paid security fees of my pocket
Passage of a second expert, decision to sell the motorcycle (RIV), except that it is a subcontractor who takes care of the procedures, AMV does not master deadlines or the subcontracting, it is the customer who must Recall the people concerned (garage, expert, subcontractor who makes the papers ...) to advance the file!
Very tedious and wearing! Especially when we give optimisite deadlines "Yes yes it goes fast, you can have the refund within two weeks", a month later it still drags ...
Payment is at the Compta service ...
Pfff
</v>
      </c>
    </row>
    <row r="597" ht="15.75" customHeight="1">
      <c r="A597" s="2">
        <v>1.0</v>
      </c>
      <c r="B597" s="2" t="s">
        <v>1727</v>
      </c>
      <c r="C597" s="2" t="s">
        <v>1728</v>
      </c>
      <c r="D597" s="2" t="s">
        <v>137</v>
      </c>
      <c r="E597" s="2" t="s">
        <v>32</v>
      </c>
      <c r="F597" s="2" t="s">
        <v>15</v>
      </c>
      <c r="G597" s="2" t="s">
        <v>1729</v>
      </c>
      <c r="H597" s="2" t="s">
        <v>23</v>
      </c>
      <c r="I597" s="2" t="str">
        <f>IFERROR(__xludf.DUMMYFUNCTION("GOOGLETRANSLATE(C597,""fr"",""en"")"),"Loading...")</f>
        <v>Loading...</v>
      </c>
    </row>
    <row r="598" ht="15.75" customHeight="1">
      <c r="A598" s="2">
        <v>1.0</v>
      </c>
      <c r="B598" s="2" t="s">
        <v>1730</v>
      </c>
      <c r="C598" s="2" t="s">
        <v>1731</v>
      </c>
      <c r="D598" s="2" t="s">
        <v>196</v>
      </c>
      <c r="E598" s="2" t="s">
        <v>21</v>
      </c>
      <c r="F598" s="2" t="s">
        <v>15</v>
      </c>
      <c r="G598" s="2" t="s">
        <v>1335</v>
      </c>
      <c r="H598" s="2" t="s">
        <v>429</v>
      </c>
      <c r="I598" s="2" t="str">
        <f>IFERROR(__xludf.DUMMYFUNCTION("GOOGLETRANSLATE(C598,""fr"",""en"")"),"I was struck off by Pacifica self -insurance pretending 3 claims (on or right), while I had several contracts with them (mobile, housing and car), a mortgage with agricultural credit insurance etc ... and After information with my bank advisor, she told m"&amp;"e a little that I was not the only customer to complain about these Pacifica Auto practices. So it doesn't matter whether you are a good customer with several Pacifica or not, ... Pacifica wants to pocket customers' money and especially do not support som"&amp;"e claims under penalty of being excluded. And then it is the galley to be accepted elsewhere. We spend for a bad guest customer who would spend his time creating accidents. I would have preferred to leave by myself knowing that he no longer wishes to insu"&amp;"re me in order to be insured without difficulty elsewhere. It is out of the question to continue to give money to this insurance with my other contracts at home). I am still assured Pacifica for my mobile and I am about to terminate for the end of this ye"&amp;"ar, something I have already done for my Pacifica Housing insurance. Again I found better elsewhere ....")</f>
        <v>I was struck off by Pacifica self -insurance pretending 3 claims (on or right), while I had several contracts with them (mobile, housing and car), a mortgage with agricultural credit insurance etc ... and After information with my bank advisor, she told me a little that I was not the only customer to complain about these Pacifica Auto practices. So it doesn't matter whether you are a good customer with several Pacifica or not, ... Pacifica wants to pocket customers' money and especially do not support some claims under penalty of being excluded. And then it is the galley to be accepted elsewhere. We spend for a bad guest customer who would spend his time creating accidents. I would have preferred to leave by myself knowing that he no longer wishes to insure me in order to be insured without difficulty elsewhere. It is out of the question to continue to give money to this insurance with my other contracts at home). I am still assured Pacifica for my mobile and I am about to terminate for the end of this year, something I have already done for my Pacifica Housing insurance. Again I found better elsewhere ....</v>
      </c>
    </row>
    <row r="599" ht="15.75" customHeight="1">
      <c r="A599" s="2">
        <v>3.0</v>
      </c>
      <c r="B599" s="2" t="s">
        <v>1732</v>
      </c>
      <c r="C599" s="2" t="s">
        <v>1733</v>
      </c>
      <c r="D599" s="2" t="s">
        <v>62</v>
      </c>
      <c r="E599" s="2" t="s">
        <v>21</v>
      </c>
      <c r="F599" s="2" t="s">
        <v>15</v>
      </c>
      <c r="G599" s="2" t="s">
        <v>144</v>
      </c>
      <c r="H599" s="2" t="s">
        <v>44</v>
      </c>
      <c r="I599" s="2" t="str">
        <f>IFERROR(__xludf.DUMMYFUNCTION("GOOGLETRANSLATE(C599,""fr"",""en"")"),"Loading...")</f>
        <v>Loading...</v>
      </c>
    </row>
    <row r="600" ht="15.75" customHeight="1">
      <c r="A600" s="2">
        <v>3.0</v>
      </c>
      <c r="B600" s="2" t="s">
        <v>1734</v>
      </c>
      <c r="C600" s="2" t="s">
        <v>1735</v>
      </c>
      <c r="D600" s="2" t="s">
        <v>99</v>
      </c>
      <c r="E600" s="2" t="s">
        <v>21</v>
      </c>
      <c r="F600" s="2" t="s">
        <v>15</v>
      </c>
      <c r="G600" s="2" t="s">
        <v>1736</v>
      </c>
      <c r="H600" s="2" t="s">
        <v>17</v>
      </c>
      <c r="I600" s="2" t="str">
        <f>IFERROR(__xludf.DUMMYFUNCTION("GOOGLETRANSLATE(C600,""fr"",""en"")"),"Insured for 20 years at Maif and having had several claims, whether for my home or my vehicles I am completely satisfied with the services of this insurer.")</f>
        <v>Insured for 20 years at Maif and having had several claims, whether for my home or my vehicles I am completely satisfied with the services of this insurer.</v>
      </c>
    </row>
    <row r="601" ht="15.75" customHeight="1">
      <c r="A601" s="2">
        <v>4.0</v>
      </c>
      <c r="B601" s="2" t="s">
        <v>1737</v>
      </c>
      <c r="C601" s="2" t="s">
        <v>1738</v>
      </c>
      <c r="D601" s="2" t="s">
        <v>20</v>
      </c>
      <c r="E601" s="2" t="s">
        <v>21</v>
      </c>
      <c r="F601" s="2" t="s">
        <v>15</v>
      </c>
      <c r="G601" s="2" t="s">
        <v>221</v>
      </c>
      <c r="H601" s="2" t="s">
        <v>123</v>
      </c>
      <c r="I601" s="2" t="str">
        <f>IFERROR(__xludf.DUMMYFUNCTION("GOOGLETRANSLATE(C601,""fr"",""en"")"),"No complaints, everything is going well, the prices are up to our expectations. The agency is accessible locally and with local and ""not expatriate interlocutors in various countries ....""")</f>
        <v>No complaints, everything is going well, the prices are up to our expectations. The agency is accessible locally and with local and "not expatriate interlocutors in various countries ...."</v>
      </c>
    </row>
    <row r="602" ht="15.75" customHeight="1">
      <c r="A602" s="2">
        <v>4.0</v>
      </c>
      <c r="B602" s="2" t="s">
        <v>1739</v>
      </c>
      <c r="C602" s="2" t="s">
        <v>1740</v>
      </c>
      <c r="D602" s="2" t="s">
        <v>42</v>
      </c>
      <c r="E602" s="2" t="s">
        <v>21</v>
      </c>
      <c r="F602" s="2" t="s">
        <v>15</v>
      </c>
      <c r="G602" s="2" t="s">
        <v>1262</v>
      </c>
      <c r="H602" s="2" t="s">
        <v>123</v>
      </c>
      <c r="I602" s="2" t="str">
        <f>IFERROR(__xludf.DUMMYFUNCTION("GOOGLETRANSLATE(C602,""fr"",""en"")"),"I am quite satisfied
The price is attractive for a young driver like me
I hope to be able to drive in peace on the road from now
")</f>
        <v>I am quite satisfied
The price is attractive for a young driver like me
I hope to be able to drive in peace on the road from now
</v>
      </c>
    </row>
    <row r="603" ht="15.75" customHeight="1">
      <c r="A603" s="2">
        <v>1.0</v>
      </c>
      <c r="B603" s="2" t="s">
        <v>1741</v>
      </c>
      <c r="C603" s="2" t="s">
        <v>1742</v>
      </c>
      <c r="D603" s="2" t="s">
        <v>62</v>
      </c>
      <c r="E603" s="2" t="s">
        <v>21</v>
      </c>
      <c r="F603" s="2" t="s">
        <v>15</v>
      </c>
      <c r="G603" s="2" t="s">
        <v>1743</v>
      </c>
      <c r="H603" s="2" t="s">
        <v>266</v>
      </c>
      <c r="I603" s="2" t="str">
        <f>IFERROR(__xludf.DUMMYFUNCTION("GOOGLETRANSLATE(C603,""fr"",""en"")"),"Loading...")</f>
        <v>Loading...</v>
      </c>
    </row>
    <row r="604" ht="15.75" customHeight="1">
      <c r="A604" s="2">
        <v>5.0</v>
      </c>
      <c r="B604" s="2" t="s">
        <v>1744</v>
      </c>
      <c r="C604" s="2" t="s">
        <v>1745</v>
      </c>
      <c r="D604" s="2" t="s">
        <v>42</v>
      </c>
      <c r="E604" s="2" t="s">
        <v>21</v>
      </c>
      <c r="F604" s="2" t="s">
        <v>15</v>
      </c>
      <c r="G604" s="2" t="s">
        <v>1746</v>
      </c>
      <c r="H604" s="2" t="s">
        <v>28</v>
      </c>
      <c r="I604" s="2" t="str">
        <f>IFERROR(__xludf.DUMMYFUNCTION("GOOGLETRANSLATE(C604,""fr"",""en"")"),"Super cheap insurance and fast management in the event of an accident or broken ice.
Or always respond to my requests ............................................... .................................................. ....................................."&amp;"............. ......")</f>
        <v>Super cheap insurance and fast management in the event of an accident or broken ice.
Or always respond to my requests ............................................... .................................................. .................................................. ......</v>
      </c>
    </row>
    <row r="605" ht="15.75" customHeight="1">
      <c r="A605" s="2">
        <v>5.0</v>
      </c>
      <c r="B605" s="2" t="s">
        <v>1747</v>
      </c>
      <c r="C605" s="2" t="s">
        <v>1748</v>
      </c>
      <c r="D605" s="2" t="s">
        <v>42</v>
      </c>
      <c r="E605" s="2" t="s">
        <v>21</v>
      </c>
      <c r="F605" s="2" t="s">
        <v>15</v>
      </c>
      <c r="G605" s="2" t="s">
        <v>1749</v>
      </c>
      <c r="H605" s="2" t="s">
        <v>957</v>
      </c>
      <c r="I605" s="2" t="str">
        <f>IFERROR(__xludf.DUMMYFUNCTION("GOOGLETRANSLATE(C605,""fr"",""en"")"),"Customer for almost 5 years, satisfied with the services
prices
Never dispute or accident, to see as to the guarantees but I think that the olive tree will be by the side")</f>
        <v>Customer for almost 5 years, satisfied with the services
prices
Never dispute or accident, to see as to the guarantees but I think that the olive tree will be by the side</v>
      </c>
    </row>
    <row r="606" ht="15.75" customHeight="1">
      <c r="A606" s="2">
        <v>3.0</v>
      </c>
      <c r="B606" s="2" t="s">
        <v>1750</v>
      </c>
      <c r="C606" s="2" t="s">
        <v>1751</v>
      </c>
      <c r="D606" s="2" t="s">
        <v>62</v>
      </c>
      <c r="E606" s="2" t="s">
        <v>21</v>
      </c>
      <c r="F606" s="2" t="s">
        <v>15</v>
      </c>
      <c r="G606" s="2" t="s">
        <v>1752</v>
      </c>
      <c r="H606" s="2" t="s">
        <v>64</v>
      </c>
      <c r="I606" s="2" t="str">
        <f>IFERROR(__xludf.DUMMYFUNCTION("GOOGLETRANSLATE(C606,""fr"",""en"")"),"I am satisfied with the service, but I cannot modify the SMS confirmation number to confirm the signing of the contract.
Otherwise the prices are affordable.")</f>
        <v>I am satisfied with the service, but I cannot modify the SMS confirmation number to confirm the signing of the contract.
Otherwise the prices are affordable.</v>
      </c>
    </row>
    <row r="607" ht="15.75" customHeight="1">
      <c r="A607" s="2">
        <v>3.0</v>
      </c>
      <c r="B607" s="2" t="s">
        <v>1753</v>
      </c>
      <c r="C607" s="2" t="s">
        <v>1754</v>
      </c>
      <c r="D607" s="2" t="s">
        <v>62</v>
      </c>
      <c r="E607" s="2" t="s">
        <v>21</v>
      </c>
      <c r="F607" s="2" t="s">
        <v>15</v>
      </c>
      <c r="G607" s="2" t="s">
        <v>1755</v>
      </c>
      <c r="H607" s="2" t="s">
        <v>723</v>
      </c>
      <c r="I607" s="2" t="str">
        <f>IFERROR(__xludf.DUMMYFUNCTION("GOOGLETRANSLATE(C607,""fr"",""en"")"),"I was a customer at Direct Insurance. I had a delay in paying my subscription following accounting problems, I paid an account of 3oo euros on the annual subscription which is 757 euros. 2 months later I was canceled my contract MADERS sends it from the r"&amp;"est of the subscription, i.e. 457 euros. No matter how much I explain and re -xplicate the situation but they wanted to understand nothing, but they took care to worry about my situation by recommending me to one of their partner. A little burlesque situa"&amp;"tion anyway. I had recommended direct insurance to my two children but I admit that I will never recommend this company to anyone again.")</f>
        <v>I was a customer at Direct Insurance. I had a delay in paying my subscription following accounting problems, I paid an account of 3oo euros on the annual subscription which is 757 euros. 2 months later I was canceled my contract MADERS sends it from the rest of the subscription, i.e. 457 euros. No matter how much I explain and re -xplicate the situation but they wanted to understand nothing, but they took care to worry about my situation by recommending me to one of their partner. A little burlesque situation anyway. I had recommended direct insurance to my two children but I admit that I will never recommend this company to anyone again.</v>
      </c>
    </row>
    <row r="608" ht="15.75" customHeight="1">
      <c r="A608" s="2">
        <v>2.0</v>
      </c>
      <c r="B608" s="2" t="s">
        <v>1756</v>
      </c>
      <c r="C608" s="2" t="s">
        <v>1757</v>
      </c>
      <c r="D608" s="2" t="s">
        <v>99</v>
      </c>
      <c r="E608" s="2" t="s">
        <v>129</v>
      </c>
      <c r="F608" s="2" t="s">
        <v>15</v>
      </c>
      <c r="G608" s="2" t="s">
        <v>1758</v>
      </c>
      <c r="H608" s="2" t="s">
        <v>886</v>
      </c>
      <c r="I608" s="2" t="str">
        <f>IFERROR(__xludf.DUMMYFUNCTION("GOOGLETRANSLATE(C608,""fr"",""en"")"),"Customer for 30 years without claim I do not appreciate that they take 17 euros for change of address")</f>
        <v>Customer for 30 years without claim I do not appreciate that they take 17 euros for change of address</v>
      </c>
    </row>
    <row r="609" ht="15.75" customHeight="1">
      <c r="A609" s="2">
        <v>5.0</v>
      </c>
      <c r="B609" s="2" t="s">
        <v>1759</v>
      </c>
      <c r="C609" s="2" t="s">
        <v>1760</v>
      </c>
      <c r="D609" s="2" t="s">
        <v>418</v>
      </c>
      <c r="E609" s="2" t="s">
        <v>76</v>
      </c>
      <c r="F609" s="2" t="s">
        <v>15</v>
      </c>
      <c r="G609" s="2" t="s">
        <v>704</v>
      </c>
      <c r="H609" s="2" t="s">
        <v>34</v>
      </c>
      <c r="I609" s="2" t="str">
        <f>IFERROR(__xludf.DUMMYFUNCTION("GOOGLETRANSLATE(C609,""fr"",""en"")"),"Loading...")</f>
        <v>Loading...</v>
      </c>
    </row>
    <row r="610" ht="15.75" customHeight="1">
      <c r="A610" s="2">
        <v>1.0</v>
      </c>
      <c r="B610" s="2" t="s">
        <v>1761</v>
      </c>
      <c r="C610" s="2" t="s">
        <v>1762</v>
      </c>
      <c r="D610" s="2" t="s">
        <v>62</v>
      </c>
      <c r="E610" s="2" t="s">
        <v>21</v>
      </c>
      <c r="F610" s="2" t="s">
        <v>15</v>
      </c>
      <c r="G610" s="2" t="s">
        <v>1763</v>
      </c>
      <c r="H610" s="2" t="s">
        <v>304</v>
      </c>
      <c r="I610" s="2" t="str">
        <f>IFERROR(__xludf.DUMMYFUNCTION("GOOGLETRANSLATE(C610,""fr"",""en"")"),"Sinister occurring around 2 months ago where the third party is 100 to be responsible. Friendly conduct, third party certificate. No progress, no information. Direct Insurance tells me to be waiting for a so -called expertise of their expert. Not to under"&amp;"stand anything, because the opposing party has completely recognized its responsibility. It is during disaster that we see the effectiveness or not of an insurer.")</f>
        <v>Sinister occurring around 2 months ago where the third party is 100 to be responsible. Friendly conduct, third party certificate. No progress, no information. Direct Insurance tells me to be waiting for a so -called expertise of their expert. Not to understand anything, because the opposing party has completely recognized its responsibility. It is during disaster that we see the effectiveness or not of an insurer.</v>
      </c>
    </row>
    <row r="611" ht="15.75" customHeight="1">
      <c r="A611" s="2">
        <v>4.0</v>
      </c>
      <c r="B611" s="2" t="s">
        <v>1764</v>
      </c>
      <c r="C611" s="2" t="s">
        <v>1765</v>
      </c>
      <c r="D611" s="2" t="s">
        <v>42</v>
      </c>
      <c r="E611" s="2" t="s">
        <v>21</v>
      </c>
      <c r="F611" s="2" t="s">
        <v>15</v>
      </c>
      <c r="G611" s="2" t="s">
        <v>1628</v>
      </c>
      <c r="H611" s="2" t="s">
        <v>54</v>
      </c>
      <c r="I611" s="2" t="str">
        <f>IFERROR(__xludf.DUMMYFUNCTION("GOOGLETRANSLATE(C611,""fr"",""en"")"),"This insurance is very fast, also not very expensive. In 10 minute my registration was made, no difficulty in filling the documents and this in addition without ruined me.")</f>
        <v>This insurance is very fast, also not very expensive. In 10 minute my registration was made, no difficulty in filling the documents and this in addition without ruined me.</v>
      </c>
    </row>
    <row r="612" ht="15.75" customHeight="1">
      <c r="A612" s="2">
        <v>3.0</v>
      </c>
      <c r="B612" s="2" t="s">
        <v>1766</v>
      </c>
      <c r="C612" s="2" t="s">
        <v>1767</v>
      </c>
      <c r="D612" s="2" t="s">
        <v>183</v>
      </c>
      <c r="E612" s="2" t="s">
        <v>14</v>
      </c>
      <c r="F612" s="2" t="s">
        <v>15</v>
      </c>
      <c r="G612" s="2" t="s">
        <v>1768</v>
      </c>
      <c r="H612" s="2" t="s">
        <v>39</v>
      </c>
      <c r="I612" s="2" t="str">
        <f>IFERROR(__xludf.DUMMYFUNCTION("GOOGLETRANSLATE(C612,""fr"",""en"")"),"No hindsight yet to note. But I thank the Balde advising him for his kindness, her listening and his speed of action. It deserves a 5/5. The Teleph Answer
telephone is fast.")</f>
        <v>No hindsight yet to note. But I thank the Balde advising him for his kindness, her listening and his speed of action. It deserves a 5/5. The Teleph Answer
telephone is fast.</v>
      </c>
    </row>
    <row r="613" ht="15.75" customHeight="1">
      <c r="A613" s="2">
        <v>1.0</v>
      </c>
      <c r="B613" s="2" t="s">
        <v>1769</v>
      </c>
      <c r="C613" s="2" t="s">
        <v>1770</v>
      </c>
      <c r="D613" s="2" t="s">
        <v>137</v>
      </c>
      <c r="E613" s="2" t="s">
        <v>21</v>
      </c>
      <c r="F613" s="2" t="s">
        <v>15</v>
      </c>
      <c r="G613" s="2" t="s">
        <v>287</v>
      </c>
      <c r="H613" s="2" t="s">
        <v>287</v>
      </c>
      <c r="I613" s="2" t="str">
        <f>IFERROR(__xludf.DUMMYFUNCTION("GOOGLETRANSLATE(C613,""fr"",""en"")"),"It is better not to have a claim .... even without responsibility, otherwise they increase the franchise, and if you do not answer, they saw you")</f>
        <v>It is better not to have a claim .... even without responsibility, otherwise they increase the franchise, and if you do not answer, they saw you</v>
      </c>
    </row>
    <row r="614" ht="15.75" customHeight="1">
      <c r="A614" s="2">
        <v>1.0</v>
      </c>
      <c r="B614" s="2" t="s">
        <v>1771</v>
      </c>
      <c r="C614" s="2" t="s">
        <v>1772</v>
      </c>
      <c r="D614" s="2" t="s">
        <v>255</v>
      </c>
      <c r="E614" s="2" t="s">
        <v>21</v>
      </c>
      <c r="F614" s="2" t="s">
        <v>15</v>
      </c>
      <c r="G614" s="2" t="s">
        <v>1773</v>
      </c>
      <c r="H614" s="2" t="s">
        <v>548</v>
      </c>
      <c r="I614" s="2" t="str">
        <f>IFERROR(__xludf.DUMMYFUNCTION("GOOGLETRANSLATE(C614,""fr"",""en"")"),"I am a loyal customer 10 years in the Allianz group today I am faced with having to change insurance. My partner had two clashes in a parking lot she was not stipulated on the contract. The agency decided to put us in the two of us following a request to "&amp;"take up information ???????
Second despite the email shipment, recommended. vehicle session paper The agency continues to take the monthly payments ????
Of course we leave with family members to avoid any future concerns
")</f>
        <v>I am a loyal customer 10 years in the Allianz group today I am faced with having to change insurance. My partner had two clashes in a parking lot she was not stipulated on the contract. The agency decided to put us in the two of us following a request to take up information ???????
Second despite the email shipment, recommended. vehicle session paper The agency continues to take the monthly payments ????
Of course we leave with family members to avoid any future concerns
</v>
      </c>
    </row>
    <row r="615" ht="15.75" customHeight="1">
      <c r="A615" s="2">
        <v>4.0</v>
      </c>
      <c r="B615" s="2" t="s">
        <v>1774</v>
      </c>
      <c r="C615" s="2" t="s">
        <v>1775</v>
      </c>
      <c r="D615" s="2" t="s">
        <v>42</v>
      </c>
      <c r="E615" s="2" t="s">
        <v>21</v>
      </c>
      <c r="F615" s="2" t="s">
        <v>15</v>
      </c>
      <c r="G615" s="2" t="s">
        <v>1776</v>
      </c>
      <c r="H615" s="2" t="s">
        <v>54</v>
      </c>
      <c r="I615" s="2" t="str">
        <f>IFERROR(__xludf.DUMMYFUNCTION("GOOGLETRANSLATE(C615,""fr"",""en"")"),"Loading...")</f>
        <v>Loading...</v>
      </c>
    </row>
    <row r="616" ht="15.75" customHeight="1">
      <c r="A616" s="2">
        <v>4.0</v>
      </c>
      <c r="B616" s="2" t="s">
        <v>1777</v>
      </c>
      <c r="C616" s="2" t="s">
        <v>1778</v>
      </c>
      <c r="D616" s="2" t="s">
        <v>62</v>
      </c>
      <c r="E616" s="2" t="s">
        <v>129</v>
      </c>
      <c r="F616" s="2" t="s">
        <v>15</v>
      </c>
      <c r="G616" s="2" t="s">
        <v>1779</v>
      </c>
      <c r="H616" s="2" t="s">
        <v>252</v>
      </c>
      <c r="I616" s="2" t="str">
        <f>IFERROR(__xludf.DUMMYFUNCTION("GOOGLETRANSLATE(C616,""fr"",""en"")"),"Nothing to declaire in particular, correct price, I did not have a disaster and I touch wood so that it does not happen, but I trust Direct Assurance which, I think, no longer has to prove a positive reputation.")</f>
        <v>Nothing to declaire in particular, correct price, I did not have a disaster and I touch wood so that it does not happen, but I trust Direct Assurance which, I think, no longer has to prove a positive reputation.</v>
      </c>
    </row>
    <row r="617" ht="15.75" customHeight="1">
      <c r="A617" s="2">
        <v>5.0</v>
      </c>
      <c r="B617" s="2" t="s">
        <v>1780</v>
      </c>
      <c r="C617" s="2" t="s">
        <v>1781</v>
      </c>
      <c r="D617" s="2" t="s">
        <v>42</v>
      </c>
      <c r="E617" s="2" t="s">
        <v>21</v>
      </c>
      <c r="F617" s="2" t="s">
        <v>15</v>
      </c>
      <c r="G617" s="2" t="s">
        <v>719</v>
      </c>
      <c r="H617" s="2" t="s">
        <v>39</v>
      </c>
      <c r="I617" s="2" t="str">
        <f>IFERROR(__xludf.DUMMYFUNCTION("GOOGLETRANSLATE(C617,""fr"",""en"")"),"I am very satisfied with your service. Displayer on the phone very good service. Answers all your questions without hesitation.
A very pleasant atmosphere on the phone
Thank you")</f>
        <v>I am very satisfied with your service. Displayer on the phone very good service. Answers all your questions without hesitation.
A very pleasant atmosphere on the phone
Thank you</v>
      </c>
    </row>
    <row r="618" ht="15.75" customHeight="1">
      <c r="A618" s="2">
        <v>5.0</v>
      </c>
      <c r="B618" s="2" t="s">
        <v>1782</v>
      </c>
      <c r="C618" s="2" t="s">
        <v>1783</v>
      </c>
      <c r="D618" s="2" t="s">
        <v>31</v>
      </c>
      <c r="E618" s="2" t="s">
        <v>32</v>
      </c>
      <c r="F618" s="2" t="s">
        <v>15</v>
      </c>
      <c r="G618" s="2" t="s">
        <v>1180</v>
      </c>
      <c r="H618" s="2" t="s">
        <v>39</v>
      </c>
      <c r="I618" s="2" t="str">
        <f>IFERROR(__xludf.DUMMYFUNCTION("GOOGLETRANSLATE(C618,""fr"",""en"")"),"OK for the Competitive Price Service I hope everything will be done quickly and have my green card as quickly as possible I have known you compared to my little sister who is insured at home")</f>
        <v>OK for the Competitive Price Service I hope everything will be done quickly and have my green card as quickly as possible I have known you compared to my little sister who is insured at home</v>
      </c>
    </row>
    <row r="619" ht="15.75" customHeight="1">
      <c r="A619" s="2">
        <v>3.0</v>
      </c>
      <c r="B619" s="2" t="s">
        <v>1784</v>
      </c>
      <c r="C619" s="2" t="s">
        <v>1785</v>
      </c>
      <c r="D619" s="2" t="s">
        <v>62</v>
      </c>
      <c r="E619" s="2" t="s">
        <v>21</v>
      </c>
      <c r="F619" s="2" t="s">
        <v>15</v>
      </c>
      <c r="G619" s="2" t="s">
        <v>1280</v>
      </c>
      <c r="H619" s="2" t="s">
        <v>72</v>
      </c>
      <c r="I619" s="2" t="str">
        <f>IFERROR(__xludf.DUMMYFUNCTION("GOOGLETRANSLATE(C619,""fr"",""en"")"),"Loading...")</f>
        <v>Loading...</v>
      </c>
    </row>
    <row r="620" ht="15.75" customHeight="1">
      <c r="A620" s="2">
        <v>4.0</v>
      </c>
      <c r="B620" s="2" t="s">
        <v>1786</v>
      </c>
      <c r="C620" s="2" t="s">
        <v>1787</v>
      </c>
      <c r="D620" s="2" t="s">
        <v>13</v>
      </c>
      <c r="E620" s="2" t="s">
        <v>14</v>
      </c>
      <c r="F620" s="2" t="s">
        <v>15</v>
      </c>
      <c r="G620" s="2" t="s">
        <v>1788</v>
      </c>
      <c r="H620" s="2" t="s">
        <v>141</v>
      </c>
      <c r="I620" s="2" t="str">
        <f>IFERROR(__xludf.DUMMYFUNCTION("GOOGLETRANSLATE(C620,""fr"",""en"")"),"too expensive, for reimbursements that are not fully supported")</f>
        <v>too expensive, for reimbursements that are not fully supported</v>
      </c>
    </row>
    <row r="621" ht="15.75" customHeight="1">
      <c r="A621" s="2">
        <v>4.0</v>
      </c>
      <c r="B621" s="2" t="s">
        <v>1789</v>
      </c>
      <c r="C621" s="2" t="s">
        <v>1790</v>
      </c>
      <c r="D621" s="2" t="s">
        <v>183</v>
      </c>
      <c r="E621" s="2" t="s">
        <v>14</v>
      </c>
      <c r="F621" s="2" t="s">
        <v>15</v>
      </c>
      <c r="G621" s="2" t="s">
        <v>668</v>
      </c>
      <c r="H621" s="2" t="s">
        <v>39</v>
      </c>
      <c r="I621" s="2" t="str">
        <f>IFERROR(__xludf.DUMMYFUNCTION("GOOGLETRANSLATE(C621,""fr"",""en"")"),"My contract begins on November 1, it is impossible to connect to my customer account in order to send documents. The Ramata advisor advised me well and followed in my request. now awaiting my identifier and code.")</f>
        <v>My contract begins on November 1, it is impossible to connect to my customer account in order to send documents. The Ramata advisor advised me well and followed in my request. now awaiting my identifier and code.</v>
      </c>
    </row>
    <row r="622" ht="15.75" customHeight="1">
      <c r="A622" s="2">
        <v>5.0</v>
      </c>
      <c r="B622" s="2" t="s">
        <v>1791</v>
      </c>
      <c r="C622" s="2" t="s">
        <v>1792</v>
      </c>
      <c r="D622" s="2" t="s">
        <v>62</v>
      </c>
      <c r="E622" s="2" t="s">
        <v>21</v>
      </c>
      <c r="F622" s="2" t="s">
        <v>15</v>
      </c>
      <c r="G622" s="2" t="s">
        <v>343</v>
      </c>
      <c r="H622" s="2" t="s">
        <v>64</v>
      </c>
      <c r="I622" s="2" t="str">
        <f>IFERROR(__xludf.DUMMYFUNCTION("GOOGLETRANSLATE(C622,""fr"",""en"")"),"I am satisfied with my car insurance. The application is simple to use. Super interesting price, very professional staff, and listens.")</f>
        <v>I am satisfied with my car insurance. The application is simple to use. Super interesting price, very professional staff, and listens.</v>
      </c>
    </row>
    <row r="623" ht="15.75" customHeight="1">
      <c r="A623" s="2">
        <v>3.0</v>
      </c>
      <c r="B623" s="2" t="s">
        <v>1793</v>
      </c>
      <c r="C623" s="2" t="s">
        <v>1794</v>
      </c>
      <c r="D623" s="2" t="s">
        <v>99</v>
      </c>
      <c r="E623" s="2" t="s">
        <v>129</v>
      </c>
      <c r="F623" s="2" t="s">
        <v>15</v>
      </c>
      <c r="G623" s="2" t="s">
        <v>987</v>
      </c>
      <c r="H623" s="2" t="s">
        <v>72</v>
      </c>
      <c r="I623" s="2" t="str">
        <f>IFERROR(__xludf.DUMMYFUNCTION("GOOGLETRANSLATE(C623,""fr"",""en"")"),"The quality of services has dropped terribly. It is no longer useful to take legal assistance since they do everything so as not to start it and that one is forced to manage alone to prosecute it is lamentable. 38 years of Maif and Basta must stop taking "&amp;"the members for pigeons")</f>
        <v>The quality of services has dropped terribly. It is no longer useful to take legal assistance since they do everything so as not to start it and that one is forced to manage alone to prosecute it is lamentable. 38 years of Maif and Basta must stop taking the members for pigeons</v>
      </c>
    </row>
    <row r="624" ht="15.75" customHeight="1">
      <c r="A624" s="2">
        <v>1.0</v>
      </c>
      <c r="B624" s="2" t="s">
        <v>1795</v>
      </c>
      <c r="C624" s="2" t="s">
        <v>1796</v>
      </c>
      <c r="D624" s="2" t="s">
        <v>81</v>
      </c>
      <c r="E624" s="2" t="s">
        <v>14</v>
      </c>
      <c r="F624" s="2" t="s">
        <v>15</v>
      </c>
      <c r="G624" s="2" t="s">
        <v>1797</v>
      </c>
      <c r="H624" s="2" t="s">
        <v>479</v>
      </c>
      <c r="I624" s="2" t="str">
        <f>IFERROR(__xludf.DUMMYFUNCTION("GOOGLETRANSLATE(C624,""fr"",""en"")"),"I subscribed online 1 month ago, no news and when I call customer service, nobody finds me in their files! They even find another person with my security number! totally anything.
No one can help me or inquire. I have incurred medical fees and I am in to"&amp;"tal vagueness!")</f>
        <v>I subscribed online 1 month ago, no news and when I call customer service, nobody finds me in their files! They even find another person with my security number! totally anything.
No one can help me or inquire. I have incurred medical fees and I am in total vagueness!</v>
      </c>
    </row>
    <row r="625" ht="15.75" customHeight="1">
      <c r="A625" s="2">
        <v>1.0</v>
      </c>
      <c r="B625" s="2" t="s">
        <v>1798</v>
      </c>
      <c r="C625" s="2" t="s">
        <v>1799</v>
      </c>
      <c r="D625" s="2" t="s">
        <v>133</v>
      </c>
      <c r="E625" s="2" t="s">
        <v>14</v>
      </c>
      <c r="F625" s="2" t="s">
        <v>15</v>
      </c>
      <c r="G625" s="2" t="s">
        <v>1084</v>
      </c>
      <c r="H625" s="2" t="s">
        <v>54</v>
      </c>
      <c r="I625" s="2" t="str">
        <f>IFERROR(__xludf.DUMMYFUNCTION("GOOGLETRANSLATE(C625,""fr"",""en"")"),"Loading...")</f>
        <v>Loading...</v>
      </c>
    </row>
    <row r="626" ht="15.75" customHeight="1">
      <c r="A626" s="2">
        <v>1.0</v>
      </c>
      <c r="B626" s="2" t="s">
        <v>1800</v>
      </c>
      <c r="C626" s="2" t="s">
        <v>1801</v>
      </c>
      <c r="D626" s="2" t="s">
        <v>133</v>
      </c>
      <c r="E626" s="2" t="s">
        <v>14</v>
      </c>
      <c r="F626" s="2" t="s">
        <v>15</v>
      </c>
      <c r="G626" s="2" t="s">
        <v>1802</v>
      </c>
      <c r="H626" s="2" t="s">
        <v>252</v>
      </c>
      <c r="I626" s="2" t="str">
        <f>IFERROR(__xludf.DUMMYFUNCTION("GOOGLETRANSLATE(C626,""fr"",""en"")"),"They never reimburse. I opened the tickets 4 times. It's been two months, Ile answer me on the phone, we will reimburse you and then, they close the online ticket
The deadlines are ridiculous
They close the tickets are answering us
I will bring them to"&amp;" justice.")</f>
        <v>They never reimburse. I opened the tickets 4 times. It's been two months, Ile answer me on the phone, we will reimburse you and then, they close the online ticket
The deadlines are ridiculous
They close the tickets are answering us
I will bring them to justice.</v>
      </c>
    </row>
    <row r="627" ht="15.75" customHeight="1">
      <c r="A627" s="2">
        <v>1.0</v>
      </c>
      <c r="B627" s="2" t="s">
        <v>1803</v>
      </c>
      <c r="C627" s="2" t="s">
        <v>1804</v>
      </c>
      <c r="D627" s="2" t="s">
        <v>1805</v>
      </c>
      <c r="E627" s="2" t="s">
        <v>1806</v>
      </c>
      <c r="F627" s="2" t="s">
        <v>15</v>
      </c>
      <c r="G627" s="2" t="s">
        <v>1807</v>
      </c>
      <c r="H627" s="2" t="s">
        <v>362</v>
      </c>
      <c r="I627" s="2" t="str">
        <f>IFERROR(__xludf.DUMMYFUNCTION("GOOGLETRANSLATE(C627,""fr"",""en"")"),"Loading...")</f>
        <v>Loading...</v>
      </c>
    </row>
    <row r="628" ht="15.75" customHeight="1">
      <c r="A628" s="2">
        <v>1.0</v>
      </c>
      <c r="B628" s="2" t="s">
        <v>1808</v>
      </c>
      <c r="C628" s="2" t="s">
        <v>1809</v>
      </c>
      <c r="D628" s="2" t="s">
        <v>926</v>
      </c>
      <c r="E628" s="2" t="s">
        <v>14</v>
      </c>
      <c r="F628" s="2" t="s">
        <v>15</v>
      </c>
      <c r="G628" s="2" t="s">
        <v>1360</v>
      </c>
      <c r="H628" s="2" t="s">
        <v>92</v>
      </c>
      <c r="I628" s="2" t="str">
        <f>IFERROR(__xludf.DUMMYFUNCTION("GOOGLETRANSLATE(C628,""fr"",""en"")"),"It would be necessary to have the possibility of not putting stars to note this mutual as the service is deplorable as much as the management of files.
I terminated my contract with this mutual by 2 recommended letters: I learned on this occasion that th"&amp;"e center to which I was in principle attached (in the header of the documents received) for 7 years was not my management center! !!
Now, 2 months after this termination which has been recognized by them, I continue to receive formal formal notice to pay"&amp;" my subscription for the year 2020 ... We think we are dreaming ...")</f>
        <v>It would be necessary to have the possibility of not putting stars to note this mutual as the service is deplorable as much as the management of files.
I terminated my contract with this mutual by 2 recommended letters: I learned on this occasion that the center to which I was in principle attached (in the header of the documents received) for 7 years was not my management center! !!
Now, 2 months after this termination which has been recognized by them, I continue to receive formal formal notice to pay my subscription for the year 2020 ... We think we are dreaming ...</v>
      </c>
    </row>
    <row r="629" ht="15.75" customHeight="1">
      <c r="A629" s="2">
        <v>1.0</v>
      </c>
      <c r="B629" s="2" t="s">
        <v>1810</v>
      </c>
      <c r="C629" s="2" t="s">
        <v>1811</v>
      </c>
      <c r="D629" s="2" t="s">
        <v>196</v>
      </c>
      <c r="E629" s="2" t="s">
        <v>129</v>
      </c>
      <c r="F629" s="2" t="s">
        <v>15</v>
      </c>
      <c r="G629" s="2" t="s">
        <v>1812</v>
      </c>
      <c r="H629" s="2" t="s">
        <v>886</v>
      </c>
      <c r="I629" s="2" t="str">
        <f>IFERROR(__xludf.DUMMYFUNCTION("GOOGLETRANSLATE(C629,""fr"",""en"")"),"I terminated my contract by 3 RAR letters in 2017 and despite these letters it was taken on 01/01/2018 € 960 on my account. This day on 02/06/2018 I have still not been reimbursed. Do you refuse my comments? I am 91 years old isn't it taking advantage of "&amp;"the weakness of people?")</f>
        <v>I terminated my contract by 3 RAR letters in 2017 and despite these letters it was taken on 01/01/2018 € 960 on my account. This day on 02/06/2018 I have still not been reimbursed. Do you refuse my comments? I am 91 years old isn't it taking advantage of the weakness of people?</v>
      </c>
    </row>
    <row r="630" ht="15.75" customHeight="1">
      <c r="A630" s="2">
        <v>4.0</v>
      </c>
      <c r="B630" s="2" t="s">
        <v>1813</v>
      </c>
      <c r="C630" s="2" t="s">
        <v>1814</v>
      </c>
      <c r="D630" s="2" t="s">
        <v>269</v>
      </c>
      <c r="E630" s="2" t="s">
        <v>14</v>
      </c>
      <c r="F630" s="2" t="s">
        <v>15</v>
      </c>
      <c r="G630" s="2" t="s">
        <v>1815</v>
      </c>
      <c r="H630" s="2" t="s">
        <v>50</v>
      </c>
      <c r="I630" s="2" t="str">
        <f>IFERROR(__xludf.DUMMYFUNCTION("GOOGLETRANSLATE(C630,""fr"",""en"")"),"There is little wait on the phone to have information, which is a great advantage, the information is of quality and the interlocutors nice.")</f>
        <v>There is little wait on the phone to have information, which is a great advantage, the information is of quality and the interlocutors nice.</v>
      </c>
    </row>
    <row r="631" ht="15.75" customHeight="1">
      <c r="A631" s="2">
        <v>1.0</v>
      </c>
      <c r="B631" s="2" t="s">
        <v>1816</v>
      </c>
      <c r="C631" s="2" t="s">
        <v>1817</v>
      </c>
      <c r="D631" s="2" t="s">
        <v>62</v>
      </c>
      <c r="E631" s="2" t="s">
        <v>21</v>
      </c>
      <c r="F631" s="2" t="s">
        <v>15</v>
      </c>
      <c r="G631" s="2" t="s">
        <v>803</v>
      </c>
      <c r="H631" s="2" t="s">
        <v>54</v>
      </c>
      <c r="I631" s="2" t="str">
        <f>IFERROR(__xludf.DUMMYFUNCTION("GOOGLETRANSLATE(C631,""fr"",""en"")"),"Loading...")</f>
        <v>Loading...</v>
      </c>
    </row>
    <row r="632" ht="15.75" customHeight="1">
      <c r="A632" s="2">
        <v>2.0</v>
      </c>
      <c r="B632" s="2" t="s">
        <v>1818</v>
      </c>
      <c r="C632" s="2" t="s">
        <v>1819</v>
      </c>
      <c r="D632" s="2" t="s">
        <v>183</v>
      </c>
      <c r="E632" s="2" t="s">
        <v>14</v>
      </c>
      <c r="F632" s="2" t="s">
        <v>15</v>
      </c>
      <c r="G632" s="2" t="s">
        <v>1820</v>
      </c>
      <c r="H632" s="2" t="s">
        <v>631</v>
      </c>
      <c r="I632" s="2" t="str">
        <f>IFERROR(__xludf.DUMMYFUNCTION("GOOGLETRANSLATE(C632,""fr"",""en"")"),"Complementary to strongly not recommend. Does not respect his contract and the reimbursements announced. unreachable customer service or do not respond to complaints.")</f>
        <v>Complementary to strongly not recommend. Does not respect his contract and the reimbursements announced. unreachable customer service or do not respond to complaints.</v>
      </c>
    </row>
    <row r="633" ht="15.75" customHeight="1">
      <c r="A633" s="2">
        <v>2.0</v>
      </c>
      <c r="B633" s="2" t="s">
        <v>1821</v>
      </c>
      <c r="C633" s="2" t="s">
        <v>1822</v>
      </c>
      <c r="D633" s="2" t="s">
        <v>42</v>
      </c>
      <c r="E633" s="2" t="s">
        <v>21</v>
      </c>
      <c r="F633" s="2" t="s">
        <v>15</v>
      </c>
      <c r="G633" s="2" t="s">
        <v>1823</v>
      </c>
      <c r="H633" s="2" t="s">
        <v>39</v>
      </c>
      <c r="I633" s="2" t="str">
        <f>IFERROR(__xludf.DUMMYFUNCTION("GOOGLETRANSLATE(C633,""fr"",""en"")"),"Whenever we call for the same problem we have a different advisor who gives you a different answer you never know what you said")</f>
        <v>Whenever we call for the same problem we have a different advisor who gives you a different answer you never know what you said</v>
      </c>
    </row>
    <row r="634" ht="15.75" customHeight="1">
      <c r="A634" s="2">
        <v>4.0</v>
      </c>
      <c r="B634" s="2" t="s">
        <v>1824</v>
      </c>
      <c r="C634" s="2" t="s">
        <v>1825</v>
      </c>
      <c r="D634" s="2" t="s">
        <v>269</v>
      </c>
      <c r="E634" s="2" t="s">
        <v>14</v>
      </c>
      <c r="F634" s="2" t="s">
        <v>15</v>
      </c>
      <c r="G634" s="2" t="s">
        <v>1826</v>
      </c>
      <c r="H634" s="2" t="s">
        <v>72</v>
      </c>
      <c r="I634" s="2" t="str">
        <f>IFERROR(__xludf.DUMMYFUNCTION("GOOGLETRANSLATE(C634,""fr"",""en"")"),"Regarding prices, I cannot give my opinion (employee contract on behalf of my spouse). By cons on the quality of telephone service, I can tell you that they are impeccable. Very fast response time and quality of the very satisfactory response.")</f>
        <v>Regarding prices, I cannot give my opinion (employee contract on behalf of my spouse). By cons on the quality of telephone service, I can tell you that they are impeccable. Very fast response time and quality of the very satisfactory response.</v>
      </c>
    </row>
    <row r="635" ht="15.75" customHeight="1">
      <c r="A635" s="2">
        <v>3.0</v>
      </c>
      <c r="B635" s="2" t="s">
        <v>1827</v>
      </c>
      <c r="C635" s="2" t="s">
        <v>1828</v>
      </c>
      <c r="D635" s="2" t="s">
        <v>62</v>
      </c>
      <c r="E635" s="2" t="s">
        <v>21</v>
      </c>
      <c r="F635" s="2" t="s">
        <v>15</v>
      </c>
      <c r="G635" s="2" t="s">
        <v>997</v>
      </c>
      <c r="H635" s="2" t="s">
        <v>123</v>
      </c>
      <c r="I635" s="2" t="str">
        <f>IFERROR(__xludf.DUMMYFUNCTION("GOOGLETRANSLATE(C635,""fr"",""en"")"),"I am satisfied with the price and the service and very practical.
The form is simple and quick to fill out.
The information is useful and understandable.")</f>
        <v>I am satisfied with the price and the service and very practical.
The form is simple and quick to fill out.
The information is useful and understandable.</v>
      </c>
    </row>
    <row r="636" ht="15.75" customHeight="1">
      <c r="A636" s="2">
        <v>3.0</v>
      </c>
      <c r="B636" s="2" t="s">
        <v>1829</v>
      </c>
      <c r="C636" s="2" t="s">
        <v>1830</v>
      </c>
      <c r="D636" s="2" t="s">
        <v>137</v>
      </c>
      <c r="E636" s="2" t="s">
        <v>21</v>
      </c>
      <c r="F636" s="2" t="s">
        <v>15</v>
      </c>
      <c r="G636" s="2" t="s">
        <v>997</v>
      </c>
      <c r="H636" s="2" t="s">
        <v>123</v>
      </c>
      <c r="I636" s="2" t="str">
        <f>IFERROR(__xludf.DUMMYFUNCTION("GOOGLETRANSLATE(C636,""fr"",""en"")"),"It's been over 15 years that I have been at the MAAF for my car insurance. More than 10 years that I have a 0.5 bonus. It took me 2 accidents in the same year 2020 (I was unfortunately sick and my vigilance less in fact ...). On the one hand the bonus for"&amp;" life is a huge lie because it is the car that has the bonus and not the driver, because as everyone knows it is the car that drives and not the driver! And on the other hand, I learn with stupor that at the end of 2021, the MAAF will terminate my car con"&amp;"tract on the pretext of my 2 accidents of the year 2020. While they have provided so far. It's incomprehensible. In short, you will easily understand that advertising is more than false and that it is not the maaf that I prefer !!!")</f>
        <v>It's been over 15 years that I have been at the MAAF for my car insurance. More than 10 years that I have a 0.5 bonus. It took me 2 accidents in the same year 2020 (I was unfortunately sick and my vigilance less in fact ...). On the one hand the bonus for life is a huge lie because it is the car that has the bonus and not the driver, because as everyone knows it is the car that drives and not the driver! And on the other hand, I learn with stupor that at the end of 2021, the MAAF will terminate my car contract on the pretext of my 2 accidents of the year 2020. While they have provided so far. It's incomprehensible. In short, you will easily understand that advertising is more than false and that it is not the maaf that I prefer !!!</v>
      </c>
    </row>
    <row r="637" ht="15.75" customHeight="1">
      <c r="A637" s="2">
        <v>3.0</v>
      </c>
      <c r="B637" s="2" t="s">
        <v>1831</v>
      </c>
      <c r="C637" s="2" t="s">
        <v>1832</v>
      </c>
      <c r="D637" s="2" t="s">
        <v>62</v>
      </c>
      <c r="E637" s="2" t="s">
        <v>21</v>
      </c>
      <c r="F637" s="2" t="s">
        <v>15</v>
      </c>
      <c r="G637" s="2" t="s">
        <v>1833</v>
      </c>
      <c r="H637" s="2" t="s">
        <v>72</v>
      </c>
      <c r="I637" s="2" t="str">
        <f>IFERROR(__xludf.DUMMYFUNCTION("GOOGLETRANSLATE(C637,""fr"",""en"")"),"hello
Satisfied with the service but decreed not to have made several quotes before because I had found less dear to my old insurance! Too bad I am a little decu because before you were the cheapest")</f>
        <v>hello
Satisfied with the service but decreed not to have made several quotes before because I had found less dear to my old insurance! Too bad I am a little decu because before you were the cheapest</v>
      </c>
    </row>
    <row r="638" ht="15.75" customHeight="1">
      <c r="A638" s="2">
        <v>1.0</v>
      </c>
      <c r="B638" s="2" t="s">
        <v>1834</v>
      </c>
      <c r="C638" s="2" t="s">
        <v>1835</v>
      </c>
      <c r="D638" s="2" t="s">
        <v>285</v>
      </c>
      <c r="E638" s="2" t="s">
        <v>76</v>
      </c>
      <c r="F638" s="2" t="s">
        <v>15</v>
      </c>
      <c r="G638" s="2" t="s">
        <v>1836</v>
      </c>
      <c r="H638" s="2" t="s">
        <v>815</v>
      </c>
      <c r="I638" s="2" t="str">
        <f>IFERROR(__xludf.DUMMYFUNCTION("GOOGLETRANSLATE(C638,""fr"",""en"")"),"I am unemployed following an economic dismissal.
Cardif has taken over since March 15, 2016, they took a long time to process the file, in June they hang out to repay my credit with various reasons. Today, they have a delay of 3 weeks !!!!!!!!!!!!!!!!!!!"&amp;"!!!!!!!!!! Various excuse, lack of staff, too much file to be treated and there the last and attention monsieurs and ladies, there would be no more money in the boxes !!!!!!!!!!!!!!! !!!!!!!
I will do the necessary to assert my rights.
One thing is cert"&amp;"ain, the next credit I refuse Cardif. And yes, I am doing the necessary to assert my rights and we can choose the assurance that we want even if your bank work with them.")</f>
        <v>I am unemployed following an economic dismissal.
Cardif has taken over since March 15, 2016, they took a long time to process the file, in June they hang out to repay my credit with various reasons. Today, they have a delay of 3 weeks !!!!!!!!!!!!!!!!!!!!!!!!!!!!! Various excuse, lack of staff, too much file to be treated and there the last and attention monsieurs and ladies, there would be no more money in the boxes !!!!!!!!!!!!!!! !!!!!!!
I will do the necessary to assert my rights.
One thing is certain, the next credit I refuse Cardif. And yes, I am doing the necessary to assert my rights and we can choose the assurance that we want even if your bank work with them.</v>
      </c>
    </row>
    <row r="639" ht="15.75" customHeight="1">
      <c r="A639" s="2">
        <v>1.0</v>
      </c>
      <c r="B639" s="2" t="s">
        <v>1837</v>
      </c>
      <c r="C639" s="2" t="s">
        <v>1838</v>
      </c>
      <c r="D639" s="2" t="s">
        <v>42</v>
      </c>
      <c r="E639" s="2" t="s">
        <v>21</v>
      </c>
      <c r="F639" s="2" t="s">
        <v>15</v>
      </c>
      <c r="G639" s="2" t="s">
        <v>362</v>
      </c>
      <c r="H639" s="2" t="s">
        <v>362</v>
      </c>
      <c r="I639" s="2" t="str">
        <f>IFERROR(__xludf.DUMMYFUNCTION("GOOGLETRANSLATE(C639,""fr"",""en"")"),"I subscribed the basic formula, which costs me € 49 per month, and at that price I thought I had the guarantees that I had had other insurances (taxi, hotel, troubleshooting ...) I broke down During the holidays: and there surprise, I learn that the taxi "&amp;"is taken care of up to only € 50 (it cost me € 500 to go back !!!) hotel not supported! And troubleshooting not supported entirely because it was on the highway! Everything is in the contract tells me we (ha I well yes, I thought that that it was understo"&amp;"od, what a naive). With a baby who was screaming and the ruin of the taxi, I asked for a commercial gesture to return by taxi but no ... the hotel was offered to me but it was too complicated and impossible with a baby and all the business And I wanted a "&amp;"gesture for the taxi. I am scandalized and advise you to read your contract well, I have never seen such ""guarantees"" where you leave you in nature, without any recourse. TO FLEE")</f>
        <v>I subscribed the basic formula, which costs me € 49 per month, and at that price I thought I had the guarantees that I had had other insurances (taxi, hotel, troubleshooting ...) I broke down During the holidays: and there surprise, I learn that the taxi is taken care of up to only € 50 (it cost me € 500 to go back !!!) hotel not supported! And troubleshooting not supported entirely because it was on the highway! Everything is in the contract tells me we (ha I well yes, I thought that that it was understood, what a naive). With a baby who was screaming and the ruin of the taxi, I asked for a commercial gesture to return by taxi but no ... the hotel was offered to me but it was too complicated and impossible with a baby and all the business And I wanted a gesture for the taxi. I am scandalized and advise you to read your contract well, I have never seen such "guarantees" where you leave you in nature, without any recourse. TO FLEE</v>
      </c>
    </row>
    <row r="640" ht="15.75" customHeight="1">
      <c r="A640" s="2">
        <v>3.0</v>
      </c>
      <c r="B640" s="2" t="s">
        <v>1839</v>
      </c>
      <c r="C640" s="2" t="s">
        <v>1840</v>
      </c>
      <c r="D640" s="2" t="s">
        <v>20</v>
      </c>
      <c r="E640" s="2" t="s">
        <v>21</v>
      </c>
      <c r="F640" s="2" t="s">
        <v>15</v>
      </c>
      <c r="G640" s="2" t="s">
        <v>731</v>
      </c>
      <c r="H640" s="2" t="s">
        <v>59</v>
      </c>
      <c r="I640" s="2" t="str">
        <f>IFERROR(__xludf.DUMMYFUNCTION("GOOGLETRANSLATE(C640,""fr"",""en"")")," Contact, request for information, appointment, not easy at all. Recognition for good drivers. PRACE A BONUS for several contracts at GMF.CORDIALLY")</f>
        <v> Contact, request for information, appointment, not easy at all. Recognition for good drivers. PRACE A BONUS for several contracts at GMF.CORDIALLY</v>
      </c>
    </row>
    <row r="641" ht="15.75" customHeight="1">
      <c r="A641" s="2">
        <v>4.0</v>
      </c>
      <c r="B641" s="2" t="s">
        <v>1841</v>
      </c>
      <c r="C641" s="2" t="s">
        <v>1842</v>
      </c>
      <c r="D641" s="2" t="s">
        <v>42</v>
      </c>
      <c r="E641" s="2" t="s">
        <v>21</v>
      </c>
      <c r="F641" s="2" t="s">
        <v>15</v>
      </c>
      <c r="G641" s="2" t="s">
        <v>1843</v>
      </c>
      <c r="H641" s="2" t="s">
        <v>39</v>
      </c>
      <c r="I641" s="2" t="str">
        <f>IFERROR(__xludf.DUMMYFUNCTION("GOOGLETRANSLATE(C641,""fr"",""en"")"),"Loading...")</f>
        <v>Loading...</v>
      </c>
    </row>
    <row r="642" ht="15.75" customHeight="1">
      <c r="A642" s="2">
        <v>1.0</v>
      </c>
      <c r="B642" s="2" t="s">
        <v>1844</v>
      </c>
      <c r="C642" s="2" t="s">
        <v>1845</v>
      </c>
      <c r="D642" s="2" t="s">
        <v>250</v>
      </c>
      <c r="E642" s="2" t="s">
        <v>129</v>
      </c>
      <c r="F642" s="2" t="s">
        <v>15</v>
      </c>
      <c r="G642" s="2" t="s">
        <v>1846</v>
      </c>
      <c r="H642" s="2" t="s">
        <v>723</v>
      </c>
      <c r="I642" s="2" t="str">
        <f>IFERROR(__xludf.DUMMYFUNCTION("GOOGLETRANSLATE(C642,""fr"",""en"")"),"Scandalous.Mauise faith.")</f>
        <v>Scandalous.Mauise faith.</v>
      </c>
    </row>
    <row r="643" ht="15.75" customHeight="1">
      <c r="A643" s="2">
        <v>1.0</v>
      </c>
      <c r="B643" s="2" t="s">
        <v>1847</v>
      </c>
      <c r="C643" s="2" t="s">
        <v>1848</v>
      </c>
      <c r="D643" s="2" t="s">
        <v>196</v>
      </c>
      <c r="E643" s="2" t="s">
        <v>129</v>
      </c>
      <c r="F643" s="2" t="s">
        <v>15</v>
      </c>
      <c r="G643" s="2" t="s">
        <v>370</v>
      </c>
      <c r="H643" s="2" t="s">
        <v>370</v>
      </c>
      <c r="I643" s="2" t="str">
        <f>IFERROR(__xludf.DUMMYFUNCTION("GOOGLETRANSLATE(C643,""fr"",""en"")"),"Loading...")</f>
        <v>Loading...</v>
      </c>
    </row>
    <row r="644" ht="15.75" customHeight="1">
      <c r="A644" s="2">
        <v>1.0</v>
      </c>
      <c r="B644" s="2" t="s">
        <v>1849</v>
      </c>
      <c r="C644" s="2" t="s">
        <v>1850</v>
      </c>
      <c r="D644" s="2" t="s">
        <v>159</v>
      </c>
      <c r="E644" s="2" t="s">
        <v>21</v>
      </c>
      <c r="F644" s="2" t="s">
        <v>15</v>
      </c>
      <c r="G644" s="2" t="s">
        <v>1215</v>
      </c>
      <c r="H644" s="2" t="s">
        <v>39</v>
      </c>
      <c r="I644" s="2" t="str">
        <f>IFERROR(__xludf.DUMMYFUNCTION("GOOGLETRANSLATE(C644,""fr"",""en"")"),"Eurofil by Aviva ..... Insurance to flee urgently ... Radied for having a break in ice? Result I remove my 2 cars insured at home .... good job ??")</f>
        <v>Eurofil by Aviva ..... Insurance to flee urgently ... Radied for having a break in ice? Result I remove my 2 cars insured at home .... good job ??</v>
      </c>
    </row>
    <row r="645" ht="15.75" customHeight="1">
      <c r="A645" s="2">
        <v>4.0</v>
      </c>
      <c r="B645" s="2" t="s">
        <v>1851</v>
      </c>
      <c r="C645" s="2" t="s">
        <v>1852</v>
      </c>
      <c r="D645" s="2" t="s">
        <v>274</v>
      </c>
      <c r="E645" s="2" t="s">
        <v>14</v>
      </c>
      <c r="F645" s="2" t="s">
        <v>15</v>
      </c>
      <c r="G645" s="2" t="s">
        <v>858</v>
      </c>
      <c r="H645" s="2" t="s">
        <v>362</v>
      </c>
      <c r="I645" s="2" t="str">
        <f>IFERROR(__xludf.DUMMYFUNCTION("GOOGLETRANSLATE(C645,""fr"",""en"")"),"Overall satisfied with the MGP (quality of telephone reception, availability, kindness ...) The healthclair service is appreciated. The services can always be improved (reimbursements) that have needed the mutual in view in recent times, the dental and su"&amp;"rgical operation with overtaking, the mutual has responded, thus limiting our remains.
Very old member since 1968, I recommend the MGP to my loved ones.")</f>
        <v>Overall satisfied with the MGP (quality of telephone reception, availability, kindness ...) The healthclair service is appreciated. The services can always be improved (reimbursements) that have needed the mutual in view in recent times, the dental and surgical operation with overtaking, the mutual has responded, thus limiting our remains.
Very old member since 1968, I recommend the MGP to my loved ones.</v>
      </c>
    </row>
    <row r="646" ht="15.75" customHeight="1">
      <c r="A646" s="2">
        <v>1.0</v>
      </c>
      <c r="B646" s="2" t="s">
        <v>1853</v>
      </c>
      <c r="C646" s="2" t="s">
        <v>1854</v>
      </c>
      <c r="D646" s="2" t="s">
        <v>368</v>
      </c>
      <c r="E646" s="2" t="s">
        <v>21</v>
      </c>
      <c r="F646" s="2" t="s">
        <v>15</v>
      </c>
      <c r="G646" s="2" t="s">
        <v>1855</v>
      </c>
      <c r="H646" s="2" t="s">
        <v>824</v>
      </c>
      <c r="I646" s="2" t="str">
        <f>IFERROR(__xludf.DUMMYFUNCTION("GOOGLETRANSLATE(C646,""fr"",""en"")"),"Having subscribed to your auto insurance by Internet in early May 2018, I am still waiting for my certificate and the final certificate
Payment already made at the registration of 120 euros more first levy of 50 euros on June 23, 2018.
Sincerely, pend"&amp;"ing regularization of my situation.
")</f>
        <v>Having subscribed to your auto insurance by Internet in early May 2018, I am still waiting for my certificate and the final certificate
Payment already made at the registration of 120 euros more first levy of 50 euros on June 23, 2018.
Sincerely, pending regularization of my situation.
</v>
      </c>
    </row>
    <row r="647" ht="15.75" customHeight="1">
      <c r="A647" s="2">
        <v>5.0</v>
      </c>
      <c r="B647" s="2" t="s">
        <v>1856</v>
      </c>
      <c r="C647" s="2" t="s">
        <v>1857</v>
      </c>
      <c r="D647" s="2" t="s">
        <v>42</v>
      </c>
      <c r="E647" s="2" t="s">
        <v>21</v>
      </c>
      <c r="F647" s="2" t="s">
        <v>15</v>
      </c>
      <c r="G647" s="2" t="s">
        <v>975</v>
      </c>
      <c r="H647" s="2" t="s">
        <v>64</v>
      </c>
      <c r="I647" s="2" t="str">
        <f>IFERROR(__xludf.DUMMYFUNCTION("GOOGLETRANSLATE(C647,""fr"",""en"")"),"Very satisfied, after hesitations, I gathered self -insurance and home insurance with the Olivier Assurances. A responsive, responsible team, a warm welcome, attentive listening to needs and a competitive price .... the top, I recommend ....")</f>
        <v>Very satisfied, after hesitations, I gathered self -insurance and home insurance with the Olivier Assurances. A responsive, responsible team, a warm welcome, attentive listening to needs and a competitive price .... the top, I recommend ....</v>
      </c>
    </row>
    <row r="648" ht="15.75" customHeight="1">
      <c r="A648" s="2">
        <v>5.0</v>
      </c>
      <c r="B648" s="2" t="s">
        <v>1858</v>
      </c>
      <c r="C648" s="2" t="s">
        <v>1859</v>
      </c>
      <c r="D648" s="2" t="s">
        <v>62</v>
      </c>
      <c r="E648" s="2" t="s">
        <v>21</v>
      </c>
      <c r="F648" s="2" t="s">
        <v>15</v>
      </c>
      <c r="G648" s="2" t="s">
        <v>403</v>
      </c>
      <c r="H648" s="2" t="s">
        <v>44</v>
      </c>
      <c r="I648" s="2" t="str">
        <f>IFERROR(__xludf.DUMMYFUNCTION("GOOGLETRANSLATE(C648,""fr"",""en"")"),"Very satisfied with the speed at which I subscribed
I was recommended by a friend and I will not hesitate to do this reliable insurance advertising")</f>
        <v>Very satisfied with the speed at which I subscribed
I was recommended by a friend and I will not hesitate to do this reliable insurance advertising</v>
      </c>
    </row>
    <row r="649" ht="15.75" customHeight="1">
      <c r="A649" s="2">
        <v>2.0</v>
      </c>
      <c r="B649" s="2" t="s">
        <v>1860</v>
      </c>
      <c r="C649" s="2" t="s">
        <v>1861</v>
      </c>
      <c r="D649" s="2" t="s">
        <v>183</v>
      </c>
      <c r="E649" s="2" t="s">
        <v>14</v>
      </c>
      <c r="F649" s="2" t="s">
        <v>15</v>
      </c>
      <c r="G649" s="2" t="s">
        <v>1165</v>
      </c>
      <c r="H649" s="2" t="s">
        <v>362</v>
      </c>
      <c r="I649" s="2" t="str">
        <f>IFERROR(__xludf.DUMMYFUNCTION("GOOGLETRANSLATE(C649,""fr"",""en"")"),"As I predicted in November when I sent my letter of termination (notice already filed on this site) Néoliane never answered me when they received the letter (recipient being proof). Today I receive a letter that is surprised by my opposition to the levy. "&amp;"And Néoliane asks me for an increase. Fortunately, I had anticipated and all transmitted to my lawyer who will take care of the file tomorrow. The world upside down but so common practices.")</f>
        <v>As I predicted in November when I sent my letter of termination (notice already filed on this site) Néoliane never answered me when they received the letter (recipient being proof). Today I receive a letter that is surprised by my opposition to the levy. And Néoliane asks me for an increase. Fortunately, I had anticipated and all transmitted to my lawyer who will take care of the file tomorrow. The world upside down but so common practices.</v>
      </c>
    </row>
    <row r="650" ht="15.75" customHeight="1">
      <c r="A650" s="2">
        <v>4.0</v>
      </c>
      <c r="B650" s="2" t="s">
        <v>1862</v>
      </c>
      <c r="C650" s="2" t="s">
        <v>1863</v>
      </c>
      <c r="D650" s="2" t="s">
        <v>42</v>
      </c>
      <c r="E650" s="2" t="s">
        <v>21</v>
      </c>
      <c r="F650" s="2" t="s">
        <v>15</v>
      </c>
      <c r="G650" s="2" t="s">
        <v>262</v>
      </c>
      <c r="H650" s="2" t="s">
        <v>34</v>
      </c>
      <c r="I650" s="2" t="str">
        <f>IFERROR(__xludf.DUMMYFUNCTION("GOOGLETRANSLATE(C650,""fr"",""en"")"),"Very satisfied with the person I had on the phone.
Price, is one of the cheapest
Only downside, is to have to do everything on the internet. (And yes there are people who do not have the internet)")</f>
        <v>Very satisfied with the person I had on the phone.
Price, is one of the cheapest
Only downside, is to have to do everything on the internet. (And yes there are people who do not have the internet)</v>
      </c>
    </row>
    <row r="651" ht="15.75" customHeight="1">
      <c r="A651" s="2">
        <v>1.0</v>
      </c>
      <c r="B651" s="2" t="s">
        <v>1864</v>
      </c>
      <c r="C651" s="2" t="s">
        <v>1865</v>
      </c>
      <c r="D651" s="2" t="s">
        <v>67</v>
      </c>
      <c r="E651" s="2" t="s">
        <v>32</v>
      </c>
      <c r="F651" s="2" t="s">
        <v>15</v>
      </c>
      <c r="G651" s="2" t="s">
        <v>1285</v>
      </c>
      <c r="H651" s="2" t="s">
        <v>59</v>
      </c>
      <c r="I651" s="2" t="str">
        <f>IFERROR(__xludf.DUMMYFUNCTION("GOOGLETRANSLATE(C651,""fr"",""en"")"),"Loading...")</f>
        <v>Loading...</v>
      </c>
    </row>
    <row r="652" ht="15.75" customHeight="1">
      <c r="A652" s="2">
        <v>2.0</v>
      </c>
      <c r="B652" s="2" t="s">
        <v>1866</v>
      </c>
      <c r="C652" s="2" t="s">
        <v>1867</v>
      </c>
      <c r="D652" s="2" t="s">
        <v>42</v>
      </c>
      <c r="E652" s="2" t="s">
        <v>21</v>
      </c>
      <c r="F652" s="2" t="s">
        <v>15</v>
      </c>
      <c r="G652" s="2" t="s">
        <v>1868</v>
      </c>
      <c r="H652" s="2" t="s">
        <v>544</v>
      </c>
      <c r="I652" s="2" t="str">
        <f>IFERROR(__xludf.DUMMYFUNCTION("GOOGLETRANSLATE(C652,""fr"",""en"")"),"Hello, Customer since obtaining my license at the Olivier Insurance, more than 5 years I declared 1 single and only claim for the flight of my vehicle in January 2020 ... and since then it is the disaster! ! I have been in a critical situation to be borro"&amp;"wed from friends while waiting for my refund for more than 6 months ...
Despite a courteous exchange and full of good wishes with the quality service more than 2 months ago, the steps do not advance and for me the months become more and more difficult "&amp;"to have to juggle debts in debt to be able to meet my needs.
PS: the expertise report of the vehicle was sent more than 5 months ago ...
If you want reactive insurance, go your way.")</f>
        <v>Hello, Customer since obtaining my license at the Olivier Insurance, more than 5 years I declared 1 single and only claim for the flight of my vehicle in January 2020 ... and since then it is the disaster! ! I have been in a critical situation to be borrowed from friends while waiting for my refund for more than 6 months ...
Despite a courteous exchange and full of good wishes with the quality service more than 2 months ago, the steps do not advance and for me the months become more and more difficult to have to juggle debts in debt to be able to meet my needs.
PS: the expertise report of the vehicle was sent more than 5 months ago ...
If you want reactive insurance, go your way.</v>
      </c>
    </row>
    <row r="653" ht="15.75" customHeight="1">
      <c r="A653" s="2">
        <v>4.0</v>
      </c>
      <c r="B653" s="2" t="s">
        <v>1869</v>
      </c>
      <c r="C653" s="2" t="s">
        <v>1870</v>
      </c>
      <c r="D653" s="2" t="s">
        <v>42</v>
      </c>
      <c r="E653" s="2" t="s">
        <v>21</v>
      </c>
      <c r="F653" s="2" t="s">
        <v>15</v>
      </c>
      <c r="G653" s="2" t="s">
        <v>1346</v>
      </c>
      <c r="H653" s="2" t="s">
        <v>276</v>
      </c>
      <c r="I653" s="2" t="str">
        <f>IFERROR(__xludf.DUMMYFUNCTION("GOOGLETRANSLATE(C653,""fr"",""en"")"),"Very satisfied with relations with the various interlocutors.
Good understanding of the requests made.
Timeliness.
A fairly interesting pricing.")</f>
        <v>Very satisfied with relations with the various interlocutors.
Good understanding of the requests made.
Timeliness.
A fairly interesting pricing.</v>
      </c>
    </row>
    <row r="654" ht="15.75" customHeight="1">
      <c r="A654" s="2">
        <v>1.0</v>
      </c>
      <c r="B654" s="2" t="s">
        <v>1871</v>
      </c>
      <c r="C654" s="2" t="s">
        <v>1872</v>
      </c>
      <c r="D654" s="2" t="s">
        <v>137</v>
      </c>
      <c r="E654" s="2" t="s">
        <v>21</v>
      </c>
      <c r="F654" s="2" t="s">
        <v>15</v>
      </c>
      <c r="G654" s="2" t="s">
        <v>39</v>
      </c>
      <c r="H654" s="2" t="s">
        <v>44</v>
      </c>
      <c r="I654" s="2" t="str">
        <f>IFERROR(__xludf.DUMMYFUNCTION("GOOGLETRANSLATE(C654,""fr"",""en"")"),"+10% on my insurance premium between 2020 and 2021 without any other explanation than that normal of the pricing increase of the insurer, which is just impossible! Random invoicing and opaque information. From that day, I remove everything that links me t"&amp;"o them.")</f>
        <v>+10% on my insurance premium between 2020 and 2021 without any other explanation than that normal of the pricing increase of the insurer, which is just impossible! Random invoicing and opaque information. From that day, I remove everything that links me to them.</v>
      </c>
    </row>
    <row r="655" ht="15.75" customHeight="1">
      <c r="A655" s="2">
        <v>1.0</v>
      </c>
      <c r="B655" s="2" t="s">
        <v>1873</v>
      </c>
      <c r="C655" s="2" t="s">
        <v>1874</v>
      </c>
      <c r="D655" s="2" t="s">
        <v>62</v>
      </c>
      <c r="E655" s="2" t="s">
        <v>21</v>
      </c>
      <c r="F655" s="2" t="s">
        <v>15</v>
      </c>
      <c r="G655" s="2" t="s">
        <v>1875</v>
      </c>
      <c r="H655" s="2" t="s">
        <v>150</v>
      </c>
      <c r="I655" s="2" t="str">
        <f>IFERROR(__xludf.DUMMYFUNCTION("GOOGLETRANSLATE(C655,""fr"",""en"")"),"Loading...")</f>
        <v>Loading...</v>
      </c>
    </row>
    <row r="656" ht="15.75" customHeight="1">
      <c r="A656" s="2">
        <v>4.0</v>
      </c>
      <c r="B656" s="2" t="s">
        <v>1876</v>
      </c>
      <c r="C656" s="2" t="s">
        <v>1877</v>
      </c>
      <c r="D656" s="2" t="s">
        <v>42</v>
      </c>
      <c r="E656" s="2" t="s">
        <v>21</v>
      </c>
      <c r="F656" s="2" t="s">
        <v>15</v>
      </c>
      <c r="G656" s="2" t="s">
        <v>1878</v>
      </c>
      <c r="H656" s="2" t="s">
        <v>54</v>
      </c>
      <c r="I656" s="2" t="str">
        <f>IFERROR(__xludf.DUMMYFUNCTION("GOOGLETRANSLATE(C656,""fr"",""en"")"),"The prices suit me, now you have to see in the event of a disaster. Customer service is at the top to have information.
I will recommend the insurance olive tree in my entourage.")</f>
        <v>The prices suit me, now you have to see in the event of a disaster. Customer service is at the top to have information.
I will recommend the insurance olive tree in my entourage.</v>
      </c>
    </row>
    <row r="657" ht="15.75" customHeight="1">
      <c r="A657" s="2">
        <v>3.0</v>
      </c>
      <c r="B657" s="2" t="s">
        <v>1879</v>
      </c>
      <c r="C657" s="2" t="s">
        <v>1880</v>
      </c>
      <c r="D657" s="2" t="s">
        <v>285</v>
      </c>
      <c r="E657" s="2" t="s">
        <v>76</v>
      </c>
      <c r="F657" s="2" t="s">
        <v>15</v>
      </c>
      <c r="G657" s="2" t="s">
        <v>1881</v>
      </c>
      <c r="H657" s="2" t="s">
        <v>106</v>
      </c>
      <c r="I657" s="2" t="str">
        <f>IFERROR(__xludf.DUMMYFUNCTION("GOOGLETRANSLATE(C657,""fr"",""en"")"),"I am in a long illness of the Cardif hospital public service stopped the reimbursement of my loans at the end of the three I have passed an expertise if we can call this as well. With a doctor who did not know why I was coming up to stand 20 seconds no au"&amp;"scultation nothing and yet I am a hardworking hardware and this MR it allows me to be consolidated when the administration explies me every 6 month and unfit for me ....
")</f>
        <v>I am in a long illness of the Cardif hospital public service stopped the reimbursement of my loans at the end of the three I have passed an expertise if we can call this as well. With a doctor who did not know why I was coming up to stand 20 seconds no auscultation nothing and yet I am a hardworking hardware and this MR it allows me to be consolidated when the administration explies me every 6 month and unfit for me ....
</v>
      </c>
    </row>
    <row r="658" ht="15.75" customHeight="1">
      <c r="A658" s="2">
        <v>5.0</v>
      </c>
      <c r="B658" s="2" t="s">
        <v>1882</v>
      </c>
      <c r="C658" s="2" t="s">
        <v>1883</v>
      </c>
      <c r="D658" s="2" t="s">
        <v>418</v>
      </c>
      <c r="E658" s="2" t="s">
        <v>76</v>
      </c>
      <c r="F658" s="2" t="s">
        <v>15</v>
      </c>
      <c r="G658" s="2" t="s">
        <v>492</v>
      </c>
      <c r="H658" s="2" t="s">
        <v>123</v>
      </c>
      <c r="I658" s="2" t="str">
        <f>IFERROR(__xludf.DUMMYFUNCTION("GOOGLETRANSLATE(C658,""fr"",""en"")"),"The Zen-Up team is just great (kind, very good follow-up, advice, ...)
The prices are competitive
The site is well done
Simple procedures and reactive responses")</f>
        <v>The Zen-Up team is just great (kind, very good follow-up, advice, ...)
The prices are competitive
The site is well done
Simple procedures and reactive responses</v>
      </c>
    </row>
    <row r="659" ht="15.75" customHeight="1">
      <c r="A659" s="2">
        <v>5.0</v>
      </c>
      <c r="B659" s="2" t="s">
        <v>1884</v>
      </c>
      <c r="C659" s="2" t="s">
        <v>1885</v>
      </c>
      <c r="D659" s="2" t="s">
        <v>42</v>
      </c>
      <c r="E659" s="2" t="s">
        <v>21</v>
      </c>
      <c r="F659" s="2" t="s">
        <v>15</v>
      </c>
      <c r="G659" s="2" t="s">
        <v>1633</v>
      </c>
      <c r="H659" s="2" t="s">
        <v>123</v>
      </c>
      <c r="I659" s="2" t="str">
        <f>IFERROR(__xludf.DUMMYFUNCTION("GOOGLETRANSLATE(C659,""fr"",""en"")"),"Loading...")</f>
        <v>Loading...</v>
      </c>
    </row>
    <row r="660" ht="15.75" customHeight="1">
      <c r="A660" s="2">
        <v>4.0</v>
      </c>
      <c r="B660" s="2" t="s">
        <v>1886</v>
      </c>
      <c r="C660" s="2" t="s">
        <v>1887</v>
      </c>
      <c r="D660" s="2" t="s">
        <v>42</v>
      </c>
      <c r="E660" s="2" t="s">
        <v>21</v>
      </c>
      <c r="F660" s="2" t="s">
        <v>15</v>
      </c>
      <c r="G660" s="2" t="s">
        <v>1888</v>
      </c>
      <c r="H660" s="2" t="s">
        <v>957</v>
      </c>
      <c r="I660" s="2" t="str">
        <f>IFERROR(__xludf.DUMMYFUNCTION("GOOGLETRANSLATE(C660,""fr"",""en"")"),"I am satisfied with the service.
The prices suit me for what I want.
It is really simple and practical to access for the subscription and monitoring of the contract.")</f>
        <v>I am satisfied with the service.
The prices suit me for what I want.
It is really simple and practical to access for the subscription and monitoring of the contract.</v>
      </c>
    </row>
    <row r="661" ht="15.75" customHeight="1">
      <c r="A661" s="2">
        <v>4.0</v>
      </c>
      <c r="B661" s="2" t="s">
        <v>1889</v>
      </c>
      <c r="C661" s="2" t="s">
        <v>1890</v>
      </c>
      <c r="D661" s="2" t="s">
        <v>62</v>
      </c>
      <c r="E661" s="2" t="s">
        <v>21</v>
      </c>
      <c r="F661" s="2" t="s">
        <v>15</v>
      </c>
      <c r="G661" s="2" t="s">
        <v>601</v>
      </c>
      <c r="H661" s="2" t="s">
        <v>59</v>
      </c>
      <c r="I661" s="2" t="str">
        <f>IFERROR(__xludf.DUMMYFUNCTION("GOOGLETRANSLATE(C661,""fr"",""en"")"),"Loading...")</f>
        <v>Loading...</v>
      </c>
    </row>
    <row r="662" ht="15.75" customHeight="1">
      <c r="A662" s="2">
        <v>1.0</v>
      </c>
      <c r="B662" s="2" t="s">
        <v>1891</v>
      </c>
      <c r="C662" s="2" t="s">
        <v>1892</v>
      </c>
      <c r="D662" s="2" t="s">
        <v>62</v>
      </c>
      <c r="E662" s="2" t="s">
        <v>21</v>
      </c>
      <c r="F662" s="2" t="s">
        <v>15</v>
      </c>
      <c r="G662" s="2" t="s">
        <v>1893</v>
      </c>
      <c r="H662" s="2" t="s">
        <v>64</v>
      </c>
      <c r="I662" s="2" t="str">
        <f>IFERROR(__xludf.DUMMYFUNCTION("GOOGLETRANSLATE(C662,""fr"",""en"")"),"I do not understand how Direct Insurance can argue that my vehicle makes 7CV when its gray card attests that it is 5hp. The steps to succeed in obtaining their case on an evidence also seems to me to be dissuasive ...
")</f>
        <v>I do not understand how Direct Insurance can argue that my vehicle makes 7CV when its gray card attests that it is 5hp. The steps to succeed in obtaining their case on an evidence also seems to me to be dissuasive ...
</v>
      </c>
    </row>
    <row r="663" ht="15.75" customHeight="1">
      <c r="A663" s="2">
        <v>5.0</v>
      </c>
      <c r="B663" s="2" t="s">
        <v>1894</v>
      </c>
      <c r="C663" s="2" t="s">
        <v>1895</v>
      </c>
      <c r="D663" s="2" t="s">
        <v>26</v>
      </c>
      <c r="E663" s="2" t="s">
        <v>21</v>
      </c>
      <c r="F663" s="2" t="s">
        <v>15</v>
      </c>
      <c r="G663" s="2" t="s">
        <v>1896</v>
      </c>
      <c r="H663" s="2" t="s">
        <v>1897</v>
      </c>
      <c r="I663" s="2" t="str">
        <f>IFERROR(__xludf.DUMMYFUNCTION("GOOGLETRANSLATE(C663,""fr"",""en"")"),"Loading...")</f>
        <v>Loading...</v>
      </c>
    </row>
    <row r="664" ht="15.75" customHeight="1">
      <c r="A664" s="2">
        <v>1.0</v>
      </c>
      <c r="B664" s="2" t="s">
        <v>1898</v>
      </c>
      <c r="C664" s="2" t="s">
        <v>1899</v>
      </c>
      <c r="D664" s="2" t="s">
        <v>62</v>
      </c>
      <c r="E664" s="2" t="s">
        <v>21</v>
      </c>
      <c r="F664" s="2" t="s">
        <v>15</v>
      </c>
      <c r="G664" s="2" t="s">
        <v>1900</v>
      </c>
      <c r="H664" s="2" t="s">
        <v>154</v>
      </c>
      <c r="I664" s="2" t="str">
        <f>IFERROR(__xludf.DUMMYFUNCTION("GOOGLETRANSLATE(C664,""fr"",""en"")"),"The price seems expensive to know that I am already a customer at home, and that I already have another car at home.
I am waiting for a commercial gesture, and have comparative quotes carried out at other insurers waiting.")</f>
        <v>The price seems expensive to know that I am already a customer at home, and that I already have another car at home.
I am waiting for a commercial gesture, and have comparative quotes carried out at other insurers waiting.</v>
      </c>
    </row>
    <row r="665" ht="15.75" customHeight="1">
      <c r="A665" s="2">
        <v>1.0</v>
      </c>
      <c r="B665" s="2" t="s">
        <v>1901</v>
      </c>
      <c r="C665" s="2" t="s">
        <v>1902</v>
      </c>
      <c r="D665" s="2" t="s">
        <v>637</v>
      </c>
      <c r="E665" s="2" t="s">
        <v>104</v>
      </c>
      <c r="F665" s="2" t="s">
        <v>15</v>
      </c>
      <c r="G665" s="2" t="s">
        <v>59</v>
      </c>
      <c r="H665" s="2" t="s">
        <v>59</v>
      </c>
      <c r="I665" s="2" t="str">
        <f>IFERROR(__xludf.DUMMYFUNCTION("GOOGLETRANSLATE(C665,""fr"",""en"")"),"Terrible! From errors to mistakes, from days to days, if not sympathetic advisers who provide reassuring words and who cannot ultimately be able to do much ... when it is possible to communicate via 09 ... . And nothing moves. A few weeks ago, it was TV w"&amp;"ork. In this expression, there is the word work anyway.
Here we wait for the word ""holidays"". If still you had to laugh at explaining the simple ""I don't care"" from an organism, which nevertheless desperately tries to make believe in a few values ​​f"&amp;"or which he has no respect.")</f>
        <v>Terrible! From errors to mistakes, from days to days, if not sympathetic advisers who provide reassuring words and who cannot ultimately be able to do much ... when it is possible to communicate via 09 ... . And nothing moves. A few weeks ago, it was TV work. In this expression, there is the word work anyway.
Here we wait for the word "holidays". If still you had to laugh at explaining the simple "I don't care" from an organism, which nevertheless desperately tries to make believe in a few values ​​for which he has no respect.</v>
      </c>
    </row>
    <row r="666" ht="15.75" customHeight="1">
      <c r="A666" s="2">
        <v>4.0</v>
      </c>
      <c r="B666" s="2" t="s">
        <v>1903</v>
      </c>
      <c r="C666" s="2" t="s">
        <v>1904</v>
      </c>
      <c r="D666" s="2" t="s">
        <v>274</v>
      </c>
      <c r="E666" s="2" t="s">
        <v>14</v>
      </c>
      <c r="F666" s="2" t="s">
        <v>15</v>
      </c>
      <c r="G666" s="2" t="s">
        <v>1905</v>
      </c>
      <c r="H666" s="2" t="s">
        <v>276</v>
      </c>
      <c r="I666" s="2" t="str">
        <f>IFERROR(__xludf.DUMMYFUNCTION("GOOGLETRANSLATE(C666,""fr"",""en"")"),"Always listening and very satisfactory service, reactive service and very competent agent who always meets our requests. Very satisfied with telephone exchanges and taking into account information that is processed quickly.")</f>
        <v>Always listening and very satisfactory service, reactive service and very competent agent who always meets our requests. Very satisfied with telephone exchanges and taking into account information that is processed quickly.</v>
      </c>
    </row>
    <row r="667" ht="15.75" customHeight="1">
      <c r="A667" s="2">
        <v>5.0</v>
      </c>
      <c r="B667" s="2" t="s">
        <v>1906</v>
      </c>
      <c r="C667" s="2" t="s">
        <v>1907</v>
      </c>
      <c r="D667" s="2" t="s">
        <v>42</v>
      </c>
      <c r="E667" s="2" t="s">
        <v>21</v>
      </c>
      <c r="F667" s="2" t="s">
        <v>15</v>
      </c>
      <c r="G667" s="2" t="s">
        <v>1538</v>
      </c>
      <c r="H667" s="2" t="s">
        <v>54</v>
      </c>
      <c r="I667" s="2" t="str">
        <f>IFERROR(__xludf.DUMMYFUNCTION("GOOGLETRANSLATE(C667,""fr"",""en"")"),"Loading...")</f>
        <v>Loading...</v>
      </c>
    </row>
    <row r="668" ht="15.75" customHeight="1">
      <c r="A668" s="2">
        <v>1.0</v>
      </c>
      <c r="B668" s="2" t="s">
        <v>1908</v>
      </c>
      <c r="C668" s="2" t="s">
        <v>1909</v>
      </c>
      <c r="D668" s="2" t="s">
        <v>37</v>
      </c>
      <c r="E668" s="2" t="s">
        <v>14</v>
      </c>
      <c r="F668" s="2" t="s">
        <v>15</v>
      </c>
      <c r="G668" s="2" t="s">
        <v>1910</v>
      </c>
      <c r="H668" s="2" t="s">
        <v>215</v>
      </c>
      <c r="I668" s="2" t="str">
        <f>IFERROR(__xludf.DUMMYFUNCTION("GOOGLETRANSLATE(C668,""fr"",""en"")"),"I find it unacceptable to have to claim our reimbursement counts and they refuse to send them to us on the pretext that they send them once every quarters when we have to change glasses which are very badly reimbursed we must advance the supplement which "&amp;"could be reimbursed by Another mutual that we were forced to take but we have to wait more than three months to have the complement but April does not care we are only pawns if we work it is not for glory but to live we have quickly need our money since l"&amp;"ast month I have been waiting for my accounts")</f>
        <v>I find it unacceptable to have to claim our reimbursement counts and they refuse to send them to us on the pretext that they send them once every quarters when we have to change glasses which are very badly reimbursed we must advance the supplement which could be reimbursed by Another mutual that we were forced to take but we have to wait more than three months to have the complement but April does not care we are only pawns if we work it is not for glory but to live we have quickly need our money since last month I have been waiting for my accounts</v>
      </c>
    </row>
    <row r="669" ht="15.75" customHeight="1">
      <c r="A669" s="2">
        <v>5.0</v>
      </c>
      <c r="B669" s="2" t="s">
        <v>1911</v>
      </c>
      <c r="C669" s="2" t="s">
        <v>1912</v>
      </c>
      <c r="D669" s="2" t="s">
        <v>42</v>
      </c>
      <c r="E669" s="2" t="s">
        <v>21</v>
      </c>
      <c r="F669" s="2" t="s">
        <v>15</v>
      </c>
      <c r="G669" s="2" t="s">
        <v>1913</v>
      </c>
      <c r="H669" s="2" t="s">
        <v>1108</v>
      </c>
      <c r="I669" s="2" t="str">
        <f>IFERROR(__xludf.DUMMYFUNCTION("GOOGLETRANSLATE(C669,""fr"",""en"")"),"Hello I recommend the insurer among the best insurance companies level quality/ price.")</f>
        <v>Hello I recommend the insurer among the best insurance companies level quality/ price.</v>
      </c>
    </row>
    <row r="670" ht="15.75" customHeight="1">
      <c r="A670" s="2">
        <v>2.0</v>
      </c>
      <c r="B670" s="2" t="s">
        <v>1914</v>
      </c>
      <c r="C670" s="2" t="s">
        <v>1915</v>
      </c>
      <c r="D670" s="2" t="s">
        <v>26</v>
      </c>
      <c r="E670" s="2" t="s">
        <v>21</v>
      </c>
      <c r="F670" s="2" t="s">
        <v>15</v>
      </c>
      <c r="G670" s="2" t="s">
        <v>1916</v>
      </c>
      <c r="H670" s="2" t="s">
        <v>271</v>
      </c>
      <c r="I670" s="2" t="str">
        <f>IFERROR(__xludf.DUMMYFUNCTION("GOOGLETRANSLATE(C670,""fr"",""en"")"),"9 years of insurance without incident on two auto/motorcycle contracts and in the first claim the contract is terminated. By email person answers you. By phone we walk around and we don't give you any clear answer, that ""I think"" ...
Flee Matmut !!")</f>
        <v>9 years of insurance without incident on two auto/motorcycle contracts and in the first claim the contract is terminated. By email person answers you. By phone we walk around and we don't give you any clear answer, that "I think" ...
Flee Matmut !!</v>
      </c>
    </row>
    <row r="671" ht="15.75" customHeight="1">
      <c r="A671" s="2">
        <v>3.0</v>
      </c>
      <c r="B671" s="2" t="s">
        <v>1917</v>
      </c>
      <c r="C671" s="2" t="s">
        <v>1918</v>
      </c>
      <c r="D671" s="2" t="s">
        <v>42</v>
      </c>
      <c r="E671" s="2" t="s">
        <v>21</v>
      </c>
      <c r="F671" s="2" t="s">
        <v>15</v>
      </c>
      <c r="G671" s="2" t="s">
        <v>644</v>
      </c>
      <c r="H671" s="2" t="s">
        <v>39</v>
      </c>
      <c r="I671" s="2" t="str">
        <f>IFERROR(__xludf.DUMMYFUNCTION("GOOGLETRANSLATE(C671,""fr"",""en"")"),"I bought a vehicle, which replaces the current one. I did not manage to modify the current contract to ""replace"" the vehicle in the contract. With each test, the website plants and returns me to the connection page. So I created a second contract, in or"&amp;"der to be able to ensure the new vehicle. I will request the deletion of the vehicle that will be sold tomorrow. Too bad to have to do all your manipulations ...")</f>
        <v>I bought a vehicle, which replaces the current one. I did not manage to modify the current contract to "replace" the vehicle in the contract. With each test, the website plants and returns me to the connection page. So I created a second contract, in order to be able to ensure the new vehicle. I will request the deletion of the vehicle that will be sold tomorrow. Too bad to have to do all your manipulations ...</v>
      </c>
    </row>
    <row r="672" ht="15.75" customHeight="1">
      <c r="A672" s="2">
        <v>2.0</v>
      </c>
      <c r="B672" s="2" t="s">
        <v>1919</v>
      </c>
      <c r="C672" s="2" t="s">
        <v>1920</v>
      </c>
      <c r="D672" s="2" t="s">
        <v>95</v>
      </c>
      <c r="E672" s="2" t="s">
        <v>32</v>
      </c>
      <c r="F672" s="2" t="s">
        <v>15</v>
      </c>
      <c r="G672" s="2" t="s">
        <v>1921</v>
      </c>
      <c r="H672" s="2" t="s">
        <v>201</v>
      </c>
      <c r="I672" s="2" t="str">
        <f>IFERROR(__xludf.DUMMYFUNCTION("GOOGLETRANSLATE(C672,""fr"",""en"")"),"Lamentable! Impossible to reach an advisor; For a week we have been supposed to remind me and still nothing, while the demand is urgent")</f>
        <v>Lamentable! Impossible to reach an advisor; For a week we have been supposed to remind me and still nothing, while the demand is urgent</v>
      </c>
    </row>
    <row r="673" ht="15.75" customHeight="1">
      <c r="A673" s="2">
        <v>5.0</v>
      </c>
      <c r="B673" s="2" t="s">
        <v>1922</v>
      </c>
      <c r="C673" s="2" t="s">
        <v>1923</v>
      </c>
      <c r="D673" s="2" t="s">
        <v>42</v>
      </c>
      <c r="E673" s="2" t="s">
        <v>21</v>
      </c>
      <c r="F673" s="2" t="s">
        <v>15</v>
      </c>
      <c r="G673" s="2" t="s">
        <v>1633</v>
      </c>
      <c r="H673" s="2" t="s">
        <v>123</v>
      </c>
      <c r="I673" s="2" t="str">
        <f>IFERROR(__xludf.DUMMYFUNCTION("GOOGLETRANSLATE(C673,""fr"",""en"")"),"The agents are very responsive without forgetting the unbeatable prices.
I recommend the olive tree without hesitation the contracts are adapted to the customer's request.")</f>
        <v>The agents are very responsive without forgetting the unbeatable prices.
I recommend the olive tree without hesitation the contracts are adapted to the customer's request.</v>
      </c>
    </row>
    <row r="674" ht="15.75" customHeight="1">
      <c r="A674" s="2">
        <v>1.0</v>
      </c>
      <c r="B674" s="2" t="s">
        <v>1924</v>
      </c>
      <c r="C674" s="2" t="s">
        <v>1925</v>
      </c>
      <c r="D674" s="2" t="s">
        <v>57</v>
      </c>
      <c r="E674" s="2" t="s">
        <v>14</v>
      </c>
      <c r="F674" s="2" t="s">
        <v>15</v>
      </c>
      <c r="G674" s="2" t="s">
        <v>434</v>
      </c>
      <c r="H674" s="2" t="s">
        <v>59</v>
      </c>
      <c r="I674" s="2" t="str">
        <f>IFERROR(__xludf.DUMMYFUNCTION("GOOGLETRANSLATE(C674,""fr"",""en"")"),"0 pointed since March 1, no reimbursements do not respond to emails phone phone when I read the comments is scary. The broker absent")</f>
        <v>0 pointed since March 1, no reimbursements do not respond to emails phone phone when I read the comments is scary. The broker absent</v>
      </c>
    </row>
    <row r="675" ht="15.75" customHeight="1">
      <c r="A675" s="2">
        <v>5.0</v>
      </c>
      <c r="B675" s="2" t="s">
        <v>1926</v>
      </c>
      <c r="C675" s="2" t="s">
        <v>1927</v>
      </c>
      <c r="D675" s="2" t="s">
        <v>62</v>
      </c>
      <c r="E675" s="2" t="s">
        <v>21</v>
      </c>
      <c r="F675" s="2" t="s">
        <v>15</v>
      </c>
      <c r="G675" s="2" t="s">
        <v>1298</v>
      </c>
      <c r="H675" s="2" t="s">
        <v>44</v>
      </c>
      <c r="I675" s="2" t="str">
        <f>IFERROR(__xludf.DUMMYFUNCTION("GOOGLETRANSLATE(C675,""fr"",""en"")"),"Satisfied with the service. Happy detecting to assure Direct Assurance
Punctual professional staff and a Lecoute. I have been insuming with them for more than two years
")</f>
        <v>Satisfied with the service. Happy detecting to assure Direct Assurance
Punctual professional staff and a Lecoute. I have been insuming with them for more than two years
</v>
      </c>
    </row>
    <row r="676" ht="15.75" customHeight="1">
      <c r="A676" s="2">
        <v>1.0</v>
      </c>
      <c r="B676" s="2" t="s">
        <v>1928</v>
      </c>
      <c r="C676" s="2" t="s">
        <v>1929</v>
      </c>
      <c r="D676" s="2" t="s">
        <v>368</v>
      </c>
      <c r="E676" s="2" t="s">
        <v>21</v>
      </c>
      <c r="F676" s="2" t="s">
        <v>15</v>
      </c>
      <c r="G676" s="2" t="s">
        <v>1930</v>
      </c>
      <c r="H676" s="2" t="s">
        <v>569</v>
      </c>
      <c r="I676" s="2" t="str">
        <f>IFERROR(__xludf.DUMMYFUNCTION("GOOGLETRANSLATE(C676,""fr"",""en"")"),"This insurer is an incredible bad liver. They are sent to them a RIB that they support having taken it into account online with each sample we end up with discharge costs while in reality the new RIB has not been taken into account! We find ourselves for "&amp;"months to pay more while since the subscription of the contract they have not been able to send the green card! After maintaining and maintaining a blow we tell you that we will remind you to remove the rejection costs inflicted and a blow we tell you tha"&amp;"t in fact that you have not sent a rib!
Resemble if you want I expect you for legal litigation! But I won't pay anything anymore!")</f>
        <v>This insurer is an incredible bad liver. They are sent to them a RIB that they support having taken it into account online with each sample we end up with discharge costs while in reality the new RIB has not been taken into account! We find ourselves for months to pay more while since the subscription of the contract they have not been able to send the green card! After maintaining and maintaining a blow we tell you that we will remind you to remove the rejection costs inflicted and a blow we tell you that in fact that you have not sent a rib!
Resemble if you want I expect you for legal litigation! But I won't pay anything anymore!</v>
      </c>
    </row>
    <row r="677" ht="15.75" customHeight="1">
      <c r="A677" s="2">
        <v>2.0</v>
      </c>
      <c r="B677" s="2" t="s">
        <v>1931</v>
      </c>
      <c r="C677" s="2" t="s">
        <v>1932</v>
      </c>
      <c r="D677" s="2" t="s">
        <v>42</v>
      </c>
      <c r="E677" s="2" t="s">
        <v>21</v>
      </c>
      <c r="F677" s="2" t="s">
        <v>15</v>
      </c>
      <c r="G677" s="2" t="s">
        <v>1933</v>
      </c>
      <c r="H677" s="2" t="s">
        <v>54</v>
      </c>
      <c r="I677" s="2" t="str">
        <f>IFERROR(__xludf.DUMMYFUNCTION("GOOGLETRANSLATE(C677,""fr"",""en"")"),"More than 100 euros have been added: ""taxes""
125th requested as deposits but it is just a tax sample.
So yes correct monthly payment every month, but the first monthly payment of 125th not planned.")</f>
        <v>More than 100 euros have been added: "taxes"
125th requested as deposits but it is just a tax sample.
So yes correct monthly payment every month, but the first monthly payment of 125th not planned.</v>
      </c>
    </row>
    <row r="678" ht="15.75" customHeight="1">
      <c r="A678" s="2">
        <v>3.0</v>
      </c>
      <c r="B678" s="2" t="s">
        <v>1934</v>
      </c>
      <c r="C678" s="2" t="s">
        <v>1935</v>
      </c>
      <c r="D678" s="2" t="s">
        <v>62</v>
      </c>
      <c r="E678" s="2" t="s">
        <v>21</v>
      </c>
      <c r="F678" s="2" t="s">
        <v>15</v>
      </c>
      <c r="G678" s="2" t="s">
        <v>318</v>
      </c>
      <c r="H678" s="2" t="s">
        <v>123</v>
      </c>
      <c r="I678" s="2" t="str">
        <f>IFERROR(__xludf.DUMMYFUNCTION("GOOGLETRANSLATE(C678,""fr"",""en"")"),"No communication
Only the price confirmed the choice of my insurance company
And the current offer two months offered for home subscription")</f>
        <v>No communication
Only the price confirmed the choice of my insurance company
And the current offer two months offered for home subscription</v>
      </c>
    </row>
    <row r="679" ht="15.75" customHeight="1">
      <c r="A679" s="2">
        <v>3.0</v>
      </c>
      <c r="B679" s="2" t="s">
        <v>1936</v>
      </c>
      <c r="C679" s="2" t="s">
        <v>1937</v>
      </c>
      <c r="D679" s="2" t="s">
        <v>62</v>
      </c>
      <c r="E679" s="2" t="s">
        <v>21</v>
      </c>
      <c r="F679" s="2" t="s">
        <v>15</v>
      </c>
      <c r="G679" s="2" t="s">
        <v>1938</v>
      </c>
      <c r="H679" s="2" t="s">
        <v>582</v>
      </c>
      <c r="I679" s="2" t="str">
        <f>IFERROR(__xludf.DUMMYFUNCTION("GOOGLETRANSLATE(C679,""fr"",""en"")"),"I have just taken out auto insurance at Direct Assurances and already declared a small claim (broken lighthouse, crumpled sheet)")</f>
        <v>I have just taken out auto insurance at Direct Assurances and already declared a small claim (broken lighthouse, crumpled sheet)</v>
      </c>
    </row>
    <row r="680" ht="15.75" customHeight="1">
      <c r="A680" s="2">
        <v>5.0</v>
      </c>
      <c r="B680" s="2" t="s">
        <v>1939</v>
      </c>
      <c r="C680" s="2" t="s">
        <v>1940</v>
      </c>
      <c r="D680" s="2" t="s">
        <v>62</v>
      </c>
      <c r="E680" s="2" t="s">
        <v>21</v>
      </c>
      <c r="F680" s="2" t="s">
        <v>15</v>
      </c>
      <c r="G680" s="2" t="s">
        <v>126</v>
      </c>
      <c r="H680" s="2" t="s">
        <v>44</v>
      </c>
      <c r="I680" s="2" t="str">
        <f>IFERROR(__xludf.DUMMYFUNCTION("GOOGLETRANSLATE(C680,""fr"",""en"")"),"I find it very simple to fill, and it's quite fast. And price level, for a new driver like me, I could not find better. I was sponsored so I earn 20 € and my godfather 20 € too (it's too good)
")</f>
        <v>I find it very simple to fill, and it's quite fast. And price level, for a new driver like me, I could not find better. I was sponsored so I earn 20 € and my godfather 20 € too (it's too good)
</v>
      </c>
    </row>
    <row r="681" ht="15.75" customHeight="1">
      <c r="A681" s="2">
        <v>4.0</v>
      </c>
      <c r="B681" s="2" t="s">
        <v>1941</v>
      </c>
      <c r="C681" s="2" t="s">
        <v>1942</v>
      </c>
      <c r="D681" s="2" t="s">
        <v>42</v>
      </c>
      <c r="E681" s="2" t="s">
        <v>21</v>
      </c>
      <c r="F681" s="2" t="s">
        <v>15</v>
      </c>
      <c r="G681" s="2" t="s">
        <v>1943</v>
      </c>
      <c r="H681" s="2" t="s">
        <v>72</v>
      </c>
      <c r="I681" s="2" t="str">
        <f>IFERROR(__xludf.DUMMYFUNCTION("GOOGLETRANSLATE(C681,""fr"",""en"")"),"I am satisfied with the service as well as the price of insurance. I generally recommend your company to my friends, who are generally satisfied with it.")</f>
        <v>I am satisfied with the service as well as the price of insurance. I generally recommend your company to my friends, who are generally satisfied with it.</v>
      </c>
    </row>
    <row r="682" ht="15.75" customHeight="1">
      <c r="A682" s="2">
        <v>1.0</v>
      </c>
      <c r="B682" s="2" t="s">
        <v>1944</v>
      </c>
      <c r="C682" s="2" t="s">
        <v>1945</v>
      </c>
      <c r="D682" s="2" t="s">
        <v>47</v>
      </c>
      <c r="E682" s="2" t="s">
        <v>104</v>
      </c>
      <c r="F682" s="2" t="s">
        <v>15</v>
      </c>
      <c r="G682" s="2" t="s">
        <v>1946</v>
      </c>
      <c r="H682" s="2" t="s">
        <v>50</v>
      </c>
      <c r="I682" s="2" t="str">
        <f>IFERROR(__xludf.DUMMYFUNCTION("GOOGLETRANSLATE(C682,""fr"",""en"")"),"Being an independent profession, I had subscribed 4 years before having a health concern for a disability contract (in 2013) I unfortunately had a work stoppage of more than a year in 2017 recognized in invalidity at 63 years by my Caisse compulsory after"&amp;" 37 years of liberal nurse exercise and 6 years of work in the hospital. The AXA insurance company took 18 months to answer me nearly several recommended letters. The visit to the AXA consulting physician was very difficult, the doctor questioning my word"&amp;"s and being extremely unpleasant and aggressive. I pointed out to the director of AXA by mail R with AR. I never had an answer. After 18 months after my disability by my compulsory fund, after numerous letters and interrogations, I received a sum, the amo"&amp;"unt of which was a third of the amount I had taken out on the contract. I didn’t have the courage to continue and fight to get my rights. I abandoned, but I am extremely dissatisfied with the AXA company.")</f>
        <v>Being an independent profession, I had subscribed 4 years before having a health concern for a disability contract (in 2013) I unfortunately had a work stoppage of more than a year in 2017 recognized in invalidity at 63 years by my Caisse compulsory after 37 years of liberal nurse exercise and 6 years of work in the hospital. The AXA insurance company took 18 months to answer me nearly several recommended letters. The visit to the AXA consulting physician was very difficult, the doctor questioning my words and being extremely unpleasant and aggressive. I pointed out to the director of AXA by mail R with AR. I never had an answer. After 18 months after my disability by my compulsory fund, after numerous letters and interrogations, I received a sum, the amount of which was a third of the amount I had taken out on the contract. I didn’t have the courage to continue and fight to get my rights. I abandoned, but I am extremely dissatisfied with the AXA company.</v>
      </c>
    </row>
    <row r="683" ht="15.75" customHeight="1">
      <c r="A683" s="2">
        <v>1.0</v>
      </c>
      <c r="B683" s="2" t="s">
        <v>1947</v>
      </c>
      <c r="C683" s="2" t="s">
        <v>1948</v>
      </c>
      <c r="D683" s="2" t="s">
        <v>31</v>
      </c>
      <c r="E683" s="2" t="s">
        <v>32</v>
      </c>
      <c r="F683" s="2" t="s">
        <v>15</v>
      </c>
      <c r="G683" s="2" t="s">
        <v>1079</v>
      </c>
      <c r="H683" s="2" t="s">
        <v>72</v>
      </c>
      <c r="I683" s="2" t="str">
        <f>IFERROR(__xludf.DUMMYFUNCTION("GOOGLETRANSLATE(C683,""fr"",""en"")"),"At April Moto Moto for 10 years any risk without claim € 54 /month
First declaration attempt to flight. Degradation of the Neyman Franchise € 450 penalty Absence of engraving while I still have my motorcycle € 450. Result 0 Refund
Processing of the file"&amp;" by private broker without state of soul its role not to reimburse flee !! Go elsewhere to check conditions and service to ensure it")</f>
        <v>At April Moto Moto for 10 years any risk without claim € 54 /month
First declaration attempt to flight. Degradation of the Neyman Franchise € 450 penalty Absence of engraving while I still have my motorcycle € 450. Result 0 Refund
Processing of the file by private broker without state of soul its role not to reimburse flee !! Go elsewhere to check conditions and service to ensure it</v>
      </c>
    </row>
    <row r="684" ht="15.75" customHeight="1">
      <c r="A684" s="2">
        <v>1.0</v>
      </c>
      <c r="B684" s="2" t="s">
        <v>1949</v>
      </c>
      <c r="C684" s="2" t="s">
        <v>1950</v>
      </c>
      <c r="D684" s="2" t="s">
        <v>578</v>
      </c>
      <c r="E684" s="2" t="s">
        <v>129</v>
      </c>
      <c r="F684" s="2" t="s">
        <v>15</v>
      </c>
      <c r="G684" s="2" t="s">
        <v>1951</v>
      </c>
      <c r="H684" s="2" t="s">
        <v>113</v>
      </c>
      <c r="I684" s="2" t="str">
        <f>IFERROR(__xludf.DUMMYFUNCTION("GOOGLETRANSLATE(C684,""fr"",""en"")"),"If you could put 0 without hesitation I would do it.
")</f>
        <v>If you could put 0 without hesitation I would do it.
</v>
      </c>
    </row>
    <row r="685" ht="15.75" customHeight="1">
      <c r="A685" s="2">
        <v>5.0</v>
      </c>
      <c r="B685" s="2" t="s">
        <v>1952</v>
      </c>
      <c r="C685" s="2" t="s">
        <v>1953</v>
      </c>
      <c r="D685" s="2" t="s">
        <v>1436</v>
      </c>
      <c r="E685" s="2" t="s">
        <v>76</v>
      </c>
      <c r="F685" s="2" t="s">
        <v>15</v>
      </c>
      <c r="G685" s="2" t="s">
        <v>1954</v>
      </c>
      <c r="H685" s="2" t="s">
        <v>886</v>
      </c>
      <c r="I685" s="2" t="str">
        <f>IFERROR(__xludf.DUMMYFUNCTION("GOOGLETRANSLATE(C685,""fr"",""en"")"),"Very satisfied with my advisor and her detailed explanations. Economy made of more than 6,000 euros on my entire real estate loan.")</f>
        <v>Very satisfied with my advisor and her detailed explanations. Economy made of more than 6,000 euros on my entire real estate loan.</v>
      </c>
    </row>
    <row r="686" ht="15.75" customHeight="1">
      <c r="A686" s="2">
        <v>5.0</v>
      </c>
      <c r="B686" s="2" t="s">
        <v>1955</v>
      </c>
      <c r="C686" s="2" t="s">
        <v>1956</v>
      </c>
      <c r="D686" s="2" t="s">
        <v>274</v>
      </c>
      <c r="E686" s="2" t="s">
        <v>14</v>
      </c>
      <c r="F686" s="2" t="s">
        <v>15</v>
      </c>
      <c r="G686" s="2" t="s">
        <v>1957</v>
      </c>
      <c r="H686" s="2" t="s">
        <v>193</v>
      </c>
      <c r="I686" s="2" t="str">
        <f>IFERROR(__xludf.DUMMYFUNCTION("GOOGLETRANSLATE(C686,""fr"",""en"")"),"The advisers have always been listening and always found solutions to my issues.
This day 18/09, the advisor explained to me and directed to the right path concerning my first meeting for the port of glasses by sending me by email the partner opticians o"&amp;"f my city.
Also for the change of my insurance thanks to them I was able to get involved at GMF since there is a partnership between the 2 parties, now I pay less.
I completely recommend MGP.
")</f>
        <v>The advisers have always been listening and always found solutions to my issues.
This day 18/09, the advisor explained to me and directed to the right path concerning my first meeting for the port of glasses by sending me by email the partner opticians of my city.
Also for the change of my insurance thanks to them I was able to get involved at GMF since there is a partnership between the 2 parties, now I pay less.
I completely recommend MGP.
</v>
      </c>
    </row>
    <row r="687" ht="15.75" customHeight="1">
      <c r="A687" s="2">
        <v>4.0</v>
      </c>
      <c r="B687" s="2" t="s">
        <v>1958</v>
      </c>
      <c r="C687" s="2" t="s">
        <v>1959</v>
      </c>
      <c r="D687" s="2" t="s">
        <v>67</v>
      </c>
      <c r="E687" s="2" t="s">
        <v>32</v>
      </c>
      <c r="F687" s="2" t="s">
        <v>15</v>
      </c>
      <c r="G687" s="2" t="s">
        <v>1061</v>
      </c>
      <c r="H687" s="2" t="s">
        <v>72</v>
      </c>
      <c r="I687" s="2" t="str">
        <f>IFERROR(__xludf.DUMMYFUNCTION("GOOGLETRANSLATE(C687,""fr"",""en"")"),"Very good satisfaction of my AMV insurance. Very professional. Very responsive. Just for my seniority an attractive price would be welcome.")</f>
        <v>Very good satisfaction of my AMV insurance. Very professional. Very responsive. Just for my seniority an attractive price would be welcome.</v>
      </c>
    </row>
    <row r="688" ht="15.75" customHeight="1">
      <c r="A688" s="2">
        <v>1.0</v>
      </c>
      <c r="B688" s="2" t="s">
        <v>1960</v>
      </c>
      <c r="C688" s="2" t="s">
        <v>1961</v>
      </c>
      <c r="D688" s="2" t="s">
        <v>250</v>
      </c>
      <c r="E688" s="2" t="s">
        <v>129</v>
      </c>
      <c r="F688" s="2" t="s">
        <v>15</v>
      </c>
      <c r="G688" s="2" t="s">
        <v>1576</v>
      </c>
      <c r="H688" s="2" t="s">
        <v>838</v>
      </c>
      <c r="I688" s="2" t="str">
        <f>IFERROR(__xludf.DUMMYFUNCTION("GOOGLETRANSLATE(C688,""fr"",""en"")"),"Scandalous
Member for over 40 years, water damage has still not been taken care of for more than 2 years ...
I cannot use my premises, no response to my LRAR, I consider legal action")</f>
        <v>Scandalous
Member for over 40 years, water damage has still not been taken care of for more than 2 years ...
I cannot use my premises, no response to my LRAR, I consider legal action</v>
      </c>
    </row>
    <row r="689" ht="15.75" customHeight="1">
      <c r="A689" s="2">
        <v>2.0</v>
      </c>
      <c r="B689" s="2" t="s">
        <v>1962</v>
      </c>
      <c r="C689" s="2" t="s">
        <v>1963</v>
      </c>
      <c r="D689" s="2" t="s">
        <v>75</v>
      </c>
      <c r="E689" s="2" t="s">
        <v>76</v>
      </c>
      <c r="F689" s="2" t="s">
        <v>15</v>
      </c>
      <c r="G689" s="2" t="s">
        <v>1964</v>
      </c>
      <c r="H689" s="2" t="s">
        <v>225</v>
      </c>
      <c r="I689" s="2" t="str">
        <f>IFERROR(__xludf.DUMMYFUNCTION("GOOGLETRANSLATE(C689,""fr"",""en"")"),"Request for support on 02/22/2019, from 8 documents for parts and always a file in progress while all requests have been satisfied.
All this for a simple file: a scooter accident!
Is a shame a strategy to save time?")</f>
        <v>Request for support on 02/22/2019, from 8 documents for parts and always a file in progress while all requests have been satisfied.
All this for a simple file: a scooter accident!
Is a shame a strategy to save time?</v>
      </c>
    </row>
    <row r="690" ht="15.75" customHeight="1">
      <c r="A690" s="2">
        <v>5.0</v>
      </c>
      <c r="B690" s="2" t="s">
        <v>1965</v>
      </c>
      <c r="C690" s="2" t="s">
        <v>1966</v>
      </c>
      <c r="D690" s="2" t="s">
        <v>62</v>
      </c>
      <c r="E690" s="2" t="s">
        <v>21</v>
      </c>
      <c r="F690" s="2" t="s">
        <v>15</v>
      </c>
      <c r="G690" s="2" t="s">
        <v>880</v>
      </c>
      <c r="H690" s="2" t="s">
        <v>44</v>
      </c>
      <c r="I690" s="2" t="str">
        <f>IFERROR(__xludf.DUMMYFUNCTION("GOOGLETRANSLATE(C690,""fr"",""en"")"),"Too fast !! Attractive rates I recommend
Really good
Try this day and already nearby… ..
Lots of choice of options ... we take what interests us")</f>
        <v>Too fast !! Attractive rates I recommend
Really good
Try this day and already nearby… ..
Lots of choice of options ... we take what interests us</v>
      </c>
    </row>
    <row r="691" ht="15.75" customHeight="1">
      <c r="A691" s="2">
        <v>1.0</v>
      </c>
      <c r="B691" s="2" t="s">
        <v>1967</v>
      </c>
      <c r="C691" s="2" t="s">
        <v>1968</v>
      </c>
      <c r="D691" s="2" t="s">
        <v>42</v>
      </c>
      <c r="E691" s="2" t="s">
        <v>21</v>
      </c>
      <c r="F691" s="2" t="s">
        <v>15</v>
      </c>
      <c r="G691" s="2" t="s">
        <v>1969</v>
      </c>
      <c r="H691" s="2" t="s">
        <v>161</v>
      </c>
      <c r="I691" s="2" t="str">
        <f>IFERROR(__xludf.DUMMYFUNCTION("GOOGLETRANSLATE(C691,""fr"",""en"")"),"Loading...")</f>
        <v>Loading...</v>
      </c>
    </row>
    <row r="692" ht="15.75" customHeight="1">
      <c r="A692" s="2">
        <v>1.0</v>
      </c>
      <c r="B692" s="2" t="s">
        <v>1970</v>
      </c>
      <c r="C692" s="2" t="s">
        <v>1971</v>
      </c>
      <c r="D692" s="2" t="s">
        <v>62</v>
      </c>
      <c r="E692" s="2" t="s">
        <v>21</v>
      </c>
      <c r="F692" s="2" t="s">
        <v>15</v>
      </c>
      <c r="G692" s="2" t="s">
        <v>1972</v>
      </c>
      <c r="H692" s="2" t="s">
        <v>72</v>
      </c>
      <c r="I692" s="2" t="str">
        <f>IFERROR(__xludf.DUMMYFUNCTION("GOOGLETRANSLATE(C692,""fr"",""en"")"),"I am absolutely not satisfied with your services and your annual prices increase (especially this year), looking forward to no longer having you as an insurer.")</f>
        <v>I am absolutely not satisfied with your services and your annual prices increase (especially this year), looking forward to no longer having you as an insurer.</v>
      </c>
    </row>
    <row r="693" ht="15.75" customHeight="1">
      <c r="A693" s="2">
        <v>1.0</v>
      </c>
      <c r="B693" s="2" t="s">
        <v>1973</v>
      </c>
      <c r="C693" s="2" t="s">
        <v>1974</v>
      </c>
      <c r="D693" s="2" t="s">
        <v>196</v>
      </c>
      <c r="E693" s="2" t="s">
        <v>21</v>
      </c>
      <c r="F693" s="2" t="s">
        <v>15</v>
      </c>
      <c r="G693" s="2" t="s">
        <v>1975</v>
      </c>
      <c r="H693" s="2" t="s">
        <v>276</v>
      </c>
      <c r="I693" s="2" t="str">
        <f>IFERROR(__xludf.DUMMYFUNCTION("GOOGLETRANSLATE(C693,""fr"",""en"")"),"Loading...")</f>
        <v>Loading...</v>
      </c>
    </row>
    <row r="694" ht="15.75" customHeight="1">
      <c r="A694" s="2">
        <v>1.0</v>
      </c>
      <c r="B694" s="2" t="s">
        <v>1976</v>
      </c>
      <c r="C694" s="2" t="s">
        <v>1977</v>
      </c>
      <c r="D694" s="2" t="s">
        <v>926</v>
      </c>
      <c r="E694" s="2" t="s">
        <v>14</v>
      </c>
      <c r="F694" s="2" t="s">
        <v>15</v>
      </c>
      <c r="G694" s="2" t="s">
        <v>1978</v>
      </c>
      <c r="H694" s="2" t="s">
        <v>429</v>
      </c>
      <c r="I694" s="2" t="str">
        <f>IFERROR(__xludf.DUMMYFUNCTION("GOOGLETRANSLATE(C694,""fr"",""en"")"),"I believe, I am even on: the worst mutual that I saw. 3 months to record it following a bug: no excuse, no gesture. Then teletransmission which does not work + transmission of invoices and proof of reimbursement secu does not work either. Currently I pay "&amp;"a mutual without having the advantages. Very complicated to have them: 2 hours of waiting (no I do not unfortunately exaggerate). And of course no consideration of the problem ... may even be necessary to go to court to obtain a refund ... We are far from"&amp;" simplicity.")</f>
        <v>I believe, I am even on: the worst mutual that I saw. 3 months to record it following a bug: no excuse, no gesture. Then teletransmission which does not work + transmission of invoices and proof of reimbursement secu does not work either. Currently I pay a mutual without having the advantages. Very complicated to have them: 2 hours of waiting (no I do not unfortunately exaggerate). And of course no consideration of the problem ... may even be necessary to go to court to obtain a refund ... We are far from simplicity.</v>
      </c>
    </row>
    <row r="695" ht="15.75" customHeight="1">
      <c r="A695" s="2">
        <v>2.0</v>
      </c>
      <c r="B695" s="2" t="s">
        <v>1979</v>
      </c>
      <c r="C695" s="2" t="s">
        <v>1980</v>
      </c>
      <c r="D695" s="2" t="s">
        <v>99</v>
      </c>
      <c r="E695" s="2" t="s">
        <v>129</v>
      </c>
      <c r="F695" s="2" t="s">
        <v>15</v>
      </c>
      <c r="G695" s="2" t="s">
        <v>1981</v>
      </c>
      <c r="H695" s="2" t="s">
        <v>409</v>
      </c>
      <c r="I695" s="2" t="str">
        <f>IFERROR(__xludf.DUMMYFUNCTION("GOOGLETRANSLATE(C695,""fr"",""en"")"),"Loading...")</f>
        <v>Loading...</v>
      </c>
    </row>
    <row r="696" ht="15.75" customHeight="1">
      <c r="A696" s="2">
        <v>1.0</v>
      </c>
      <c r="B696" s="2" t="s">
        <v>1982</v>
      </c>
      <c r="C696" s="2" t="s">
        <v>1983</v>
      </c>
      <c r="D696" s="2" t="s">
        <v>542</v>
      </c>
      <c r="E696" s="2" t="s">
        <v>90</v>
      </c>
      <c r="F696" s="2" t="s">
        <v>15</v>
      </c>
      <c r="G696" s="2" t="s">
        <v>1984</v>
      </c>
      <c r="H696" s="2" t="s">
        <v>92</v>
      </c>
      <c r="I696" s="2" t="str">
        <f>IFERROR(__xludf.DUMMYFUNCTION("GOOGLETRANSLATE(C696,""fr"",""en"")"),"To flee ... Everything is fine as long as we pay, the problems arrive to recover the money, incompetent commercial, no longer moves, always expecting responses from their hierarchies. There is no real customer service except to sell. The deadlines are ver"&amp;"y long to recover the funds but it is above all that no one says anything to you: 'Your request is sent to the service concerned'. After several calls and email to the salesperson his response to an appointment request: 'If it is for buyout requests, go t"&amp;"hrough the site, I do not travel for that !!!' Especially since in our case, they made a big mistake on the contract and there, 0 advice.")</f>
        <v>To flee ... Everything is fine as long as we pay, the problems arrive to recover the money, incompetent commercial, no longer moves, always expecting responses from their hierarchies. There is no real customer service except to sell. The deadlines are very long to recover the funds but it is above all that no one says anything to you: 'Your request is sent to the service concerned'. After several calls and email to the salesperson his response to an appointment request: 'If it is for buyout requests, go through the site, I do not travel for that !!!' Especially since in our case, they made a big mistake on the contract and there, 0 advice.</v>
      </c>
    </row>
    <row r="697" ht="15.75" customHeight="1">
      <c r="A697" s="2">
        <v>4.0</v>
      </c>
      <c r="B697" s="2" t="s">
        <v>1985</v>
      </c>
      <c r="C697" s="2" t="s">
        <v>1986</v>
      </c>
      <c r="D697" s="2" t="s">
        <v>461</v>
      </c>
      <c r="E697" s="2" t="s">
        <v>32</v>
      </c>
      <c r="F697" s="2" t="s">
        <v>15</v>
      </c>
      <c r="G697" s="2" t="s">
        <v>1987</v>
      </c>
      <c r="H697" s="2" t="s">
        <v>569</v>
      </c>
      <c r="I697" s="2" t="str">
        <f>IFERROR(__xludf.DUMMYFUNCTION("GOOGLETRANSLATE(C697,""fr"",""en"")"),"Loading...")</f>
        <v>Loading...</v>
      </c>
    </row>
    <row r="698" ht="15.75" customHeight="1">
      <c r="A698" s="2">
        <v>5.0</v>
      </c>
      <c r="B698" s="2" t="s">
        <v>1988</v>
      </c>
      <c r="C698" s="2" t="s">
        <v>1989</v>
      </c>
      <c r="D698" s="2" t="s">
        <v>456</v>
      </c>
      <c r="E698" s="2" t="s">
        <v>457</v>
      </c>
      <c r="F698" s="2" t="s">
        <v>15</v>
      </c>
      <c r="G698" s="2" t="s">
        <v>1990</v>
      </c>
      <c r="H698" s="2" t="s">
        <v>266</v>
      </c>
      <c r="I698" s="2" t="str">
        <f>IFERROR(__xludf.DUMMYFUNCTION("GOOGLETRANSLATE(C698,""fr"",""en"")"),"Reimbursement level in accordance with the contract - speed of processing of requests and refund - renewal mail sent for a long time before the date of renewal - animal insured until the end of his life")</f>
        <v>Reimbursement level in accordance with the contract - speed of processing of requests and refund - renewal mail sent for a long time before the date of renewal - animal insured until the end of his life</v>
      </c>
    </row>
    <row r="699" ht="15.75" customHeight="1">
      <c r="A699" s="2">
        <v>1.0</v>
      </c>
      <c r="B699" s="2" t="s">
        <v>1991</v>
      </c>
      <c r="C699" s="2" t="s">
        <v>1992</v>
      </c>
      <c r="D699" s="2" t="s">
        <v>368</v>
      </c>
      <c r="E699" s="2" t="s">
        <v>21</v>
      </c>
      <c r="F699" s="2" t="s">
        <v>15</v>
      </c>
      <c r="G699" s="2" t="s">
        <v>1437</v>
      </c>
      <c r="H699" s="2" t="s">
        <v>252</v>
      </c>
      <c r="I699" s="2" t="str">
        <f>IFERROR(__xludf.DUMMYFUNCTION("GOOGLETRANSLATE(C699,""fr"",""en"")"),"Loading...")</f>
        <v>Loading...</v>
      </c>
    </row>
    <row r="700" ht="15.75" customHeight="1">
      <c r="A700" s="2">
        <v>3.0</v>
      </c>
      <c r="B700" s="2" t="s">
        <v>1993</v>
      </c>
      <c r="C700" s="2" t="s">
        <v>1994</v>
      </c>
      <c r="D700" s="2" t="s">
        <v>99</v>
      </c>
      <c r="E700" s="2" t="s">
        <v>129</v>
      </c>
      <c r="F700" s="2" t="s">
        <v>15</v>
      </c>
      <c r="G700" s="2" t="s">
        <v>1995</v>
      </c>
      <c r="H700" s="2" t="s">
        <v>548</v>
      </c>
      <c r="I700" s="2" t="str">
        <f>IFERROR(__xludf.DUMMYFUNCTION("GOOGLETRANSLATE(C700,""fr"",""en"")"),"Very difficult to reachable (like waiting 8 minutes announced and after 20 minutes we tell you to try another time, but the other time, it is still saturated according to the automatic response, try again later ...)")</f>
        <v>Very difficult to reachable (like waiting 8 minutes announced and after 20 minutes we tell you to try another time, but the other time, it is still saturated according to the automatic response, try again later ...)</v>
      </c>
    </row>
    <row r="701" ht="15.75" customHeight="1">
      <c r="A701" s="2">
        <v>1.0</v>
      </c>
      <c r="B701" s="2" t="s">
        <v>1996</v>
      </c>
      <c r="C701" s="2" t="s">
        <v>1997</v>
      </c>
      <c r="D701" s="2" t="s">
        <v>250</v>
      </c>
      <c r="E701" s="2" t="s">
        <v>129</v>
      </c>
      <c r="F701" s="2" t="s">
        <v>15</v>
      </c>
      <c r="G701" s="2" t="s">
        <v>1998</v>
      </c>
      <c r="H701" s="2" t="s">
        <v>28</v>
      </c>
      <c r="I701" s="2" t="str">
        <f>IFERROR(__xludf.DUMMYFUNCTION("GOOGLETRANSLATE(C701,""fr"",""en"")"),"Branged on September 27, 2019 by two young people who climbed my roof to go through a window on the roof put in oscillating police contact from the scientist I cannot be compensated because no break -in I have been at home for 20 years All my insurances a"&amp;"re there and well I will leave you pay for nothing it does not suit me and my son will go elsewhere")</f>
        <v>Branged on September 27, 2019 by two young people who climbed my roof to go through a window on the roof put in oscillating police contact from the scientist I cannot be compensated because no break -in I have been at home for 20 years All my insurances are there and well I will leave you pay for nothing it does not suit me and my son will go elsewhere</v>
      </c>
    </row>
    <row r="702" ht="15.75" customHeight="1">
      <c r="A702" s="2">
        <v>1.0</v>
      </c>
      <c r="B702" s="2" t="s">
        <v>1999</v>
      </c>
      <c r="C702" s="2" t="s">
        <v>2000</v>
      </c>
      <c r="D702" s="2" t="s">
        <v>67</v>
      </c>
      <c r="E702" s="2" t="s">
        <v>32</v>
      </c>
      <c r="F702" s="2" t="s">
        <v>15</v>
      </c>
      <c r="G702" s="2" t="s">
        <v>2001</v>
      </c>
      <c r="H702" s="2" t="s">
        <v>548</v>
      </c>
      <c r="I702" s="2" t="str">
        <f>IFERROR(__xludf.DUMMYFUNCTION("GOOGLETRANSLATE(C702,""fr"",""en"")"),"Hello everyone - Hi bikers!
AMV assures me a 50cc scooter ...
My daughter was ""clean"" by a 100% responsible van. No physical sequelae! Just many wounds and the HS helmet, jeans, brief gloves in short only equipment - thank you to its high star !!!). H"&amp;"e remains a big fright that led him to stop and not continue with me (1100 ZZR) a future biker adventure without accident!
In short, the Vespa at 4 years old - 5,450 km, bought new € 3,490 on May 02, 2013 and compensated valued ""shabby"" € 1,600 (econ"&amp;"omically irreparable vehicle V.E.I.)
The accident dates from July 11 and I am at my fifth mail.
They always miss a document.
- The wait because the witness did not appear ... (which is not true. Supporting proof)
- The ""non -bodily accident"" documen"&amp;"t, duly fills and attesting that everything is OK. I made them an email beforehand after the doctor's visit saying that he had reassured me by telling me that it was only bruises involving only a sports stop for 30 days.
- medical certificates - radiolog"&amp;"y, doctor's notes -
But also and that dates from yesterday !!!
- A request to the insured (my daughter) asking him to confirm that the owner of the vehicle (me) is the person to compensate the vehicle in wreck! (we believe to dream) - with written certi"&amp;"ficate and copy of the identity document
In short, shabby for a non -responsible accident!
On the forums, we can see that AMV and the insurers hang out, when we are not responsible for having been mowing by an irresponsible, probably to the cell phone"&amp;" of his van (this RMQ only engages me).
I think the insurer should help us, no he is wasting time, he is looking for the missing document to delay his payment ...
Flee AMV, but the others too ... I am head of a VSE and I am bitter because these peop"&amp;"le do not need customers, insurance is compulsory, so they treat us as a number ... No one Do not like them but no matter for them ...
Sad insurers!")</f>
        <v>Hello everyone - Hi bikers!
AMV assures me a 50cc scooter ...
My daughter was "clean" by a 100% responsible van. No physical sequelae! Just many wounds and the HS helmet, jeans, brief gloves in short only equipment - thank you to its high star !!!). He remains a big fright that led him to stop and not continue with me (1100 ZZR) a future biker adventure without accident!
In short, the Vespa at 4 years old - 5,450 km, bought new € 3,490 on May 02, 2013 and compensated valued "shabby" € 1,600 (economically irreparable vehicle V.E.I.)
The accident dates from July 11 and I am at my fifth mail.
They always miss a document.
- The wait because the witness did not appear ... (which is not true. Supporting proof)
- The "non -bodily accident" document, duly fills and attesting that everything is OK. I made them an email beforehand after the doctor's visit saying that he had reassured me by telling me that it was only bruises involving only a sports stop for 30 days.
- medical certificates - radiology, doctor's notes -
But also and that dates from yesterday !!!
- A request to the insured (my daughter) asking him to confirm that the owner of the vehicle (me) is the person to compensate the vehicle in wreck! (we believe to dream) - with written certificate and copy of the identity document
In short, shabby for a non -responsible accident!
On the forums, we can see that AMV and the insurers hang out, when we are not responsible for having been mowing by an irresponsible, probably to the cell phone of his van (this RMQ only engages me).
I think the insurer should help us, no he is wasting time, he is looking for the missing document to delay his payment ...
Flee AMV, but the others too ... I am head of a VSE and I am bitter because these people do not need customers, insurance is compulsory, so they treat us as a number ... No one Do not like them but no matter for them ...
Sad insurers!</v>
      </c>
    </row>
    <row r="703" ht="15.75" customHeight="1">
      <c r="A703" s="2">
        <v>3.0</v>
      </c>
      <c r="B703" s="2" t="s">
        <v>2002</v>
      </c>
      <c r="C703" s="2" t="s">
        <v>2003</v>
      </c>
      <c r="D703" s="2" t="s">
        <v>250</v>
      </c>
      <c r="E703" s="2" t="s">
        <v>32</v>
      </c>
      <c r="F703" s="2" t="s">
        <v>15</v>
      </c>
      <c r="G703" s="2" t="s">
        <v>2004</v>
      </c>
      <c r="H703" s="2" t="s">
        <v>266</v>
      </c>
      <c r="I703" s="2" t="str">
        <f>IFERROR(__xludf.DUMMYFUNCTION("GOOGLETRANSLATE(C703,""fr"",""en"")"),"Motorcycle accident not responsible in September 2017 with 14 days of hospital and four self -stops of work stoppage
Still not resolved to this day I think and I hope by the first person of the first person who took care of the file to get out of the hos"&amp;"pital at Macif
Since then it's lawyer, expert and wait
So the Macif has a very good price but it is like the camera that comes from China we only have it for her money
I am therefore assured that to be in good standing with the legislation")</f>
        <v>Motorcycle accident not responsible in September 2017 with 14 days of hospital and four self -stops of work stoppage
Still not resolved to this day I think and I hope by the first person of the first person who took care of the file to get out of the hospital at Macif
Since then it's lawyer, expert and wait
So the Macif has a very good price but it is like the camera that comes from China we only have it for her money
I am therefore assured that to be in good standing with the legislation</v>
      </c>
    </row>
    <row r="704" ht="15.75" customHeight="1">
      <c r="A704" s="2">
        <v>4.0</v>
      </c>
      <c r="B704" s="2" t="s">
        <v>2005</v>
      </c>
      <c r="C704" s="2" t="s">
        <v>2006</v>
      </c>
      <c r="D704" s="2" t="s">
        <v>62</v>
      </c>
      <c r="E704" s="2" t="s">
        <v>21</v>
      </c>
      <c r="F704" s="2" t="s">
        <v>15</v>
      </c>
      <c r="G704" s="2" t="s">
        <v>1262</v>
      </c>
      <c r="H704" s="2" t="s">
        <v>123</v>
      </c>
      <c r="I704" s="2" t="str">
        <f>IFERROR(__xludf.DUMMYFUNCTION("GOOGLETRANSLATE(C704,""fr"",""en"")"),"I am satisfied with the speed of the service, I recommend direct insurance to ensure your vehicle. Attractive prices and listening advisers.")</f>
        <v>I am satisfied with the speed of the service, I recommend direct insurance to ensure your vehicle. Attractive prices and listening advisers.</v>
      </c>
    </row>
    <row r="705" ht="15.75" customHeight="1">
      <c r="A705" s="2">
        <v>5.0</v>
      </c>
      <c r="B705" s="2" t="s">
        <v>2007</v>
      </c>
      <c r="C705" s="2" t="s">
        <v>2008</v>
      </c>
      <c r="D705" s="2" t="s">
        <v>274</v>
      </c>
      <c r="E705" s="2" t="s">
        <v>14</v>
      </c>
      <c r="F705" s="2" t="s">
        <v>15</v>
      </c>
      <c r="G705" s="2" t="s">
        <v>2009</v>
      </c>
      <c r="H705" s="2" t="s">
        <v>252</v>
      </c>
      <c r="I705" s="2" t="str">
        <f>IFERROR(__xludf.DUMMYFUNCTION("GOOGLETRANSLATE(C705,""fr"",""en"")"),"Retired for 20 years, I have never had a different with the MGP. After complete analysis, I think we are very far from being the worst ... We keep this mutualist and solidarity spirit, which, in this difficult period, is important. Thanks for reading me.")</f>
        <v>Retired for 20 years, I have never had a different with the MGP. After complete analysis, I think we are very far from being the worst ... We keep this mutualist and solidarity spirit, which, in this difficult period, is important. Thanks for reading me.</v>
      </c>
    </row>
    <row r="706" ht="15.75" customHeight="1">
      <c r="A706" s="2">
        <v>1.0</v>
      </c>
      <c r="B706" s="2" t="s">
        <v>2010</v>
      </c>
      <c r="C706" s="2" t="s">
        <v>2011</v>
      </c>
      <c r="D706" s="2" t="s">
        <v>99</v>
      </c>
      <c r="E706" s="2" t="s">
        <v>129</v>
      </c>
      <c r="F706" s="2" t="s">
        <v>15</v>
      </c>
      <c r="G706" s="2" t="s">
        <v>2012</v>
      </c>
      <c r="H706" s="2" t="s">
        <v>266</v>
      </c>
      <c r="I706" s="2" t="str">
        <f>IFERROR(__xludf.DUMMYFUNCTION("GOOGLETRANSLATE(C706,""fr"",""en"")"),"Hello, I am not used to leaving comments or opinions but there, I am deeply disappointed. MEIF member since 1998 I have always taken out their RAQVAM, PRAXIS and other contract. The reason is that the advisor had assured me that the slightest concern for "&amp;"everyday life would be taken care of. I have 2 children and wanting to minimize the risks, this guarantee reassured me. At 1 week ago, following a football training, I have the Achilles tendon. Remembering that I had given insurance with the MAIF, I decla"&amp;"re the claim by specifying that it was a rupture of the Achilles tendon. Later, a letter invites me to write a detailed letter as well as to provide the medical documents so that they can rule. I run and the same evening receives an answer announcing me t"&amp;"hat the tendon ruptures were excluded from the guarantee but then why made me hope by asking me a detailed letter. In addition having any confidence in the maif ""the militant insurer"", ""the solidarity insurer"", I did not have fun reading all the claus"&amp;"es of the guarantee because my insurer told me that the slightest injury would be compensated. .. immobilized for 6 weeks, having right to nothing I can only warn against this mutual which behaves like any private insurance, lying and looking for all mean"&amp;"s to exclude you from their guarantee. The worst in this story is that in their great kindness, they deliver me a advice joining me to turn to the CPAM then towards my mutual. Forgive me the expression but not content with having made me believe things, t"&amp;"hey also take me for a stupid. Making fun of. € 1,000 in annual contributions in all (scooter car, apartments) to have nothing if necessary. Ciao I leave the ship.
M diarra")</f>
        <v>Hello, I am not used to leaving comments or opinions but there, I am deeply disappointed. MEIF member since 1998 I have always taken out their RAQVAM, PRAXIS and other contract. The reason is that the advisor had assured me that the slightest concern for everyday life would be taken care of. I have 2 children and wanting to minimize the risks, this guarantee reassured me. At 1 week ago, following a football training, I have the Achilles tendon. Remembering that I had given insurance with the MAIF, I declare the claim by specifying that it was a rupture of the Achilles tendon. Later, a letter invites me to write a detailed letter as well as to provide the medical documents so that they can rule. I run and the same evening receives an answer announcing me that the tendon ruptures were excluded from the guarantee but then why made me hope by asking me a detailed letter. In addition having any confidence in the maif "the militant insurer", "the solidarity insurer", I did not have fun reading all the clauses of the guarantee because my insurer told me that the slightest injury would be compensated. .. immobilized for 6 weeks, having right to nothing I can only warn against this mutual which behaves like any private insurance, lying and looking for all means to exclude you from their guarantee. The worst in this story is that in their great kindness, they deliver me a advice joining me to turn to the CPAM then towards my mutual. Forgive me the expression but not content with having made me believe things, they also take me for a stupid. Making fun of. € 1,000 in annual contributions in all (scooter car, apartments) to have nothing if necessary. Ciao I leave the ship.
M diarra</v>
      </c>
    </row>
    <row r="707" ht="15.75" customHeight="1">
      <c r="A707" s="2">
        <v>3.0</v>
      </c>
      <c r="B707" s="2" t="s">
        <v>2013</v>
      </c>
      <c r="C707" s="2" t="s">
        <v>2014</v>
      </c>
      <c r="D707" s="2" t="s">
        <v>62</v>
      </c>
      <c r="E707" s="2" t="s">
        <v>21</v>
      </c>
      <c r="F707" s="2" t="s">
        <v>15</v>
      </c>
      <c r="G707" s="2" t="s">
        <v>2015</v>
      </c>
      <c r="H707" s="2" t="s">
        <v>154</v>
      </c>
      <c r="I707" s="2" t="str">
        <f>IFERROR(__xludf.DUMMYFUNCTION("GOOGLETRANSLATE(C707,""fr"",""en"")"),"I compare the prices for my next car, I have not yet made a decision I do not know the service direct insurance. And these opinions are too long.")</f>
        <v>I compare the prices for my next car, I have not yet made a decision I do not know the service direct insurance. And these opinions are too long.</v>
      </c>
    </row>
    <row r="708" ht="15.75" customHeight="1">
      <c r="A708" s="2">
        <v>2.0</v>
      </c>
      <c r="B708" s="2" t="s">
        <v>2016</v>
      </c>
      <c r="C708" s="2" t="s">
        <v>2017</v>
      </c>
      <c r="D708" s="2" t="s">
        <v>137</v>
      </c>
      <c r="E708" s="2" t="s">
        <v>21</v>
      </c>
      <c r="F708" s="2" t="s">
        <v>15</v>
      </c>
      <c r="G708" s="2" t="s">
        <v>2018</v>
      </c>
      <c r="H708" s="2" t="s">
        <v>34</v>
      </c>
      <c r="I708" s="2" t="str">
        <f>IFERROR(__xludf.DUMMYFUNCTION("GOOGLETRANSLATE(C708,""fr"",""en"")"),"Following a car accident on them on 08/03/2020 I found myself very quickly called very long and did not understand my request I asked to speak to a manager have my nose. When I call back it does not answer or when I said my name it hung up directly
I hav"&amp;"e been in this insurance since the age of 18 years. To take all is well but once long has a problem there is no one really disgusting")</f>
        <v>Following a car accident on them on 08/03/2020 I found myself very quickly called very long and did not understand my request I asked to speak to a manager have my nose. When I call back it does not answer or when I said my name it hung up directly
I have been in this insurance since the age of 18 years. To take all is well but once long has a problem there is no one really disgusting</v>
      </c>
    </row>
    <row r="709" ht="15.75" customHeight="1">
      <c r="A709" s="2">
        <v>4.0</v>
      </c>
      <c r="B709" s="2" t="s">
        <v>2019</v>
      </c>
      <c r="C709" s="2" t="s">
        <v>2020</v>
      </c>
      <c r="D709" s="2" t="s">
        <v>62</v>
      </c>
      <c r="E709" s="2" t="s">
        <v>21</v>
      </c>
      <c r="F709" s="2" t="s">
        <v>15</v>
      </c>
      <c r="G709" s="2" t="s">
        <v>63</v>
      </c>
      <c r="H709" s="2" t="s">
        <v>64</v>
      </c>
      <c r="I709" s="2" t="str">
        <f>IFERROR(__xludf.DUMMYFUNCTION("GOOGLETRANSLATE(C709,""fr"",""en"")"),"At a click, very satisfactory the price compared to my bank is of a honey price there is not to say I subscribe without refleting.
I really recommend direct insurance for all people who are for a long time with their Asurance Banque
")</f>
        <v>At a click, very satisfactory the price compared to my bank is of a honey price there is not to say I subscribe without refleting.
I really recommend direct insurance for all people who are for a long time with their Asurance Banque
</v>
      </c>
    </row>
    <row r="710" ht="15.75" customHeight="1">
      <c r="A710" s="2">
        <v>1.0</v>
      </c>
      <c r="B710" s="2" t="s">
        <v>2021</v>
      </c>
      <c r="C710" s="2" t="s">
        <v>2022</v>
      </c>
      <c r="D710" s="2" t="s">
        <v>20</v>
      </c>
      <c r="E710" s="2" t="s">
        <v>21</v>
      </c>
      <c r="F710" s="2" t="s">
        <v>15</v>
      </c>
      <c r="G710" s="2" t="s">
        <v>2023</v>
      </c>
      <c r="H710" s="2" t="s">
        <v>544</v>
      </c>
      <c r="I710" s="2" t="str">
        <f>IFERROR(__xludf.DUMMYFUNCTION("GOOGLETRANSLATE(C710,""fr"",""en"")"),"For forty years at GMF without the slightest clashes its rates have remained the highest on comparisons.
 An advisor could not give me the amount of subscription for my 3000 km that I do per year with my vehicle during a telephone call.")</f>
        <v>For forty years at GMF without the slightest clashes its rates have remained the highest on comparisons.
 An advisor could not give me the amount of subscription for my 3000 km that I do per year with my vehicle during a telephone call.</v>
      </c>
    </row>
    <row r="711" ht="15.75" customHeight="1">
      <c r="A711" s="2">
        <v>1.0</v>
      </c>
      <c r="B711" s="2" t="s">
        <v>2024</v>
      </c>
      <c r="C711" s="2" t="s">
        <v>2025</v>
      </c>
      <c r="D711" s="2" t="s">
        <v>250</v>
      </c>
      <c r="E711" s="2" t="s">
        <v>21</v>
      </c>
      <c r="F711" s="2" t="s">
        <v>15</v>
      </c>
      <c r="G711" s="2" t="s">
        <v>2026</v>
      </c>
      <c r="H711" s="2" t="s">
        <v>150</v>
      </c>
      <c r="I711" s="2" t="str">
        <f>IFERROR(__xludf.DUMMYFUNCTION("GOOGLETRANSLATE(C711,""fr"",""en"")"),"Everything to redo. very bad logistics. It all started with the mechanical guarantee more than the Macif led to me every month, to in the end tell me the day I had repairs to make that I did not (although they levied to me) and at the moment Where I ask t"&amp;"hat I am reimbursed what I paid, I am told that it is impossible (around 175 €).
I went to an agency I did letters at the headquarters. Impossible to be reimbursed.
I also had an accident with my father's vehicle in 2016. I provided all the documents on"&amp;" time, they voluntarily lost the most important documents for the expert (in order to reduce the costs of compensation although it was my insurer he was not going at all in my sense, the dispute is still not settled)
When you call customer service, you o"&amp;"nly come across incompetent unable to manage your problems (although it is their job), and which sometimes hang up on the nose when they do not know how to bring an answer.
It's been more than a week that I am waiting for the Bonus Information sheet of m"&amp;"y mother (in a normal agency CA would take 1 hour to see max 1 day) in a week I called 3 times, everyone rejects the fault But nobody sends it (yet my new assurance to send it to recommend it and they know that I want to change insurance, it looks like th"&amp;"ey are lying down voluntarily in order to prevent people from going to competition)
And to finish the exorbitant prices are really not justified legitimate bi
Ex: for the same services I was 72 €/month for the third plus at the Macif, against only € 49/"&amp;"month at my new insurer.
Really flee because their bad reputation is completely justified.
I hope it will help more than one, I was with them because I followed the dad (who is older and does not necessarily know that there is better elsewhere) but for "&amp;"once, all my Family will change because my sister also had a dispute that he did not want to repay (car flight and they tried by all means to invent clauses not present at the signing of the contract to avoid reimbursement)
In fact it is insurance that r"&amp;"eimburses you that when you take a lawyer against her
It is funny because I thought naive that I am that the principle of insurance was to do the best for his members!
This is really not what you will have at home
")</f>
        <v>Everything to redo. very bad logistics. It all started with the mechanical guarantee more than the Macif led to me every month, to in the end tell me the day I had repairs to make that I did not (although they levied to me) and at the moment Where I ask that I am reimbursed what I paid, I am told that it is impossible (around 175 €).
I went to an agency I did letters at the headquarters. Impossible to be reimbursed.
I also had an accident with my father's vehicle in 2016. I provided all the documents on time, they voluntarily lost the most important documents for the expert (in order to reduce the costs of compensation although it was my insurer he was not going at all in my sense, the dispute is still not settled)
When you call customer service, you only come across incompetent unable to manage your problems (although it is their job), and which sometimes hang up on the nose when they do not know how to bring an answer.
It's been more than a week that I am waiting for the Bonus Information sheet of my mother (in a normal agency CA would take 1 hour to see max 1 day) in a week I called 3 times, everyone rejects the fault But nobody sends it (yet my new assurance to send it to recommend it and they know that I want to change insurance, it looks like they are lying down voluntarily in order to prevent people from going to competition)
And to finish the exorbitant prices are really not justified legitimate bi
Ex: for the same services I was 72 €/month for the third plus at the Macif, against only € 49/month at my new insurer.
Really flee because their bad reputation is completely justified.
I hope it will help more than one, I was with them because I followed the dad (who is older and does not necessarily know that there is better elsewhere) but for once, all my Family will change because my sister also had a dispute that he did not want to repay (car flight and they tried by all means to invent clauses not present at the signing of the contract to avoid reimbursement)
In fact it is insurance that reimburses you that when you take a lawyer against her
It is funny because I thought naive that I am that the principle of insurance was to do the best for his members!
This is really not what you will have at home
</v>
      </c>
    </row>
    <row r="712" ht="15.75" customHeight="1">
      <c r="A712" s="2">
        <v>1.0</v>
      </c>
      <c r="B712" s="2" t="s">
        <v>2027</v>
      </c>
      <c r="C712" s="2" t="s">
        <v>2028</v>
      </c>
      <c r="D712" s="2" t="s">
        <v>62</v>
      </c>
      <c r="E712" s="2" t="s">
        <v>21</v>
      </c>
      <c r="F712" s="2" t="s">
        <v>15</v>
      </c>
      <c r="G712" s="2" t="s">
        <v>872</v>
      </c>
      <c r="H712" s="2" t="s">
        <v>72</v>
      </c>
      <c r="I712" s="2" t="str">
        <f>IFERROR(__xludf.DUMMYFUNCTION("GOOGLETRANSLATE(C712,""fr"",""en"")"),"Not satisfied with the administrative services. , bad contact with the interlocutors, as dear as another insurance. , On the other hand, good assistance in the event of an accident.")</f>
        <v>Not satisfied with the administrative services. , bad contact with the interlocutors, as dear as another insurance. , On the other hand, good assistance in the event of an accident.</v>
      </c>
    </row>
    <row r="713" ht="15.75" customHeight="1">
      <c r="A713" s="2">
        <v>2.0</v>
      </c>
      <c r="B713" s="2" t="s">
        <v>2029</v>
      </c>
      <c r="C713" s="2" t="s">
        <v>2030</v>
      </c>
      <c r="D713" s="2" t="s">
        <v>42</v>
      </c>
      <c r="E713" s="2" t="s">
        <v>21</v>
      </c>
      <c r="F713" s="2" t="s">
        <v>15</v>
      </c>
      <c r="G713" s="2" t="s">
        <v>972</v>
      </c>
      <c r="H713" s="2" t="s">
        <v>123</v>
      </c>
      <c r="I713" s="2" t="str">
        <f>IFERROR(__xludf.DUMMYFUNCTION("GOOGLETRANSLATE(C713,""fr"",""en"")"),"Everything is going well until you ask for anything. Each request you are charged, including when you indicate that you have moved and indicate your new address: change of address: +15 €. And that is without counting the additional cost of insurance obvio"&amp;"usly upper 100 €! They only know the touch more.
When the insurer must take care of it is another story ...
In short, it is decided I change insurer. I've been ensured for 1 vehicle for 3 years and this is the first time that I have encountered this way"&amp;" of doing things.
")</f>
        <v>Everything is going well until you ask for anything. Each request you are charged, including when you indicate that you have moved and indicate your new address: change of address: +15 €. And that is without counting the additional cost of insurance obviously upper 100 €! They only know the touch more.
When the insurer must take care of it is another story ...
In short, it is decided I change insurer. I've been ensured for 1 vehicle for 3 years and this is the first time that I have encountered this way of doing things.
</v>
      </c>
    </row>
    <row r="714" ht="15.75" customHeight="1">
      <c r="A714" s="2">
        <v>4.0</v>
      </c>
      <c r="B714" s="2" t="s">
        <v>2031</v>
      </c>
      <c r="C714" s="2" t="s">
        <v>2032</v>
      </c>
      <c r="D714" s="2" t="s">
        <v>20</v>
      </c>
      <c r="E714" s="2" t="s">
        <v>21</v>
      </c>
      <c r="F714" s="2" t="s">
        <v>15</v>
      </c>
      <c r="G714" s="2" t="s">
        <v>327</v>
      </c>
      <c r="H714" s="2" t="s">
        <v>44</v>
      </c>
      <c r="I714" s="2" t="str">
        <f>IFERROR(__xludf.DUMMYFUNCTION("GOOGLETRANSLATE(C714,""fr"",""en"")"),"Always satisfied with GMF insurance, despite a small price for car insurance prices, 1st time on the Internet for a request for school certificate for my simple son.")</f>
        <v>Always satisfied with GMF insurance, despite a small price for car insurance prices, 1st time on the Internet for a request for school certificate for my simple son.</v>
      </c>
    </row>
    <row r="715" ht="15.75" customHeight="1">
      <c r="A715" s="2">
        <v>4.0</v>
      </c>
      <c r="B715" s="2" t="s">
        <v>2033</v>
      </c>
      <c r="C715" s="2" t="s">
        <v>2034</v>
      </c>
      <c r="D715" s="2" t="s">
        <v>196</v>
      </c>
      <c r="E715" s="2" t="s">
        <v>21</v>
      </c>
      <c r="F715" s="2" t="s">
        <v>15</v>
      </c>
      <c r="G715" s="2" t="s">
        <v>2035</v>
      </c>
      <c r="H715" s="2" t="s">
        <v>582</v>
      </c>
      <c r="I715" s="2" t="str">
        <f>IFERROR(__xludf.DUMMYFUNCTION("GOOGLETRANSLATE(C715,""fr"",""en"")"),"Excellent insurance, cheaper than my previous insurance. In all risks' to note is that it is only the broken ice without deductible, the quick troubleshooting and towing, the taxi which ensures the return to the home as well as the journey to get the vehi"&amp;"cle in the garage. Very good coordination with competent and responsive repair services. Thank you!")</f>
        <v>Excellent insurance, cheaper than my previous insurance. In all risks' to note is that it is only the broken ice without deductible, the quick troubleshooting and towing, the taxi which ensures the return to the home as well as the journey to get the vehicle in the garage. Very good coordination with competent and responsive repair services. Thank you!</v>
      </c>
    </row>
    <row r="716" ht="15.75" customHeight="1">
      <c r="A716" s="2">
        <v>2.0</v>
      </c>
      <c r="B716" s="2" t="s">
        <v>2036</v>
      </c>
      <c r="C716" s="2" t="s">
        <v>2037</v>
      </c>
      <c r="D716" s="2" t="s">
        <v>62</v>
      </c>
      <c r="E716" s="2" t="s">
        <v>21</v>
      </c>
      <c r="F716" s="2" t="s">
        <v>15</v>
      </c>
      <c r="G716" s="2" t="s">
        <v>2038</v>
      </c>
      <c r="H716" s="2" t="s">
        <v>1108</v>
      </c>
      <c r="I716" s="2" t="str">
        <f>IFERROR(__xludf.DUMMYFUNCTION("GOOGLETRANSLATE(C716,""fr"",""en"")"),"Insured since February 2016, I wanted to play the Hamon law.
The first time the request for an emanating termination of the Insurance Olivier was rejected because it was less than a year since I was assured direct insurance: I recognize this without prob"&amp;"lem.
However, on March 6, the Olivier Insurance issued a request for termination with acknowledgment of receipt on March 8 (which I have in copy) but as by chance, Direct's customer service never received it.
It is impossible to speak to an official or "&amp;"some of a competent person and the Direct Insurance staff even refuses to give the professional email of the termination service to the colleagues of the Olivier.
")</f>
        <v>Insured since February 2016, I wanted to play the Hamon law.
The first time the request for an emanating termination of the Insurance Olivier was rejected because it was less than a year since I was assured direct insurance: I recognize this without problem.
However, on March 6, the Olivier Insurance issued a request for termination with acknowledgment of receipt on March 8 (which I have in copy) but as by chance, Direct's customer service never received it.
It is impossible to speak to an official or some of a competent person and the Direct Insurance staff even refuses to give the professional email of the termination service to the colleagues of the Olivier.
</v>
      </c>
    </row>
    <row r="717" ht="15.75" customHeight="1">
      <c r="A717" s="2">
        <v>1.0</v>
      </c>
      <c r="B717" s="2" t="s">
        <v>2039</v>
      </c>
      <c r="C717" s="2" t="s">
        <v>2040</v>
      </c>
      <c r="D717" s="2" t="s">
        <v>191</v>
      </c>
      <c r="E717" s="2" t="s">
        <v>104</v>
      </c>
      <c r="F717" s="2" t="s">
        <v>15</v>
      </c>
      <c r="G717" s="2" t="s">
        <v>572</v>
      </c>
      <c r="H717" s="2" t="s">
        <v>154</v>
      </c>
      <c r="I717" s="2" t="str">
        <f>IFERROR(__xludf.DUMMYFUNCTION("GOOGLETRANSLATE(C717,""fr"",""en"")"),"Loading...")</f>
        <v>Loading...</v>
      </c>
    </row>
    <row r="718" ht="15.75" customHeight="1">
      <c r="A718" s="2">
        <v>2.0</v>
      </c>
      <c r="B718" s="2" t="s">
        <v>2041</v>
      </c>
      <c r="C718" s="2" t="s">
        <v>2042</v>
      </c>
      <c r="D718" s="2" t="s">
        <v>62</v>
      </c>
      <c r="E718" s="2" t="s">
        <v>21</v>
      </c>
      <c r="F718" s="2" t="s">
        <v>15</v>
      </c>
      <c r="G718" s="2" t="s">
        <v>2043</v>
      </c>
      <c r="H718" s="2" t="s">
        <v>409</v>
      </c>
      <c r="I718" s="2" t="str">
        <f>IFERROR(__xludf.DUMMYFUNCTION("GOOGLETRANSLATE(C718,""fr"",""en"")"),"Resiliation for not sending photos of the vehicle that I sent 5 times by recommended and the application which validated the photos well.
Indamnissible
SREVICE Customer incompetent")</f>
        <v>Resiliation for not sending photos of the vehicle that I sent 5 times by recommended and the application which validated the photos well.
Indamnissible
SREVICE Customer incompetent</v>
      </c>
    </row>
    <row r="719" ht="15.75" customHeight="1">
      <c r="A719" s="2">
        <v>5.0</v>
      </c>
      <c r="B719" s="2" t="s">
        <v>2044</v>
      </c>
      <c r="C719" s="2" t="s">
        <v>2045</v>
      </c>
      <c r="D719" s="2" t="s">
        <v>210</v>
      </c>
      <c r="E719" s="2" t="s">
        <v>14</v>
      </c>
      <c r="F719" s="2" t="s">
        <v>15</v>
      </c>
      <c r="G719" s="2" t="s">
        <v>2046</v>
      </c>
      <c r="H719" s="2" t="s">
        <v>723</v>
      </c>
      <c r="I719" s="2" t="str">
        <f>IFERROR(__xludf.DUMMYFUNCTION("GOOGLETRANSLATE(C719,""fr"",""en"")"),"Loading...")</f>
        <v>Loading...</v>
      </c>
    </row>
    <row r="720" ht="15.75" customHeight="1">
      <c r="A720" s="2">
        <v>1.0</v>
      </c>
      <c r="B720" s="2" t="s">
        <v>2047</v>
      </c>
      <c r="C720" s="2" t="s">
        <v>2048</v>
      </c>
      <c r="D720" s="2" t="s">
        <v>42</v>
      </c>
      <c r="E720" s="2" t="s">
        <v>21</v>
      </c>
      <c r="F720" s="2" t="s">
        <v>15</v>
      </c>
      <c r="G720" s="2" t="s">
        <v>2049</v>
      </c>
      <c r="H720" s="2" t="s">
        <v>515</v>
      </c>
      <c r="I720" s="2" t="str">
        <f>IFERROR(__xludf.DUMMYFUNCTION("GOOGLETRANSLATE(C720,""fr"",""en"")"),"What incompetence, file error on their part billed at 15 € more
 Change of coordinates Bacnaries not taken into account after 3 months, withdrawal required after closing the account
 Harassment for 5 days then despite telephone call to manage the situat"&amp;"ion threatens with costs of € 20 supplementary if not adjusting immediately")</f>
        <v>What incompetence, file error on their part billed at 15 € more
 Change of coordinates Bacnaries not taken into account after 3 months, withdrawal required after closing the account
 Harassment for 5 days then despite telephone call to manage the situation threatens with costs of € 20 supplementary if not adjusting immediately</v>
      </c>
    </row>
    <row r="721" ht="15.75" customHeight="1">
      <c r="A721" s="2">
        <v>2.0</v>
      </c>
      <c r="B721" s="2" t="s">
        <v>2050</v>
      </c>
      <c r="C721" s="2" t="s">
        <v>2051</v>
      </c>
      <c r="D721" s="2" t="s">
        <v>26</v>
      </c>
      <c r="E721" s="2" t="s">
        <v>21</v>
      </c>
      <c r="F721" s="2" t="s">
        <v>15</v>
      </c>
      <c r="G721" s="2" t="s">
        <v>2052</v>
      </c>
      <c r="H721" s="2" t="s">
        <v>185</v>
      </c>
      <c r="I721" s="2" t="str">
        <f>IFERROR(__xludf.DUMMYFUNCTION("GOOGLETRANSLATE(C721,""fr"",""en"")"),"Loading...")</f>
        <v>Loading...</v>
      </c>
    </row>
    <row r="722" ht="15.75" customHeight="1">
      <c r="A722" s="2">
        <v>1.0</v>
      </c>
      <c r="B722" s="2" t="s">
        <v>2053</v>
      </c>
      <c r="C722" s="2" t="s">
        <v>2054</v>
      </c>
      <c r="D722" s="2" t="s">
        <v>62</v>
      </c>
      <c r="E722" s="2" t="s">
        <v>21</v>
      </c>
      <c r="F722" s="2" t="s">
        <v>15</v>
      </c>
      <c r="G722" s="2" t="s">
        <v>397</v>
      </c>
      <c r="H722" s="2" t="s">
        <v>64</v>
      </c>
      <c r="I722" s="2" t="str">
        <f>IFERROR(__xludf.DUMMYFUNCTION("GOOGLETRANSLATE(C722,""fr"",""en"")"),"You only answer too rarely on the phone (there it's been an hour of I call without success). You quickly collect but it's been 1 year since I run after a refund. Always without success. And in terms of prices, certainly it is low but for guarantees just a"&amp;"s low.")</f>
        <v>You only answer too rarely on the phone (there it's been an hour of I call without success). You quickly collect but it's been 1 year since I run after a refund. Always without success. And in terms of prices, certainly it is low but for guarantees just as low.</v>
      </c>
    </row>
    <row r="723" ht="15.75" customHeight="1">
      <c r="A723" s="2">
        <v>1.0</v>
      </c>
      <c r="B723" s="2" t="s">
        <v>2055</v>
      </c>
      <c r="C723" s="2" t="s">
        <v>2056</v>
      </c>
      <c r="D723" s="2" t="s">
        <v>456</v>
      </c>
      <c r="E723" s="2" t="s">
        <v>457</v>
      </c>
      <c r="F723" s="2" t="s">
        <v>15</v>
      </c>
      <c r="G723" s="2" t="s">
        <v>2057</v>
      </c>
      <c r="H723" s="2" t="s">
        <v>1595</v>
      </c>
      <c r="I723" s="2" t="str">
        <f>IFERROR(__xludf.DUMMYFUNCTION("GOOGLETRANSLATE(C723,""fr"",""en"")"),"Please note this insurance reimburses very little and requires a minimum year's commitment !! When it comes to a significant refund they no longer reimburse !!! At the start they are supposed to take care of all accidents and there they announce to me tha"&amp;"t even in the event of an accident for the cruises ligaments they will not take care of the date of the operation is very later than 6 months after signature but As the date of the first symptoms is 10 days before they do not reimburse !!! Beware because "&amp;"then no negotiation is possible no gesture is possible ....
")</f>
        <v>Please note this insurance reimburses very little and requires a minimum year's commitment !! When it comes to a significant refund they no longer reimburse !!! At the start they are supposed to take care of all accidents and there they announce to me that even in the event of an accident for the cruises ligaments they will not take care of the date of the operation is very later than 6 months after signature but As the date of the first symptoms is 10 days before they do not reimburse !!! Beware because then no negotiation is possible no gesture is possible ....
</v>
      </c>
    </row>
    <row r="724" ht="15.75" customHeight="1">
      <c r="A724" s="2">
        <v>1.0</v>
      </c>
      <c r="B724" s="2" t="s">
        <v>2058</v>
      </c>
      <c r="C724" s="2" t="s">
        <v>2059</v>
      </c>
      <c r="D724" s="2" t="s">
        <v>62</v>
      </c>
      <c r="E724" s="2" t="s">
        <v>129</v>
      </c>
      <c r="F724" s="2" t="s">
        <v>15</v>
      </c>
      <c r="G724" s="2" t="s">
        <v>2060</v>
      </c>
      <c r="H724" s="2" t="s">
        <v>737</v>
      </c>
      <c r="I724" s="2" t="str">
        <f>IFERROR(__xludf.DUMMYFUNCTION("GOOGLETRANSLATE(C724,""fr"",""en"")"),"I underwent water damage it is more than 2 months still awaiting the expert's report. Lexpert's visit is made in 5 minutes Grand Max a carpet merchant for the compensation proposal. Partner companies not at all serious 3 weeks awaiting their thread. Not a"&amp;"gree with the materials offered for the rehabilitation, low -end of the first prize. The interlocutors except to listen to you any concrete response. Hastens my commitment end. Faithful client for more than 10 years the billed price of my subscription is "&amp;"200 euros more expensive if I was new member. Knowing that I have my 2 vehicles at home")</f>
        <v>I underwent water damage it is more than 2 months still awaiting the expert's report. Lexpert's visit is made in 5 minutes Grand Max a carpet merchant for the compensation proposal. Partner companies not at all serious 3 weeks awaiting their thread. Not agree with the materials offered for the rehabilitation, low -end of the first prize. The interlocutors except to listen to you any concrete response. Hastens my commitment end. Faithful client for more than 10 years the billed price of my subscription is 200 euros more expensive if I was new member. Knowing that I have my 2 vehicles at home</v>
      </c>
    </row>
    <row r="725" ht="15.75" customHeight="1">
      <c r="A725" s="2">
        <v>3.0</v>
      </c>
      <c r="B725" s="2" t="s">
        <v>2061</v>
      </c>
      <c r="C725" s="2" t="s">
        <v>2062</v>
      </c>
      <c r="D725" s="2" t="s">
        <v>42</v>
      </c>
      <c r="E725" s="2" t="s">
        <v>21</v>
      </c>
      <c r="F725" s="2" t="s">
        <v>15</v>
      </c>
      <c r="G725" s="2" t="s">
        <v>2063</v>
      </c>
      <c r="H725" s="2" t="s">
        <v>150</v>
      </c>
      <c r="I725" s="2" t="str">
        <f>IFERROR(__xludf.DUMMYFUNCTION("GOOGLETRANSLATE(C725,""fr"",""en"")"),"Insurer to flee")</f>
        <v>Insurer to flee</v>
      </c>
    </row>
    <row r="726" ht="15.75" customHeight="1">
      <c r="A726" s="2">
        <v>3.0</v>
      </c>
      <c r="B726" s="2" t="s">
        <v>2064</v>
      </c>
      <c r="C726" s="2" t="s">
        <v>2065</v>
      </c>
      <c r="D726" s="2" t="s">
        <v>191</v>
      </c>
      <c r="E726" s="2" t="s">
        <v>104</v>
      </c>
      <c r="F726" s="2" t="s">
        <v>15</v>
      </c>
      <c r="G726" s="2" t="s">
        <v>2066</v>
      </c>
      <c r="H726" s="2" t="s">
        <v>78</v>
      </c>
      <c r="I726" s="2" t="str">
        <f>IFERROR(__xludf.DUMMYFUNCTION("GOOGLETRANSLATE(C726,""fr"",""en"")"),"Hello,
Since the merger of the MGET with the Effective MGEN on January 1, 2016, my death capital subscribed with the MGET has disappeared. Where did my death capital go? At the time with the MGET I received each end of year 1 Release of the death capit"&amp;"al specifying the amount I had. Since January 1, 2016 I have been asking MGEN where this money has passed, they send me back to Alptis. Alptis informs me of not knowing where this capital is and sends me back to the CNP. The CNP is no more aware of it ret"&amp;"urns to Alptis. I would like to know where my capital has gone ??? During a merger necessarily the company takes the assets and the liabilities. Since January 2, 2016 I have claimed information about it and no one knows, no one answers my questions. Have "&amp;"there been shenanigans to leave me volotically in the blur? We are on January 8, 2019 it's been 3 years since I claim I ring at all doors, no response. I hope my death capital did not go bankrupt with the MGET!")</f>
        <v>Hello,
Since the merger of the MGET with the Effective MGEN on January 1, 2016, my death capital subscribed with the MGET has disappeared. Where did my death capital go? At the time with the MGET I received each end of year 1 Release of the death capital specifying the amount I had. Since January 1, 2016 I have been asking MGEN where this money has passed, they send me back to Alptis. Alptis informs me of not knowing where this capital is and sends me back to the CNP. The CNP is no more aware of it returns to Alptis. I would like to know where my capital has gone ??? During a merger necessarily the company takes the assets and the liabilities. Since January 2, 2016 I have claimed information about it and no one knows, no one answers my questions. Have there been shenanigans to leave me volotically in the blur? We are on January 8, 2019 it's been 3 years since I claim I ring at all doors, no response. I hope my death capital did not go bankrupt with the MGET!</v>
      </c>
    </row>
    <row r="727" ht="15.75" customHeight="1">
      <c r="A727" s="2">
        <v>3.0</v>
      </c>
      <c r="B727" s="2" t="s">
        <v>2067</v>
      </c>
      <c r="C727" s="2" t="s">
        <v>2068</v>
      </c>
      <c r="D727" s="2" t="s">
        <v>62</v>
      </c>
      <c r="E727" s="2" t="s">
        <v>21</v>
      </c>
      <c r="F727" s="2" t="s">
        <v>15</v>
      </c>
      <c r="G727" s="2" t="s">
        <v>44</v>
      </c>
      <c r="H727" s="2" t="s">
        <v>44</v>
      </c>
      <c r="I727" s="2" t="str">
        <f>IFERROR(__xludf.DUMMYFUNCTION("GOOGLETRANSLATE(C727,""fr"",""en"")"),"The online approach is simple and quick. The site is ergonomic and understandable. The services are clear. no complaints. A little high quality/price ratio")</f>
        <v>The online approach is simple and quick. The site is ergonomic and understandable. The services are clear. no complaints. A little high quality/price ratio</v>
      </c>
    </row>
    <row r="728" ht="15.75" customHeight="1">
      <c r="A728" s="2">
        <v>5.0</v>
      </c>
      <c r="B728" s="2" t="s">
        <v>2069</v>
      </c>
      <c r="C728" s="2" t="s">
        <v>2070</v>
      </c>
      <c r="D728" s="2" t="s">
        <v>31</v>
      </c>
      <c r="E728" s="2" t="s">
        <v>32</v>
      </c>
      <c r="F728" s="2" t="s">
        <v>15</v>
      </c>
      <c r="G728" s="2" t="s">
        <v>1079</v>
      </c>
      <c r="H728" s="2" t="s">
        <v>72</v>
      </c>
      <c r="I728" s="2" t="str">
        <f>IFERROR(__xludf.DUMMYFUNCTION("GOOGLETRANSLATE(C728,""fr"",""en"")"),"I am satisfied with the price and the rapiditis and the professionalism of the person to the Tel and his advice. The price complies with my expectations. THANK YOU.")</f>
        <v>I am satisfied with the price and the rapiditis and the professionalism of the person to the Tel and his advice. The price complies with my expectations. THANK YOU.</v>
      </c>
    </row>
    <row r="729" ht="15.75" customHeight="1">
      <c r="A729" s="2">
        <v>5.0</v>
      </c>
      <c r="B729" s="2" t="s">
        <v>2071</v>
      </c>
      <c r="C729" s="2" t="s">
        <v>2072</v>
      </c>
      <c r="D729" s="2" t="s">
        <v>31</v>
      </c>
      <c r="E729" s="2" t="s">
        <v>32</v>
      </c>
      <c r="F729" s="2" t="s">
        <v>15</v>
      </c>
      <c r="G729" s="2" t="s">
        <v>834</v>
      </c>
      <c r="H729" s="2" t="s">
        <v>123</v>
      </c>
      <c r="I729" s="2" t="str">
        <f>IFERROR(__xludf.DUMMYFUNCTION("GOOGLETRANSLATE(C729,""fr"",""en"")"),"I am satisfied with the price and the guarantees offered by your company and thank you greatly cordially Mr. Chouikine Farid
See you soon")</f>
        <v>I am satisfied with the price and the guarantees offered by your company and thank you greatly cordially Mr. Chouikine Farid
See you soon</v>
      </c>
    </row>
    <row r="730" ht="15.75" customHeight="1">
      <c r="A730" s="2">
        <v>5.0</v>
      </c>
      <c r="B730" s="2" t="s">
        <v>2073</v>
      </c>
      <c r="C730" s="2" t="s">
        <v>2074</v>
      </c>
      <c r="D730" s="2" t="s">
        <v>42</v>
      </c>
      <c r="E730" s="2" t="s">
        <v>21</v>
      </c>
      <c r="F730" s="2" t="s">
        <v>15</v>
      </c>
      <c r="G730" s="2" t="s">
        <v>1165</v>
      </c>
      <c r="H730" s="2" t="s">
        <v>362</v>
      </c>
      <c r="I730" s="2" t="str">
        <f>IFERROR(__xludf.DUMMYFUNCTION("GOOGLETRANSLATE(C730,""fr"",""en"")"),"I am completely satisfied with the services offered by the Olivier Insurance. It would be good to be able to add the option: defense and appeal following poor intervention carried out by the professional during a repair. My vehicle was damaged during a wi"&amp;"ndshield replacement. Unfortunately my insurer could not help me in my efforts. It is complicated to have caused when the professional refuses to recognize his responsibility.")</f>
        <v>I am completely satisfied with the services offered by the Olivier Insurance. It would be good to be able to add the option: defense and appeal following poor intervention carried out by the professional during a repair. My vehicle was damaged during a windshield replacement. Unfortunately my insurer could not help me in my efforts. It is complicated to have caused when the professional refuses to recognize his responsibility.</v>
      </c>
    </row>
    <row r="731" ht="15.75" customHeight="1">
      <c r="A731" s="2">
        <v>2.0</v>
      </c>
      <c r="B731" s="2" t="s">
        <v>2075</v>
      </c>
      <c r="C731" s="2" t="s">
        <v>2076</v>
      </c>
      <c r="D731" s="2" t="s">
        <v>159</v>
      </c>
      <c r="E731" s="2" t="s">
        <v>21</v>
      </c>
      <c r="F731" s="2" t="s">
        <v>15</v>
      </c>
      <c r="G731" s="2" t="s">
        <v>383</v>
      </c>
      <c r="H731" s="2" t="s">
        <v>266</v>
      </c>
      <c r="I731" s="2" t="str">
        <f>IFERROR(__xludf.DUMMYFUNCTION("GOOGLETRANSLATE(C731,""fr"",""en"")"),"Loading...")</f>
        <v>Loading...</v>
      </c>
    </row>
    <row r="732" ht="15.75" customHeight="1">
      <c r="A732" s="2">
        <v>1.0</v>
      </c>
      <c r="B732" s="2" t="s">
        <v>2077</v>
      </c>
      <c r="C732" s="2" t="s">
        <v>2078</v>
      </c>
      <c r="D732" s="2" t="s">
        <v>255</v>
      </c>
      <c r="E732" s="2" t="s">
        <v>21</v>
      </c>
      <c r="F732" s="2" t="s">
        <v>15</v>
      </c>
      <c r="G732" s="2" t="s">
        <v>2079</v>
      </c>
      <c r="H732" s="2" t="s">
        <v>78</v>
      </c>
      <c r="I732" s="2" t="str">
        <f>IFERROR(__xludf.DUMMYFUNCTION("GOOGLETRANSLATE(C732,""fr"",""en"")"),"Hello (RCC: YC 50508552) After a letter with AR, two reminders by email and a contact via Messenger on the Allianz France page on Facebook, I have still not been terminated, I have still not been reimbursed for too much perceived that they owe me. A advis"&amp;"or contacted me to ask me for additional elements, especially another cerfa because he was apparently not readable?!?! I am far from writing like a foot. What interest do you have to scratch time like this? Thank you for doing something, it's been 1 month"&amp;" now that this hard cinema.")</f>
        <v>Hello (RCC: YC 50508552) After a letter with AR, two reminders by email and a contact via Messenger on the Allianz France page on Facebook, I have still not been terminated, I have still not been reimbursed for too much perceived that they owe me. A advisor contacted me to ask me for additional elements, especially another cerfa because he was apparently not readable?!?! I am far from writing like a foot. What interest do you have to scratch time like this? Thank you for doing something, it's been 1 month now that this hard cinema.</v>
      </c>
    </row>
    <row r="733" ht="15.75" customHeight="1">
      <c r="A733" s="2">
        <v>5.0</v>
      </c>
      <c r="B733" s="2" t="s">
        <v>2080</v>
      </c>
      <c r="C733" s="2" t="s">
        <v>2081</v>
      </c>
      <c r="D733" s="2" t="s">
        <v>42</v>
      </c>
      <c r="E733" s="2" t="s">
        <v>21</v>
      </c>
      <c r="F733" s="2" t="s">
        <v>15</v>
      </c>
      <c r="G733" s="2" t="s">
        <v>2082</v>
      </c>
      <c r="H733" s="2" t="s">
        <v>957</v>
      </c>
      <c r="I733" s="2" t="str">
        <f>IFERROR(__xludf.DUMMYFUNCTION("GOOGLETRANSLATE(C733,""fr"",""en"")"),"A very competitive price and a quick subscription, the sales department is available is pleasant. To see in use but the first impression is very positive.")</f>
        <v>A very competitive price and a quick subscription, the sales department is available is pleasant. To see in use but the first impression is very positive.</v>
      </c>
    </row>
    <row r="734" ht="15.75" customHeight="1">
      <c r="A734" s="2">
        <v>1.0</v>
      </c>
      <c r="B734" s="2" t="s">
        <v>2083</v>
      </c>
      <c r="C734" s="2" t="s">
        <v>2084</v>
      </c>
      <c r="D734" s="2" t="s">
        <v>47</v>
      </c>
      <c r="E734" s="2" t="s">
        <v>21</v>
      </c>
      <c r="F734" s="2" t="s">
        <v>15</v>
      </c>
      <c r="G734" s="2" t="s">
        <v>2085</v>
      </c>
      <c r="H734" s="2" t="s">
        <v>83</v>
      </c>
      <c r="I734" s="2" t="str">
        <f>IFERROR(__xludf.DUMMYFUNCTION("GOOGLETRANSLATE(C734,""fr"",""en"")"),"Big problems with this auto insurance. Impossible to be able to recover my final green card. It is now 2 months since I signed with them and the telephone service tells me that it was sent by mail. I contacted them several times but This does not change t"&amp;"he situation. In short, one word: run away")</f>
        <v>Big problems with this auto insurance. Impossible to be able to recover my final green card. It is now 2 months since I signed with them and the telephone service tells me that it was sent by mail. I contacted them several times but This does not change the situation. In short, one word: run away</v>
      </c>
    </row>
    <row r="735" ht="15.75" customHeight="1">
      <c r="A735" s="2">
        <v>4.0</v>
      </c>
      <c r="B735" s="2" t="s">
        <v>2086</v>
      </c>
      <c r="C735" s="2" t="s">
        <v>2087</v>
      </c>
      <c r="D735" s="2" t="s">
        <v>183</v>
      </c>
      <c r="E735" s="2" t="s">
        <v>14</v>
      </c>
      <c r="F735" s="2" t="s">
        <v>15</v>
      </c>
      <c r="G735" s="2" t="s">
        <v>2088</v>
      </c>
      <c r="H735" s="2" t="s">
        <v>17</v>
      </c>
      <c r="I735" s="2" t="str">
        <f>IFERROR(__xludf.DUMMYFUNCTION("GOOGLETRANSLATE(C735,""fr"",""en"")"),"Satisfied to go to the phone,
The so -called and lymphatic televendor is changing the other companies ...........")</f>
        <v>Satisfied to go to the phone,
The so -called and lymphatic televendor is changing the other companies ...........</v>
      </c>
    </row>
    <row r="736" ht="15.75" customHeight="1">
      <c r="A736" s="2">
        <v>3.0</v>
      </c>
      <c r="B736" s="2" t="s">
        <v>2089</v>
      </c>
      <c r="C736" s="2" t="s">
        <v>2090</v>
      </c>
      <c r="D736" s="2" t="s">
        <v>196</v>
      </c>
      <c r="E736" s="2" t="s">
        <v>21</v>
      </c>
      <c r="F736" s="2" t="s">
        <v>15</v>
      </c>
      <c r="G736" s="2" t="s">
        <v>1755</v>
      </c>
      <c r="H736" s="2" t="s">
        <v>723</v>
      </c>
      <c r="I736" s="2" t="str">
        <f>IFERROR(__xludf.DUMMYFUNCTION("GOOGLETRANSLATE(C736,""fr"",""en"")"),"Very reactive insurer compared to a disaster; pleasant and professional customer service.")</f>
        <v>Very reactive insurer compared to a disaster; pleasant and professional customer service.</v>
      </c>
    </row>
    <row r="737" ht="15.75" customHeight="1">
      <c r="A737" s="2">
        <v>5.0</v>
      </c>
      <c r="B737" s="2" t="s">
        <v>2091</v>
      </c>
      <c r="C737" s="2" t="s">
        <v>2092</v>
      </c>
      <c r="D737" s="2" t="s">
        <v>31</v>
      </c>
      <c r="E737" s="2" t="s">
        <v>32</v>
      </c>
      <c r="F737" s="2" t="s">
        <v>15</v>
      </c>
      <c r="G737" s="2" t="s">
        <v>54</v>
      </c>
      <c r="H737" s="2" t="s">
        <v>54</v>
      </c>
      <c r="I737" s="2" t="str">
        <f>IFERROR(__xludf.DUMMYFUNCTION("GOOGLETRANSLATE(C737,""fr"",""en"")"),"Loading...")</f>
        <v>Loading...</v>
      </c>
    </row>
    <row r="738" ht="15.75" customHeight="1">
      <c r="A738" s="2">
        <v>2.0</v>
      </c>
      <c r="B738" s="2" t="s">
        <v>2093</v>
      </c>
      <c r="C738" s="2" t="s">
        <v>2094</v>
      </c>
      <c r="D738" s="2" t="s">
        <v>1436</v>
      </c>
      <c r="E738" s="2" t="s">
        <v>76</v>
      </c>
      <c r="F738" s="2" t="s">
        <v>15</v>
      </c>
      <c r="G738" s="2" t="s">
        <v>445</v>
      </c>
      <c r="H738" s="2" t="s">
        <v>92</v>
      </c>
      <c r="I738" s="2" t="str">
        <f>IFERROR(__xludf.DUMMYFUNCTION("GOOGLETRANSLATE(C738,""fr"",""en"")"),"Not at all pro, wasting my time to obtain insurance that has not arrived in time for termination with the bank, they are there especially to collect contracts and don't care about details. To flee !")</f>
        <v>Not at all pro, wasting my time to obtain insurance that has not arrived in time for termination with the bank, they are there especially to collect contracts and don't care about details. To flee !</v>
      </c>
    </row>
    <row r="739" ht="15.75" customHeight="1">
      <c r="A739" s="2">
        <v>2.0</v>
      </c>
      <c r="B739" s="2" t="s">
        <v>2095</v>
      </c>
      <c r="C739" s="2" t="s">
        <v>2096</v>
      </c>
      <c r="D739" s="2" t="s">
        <v>95</v>
      </c>
      <c r="E739" s="2" t="s">
        <v>32</v>
      </c>
      <c r="F739" s="2" t="s">
        <v>15</v>
      </c>
      <c r="G739" s="2" t="s">
        <v>2097</v>
      </c>
      <c r="H739" s="2" t="s">
        <v>150</v>
      </c>
      <c r="I739" s="2" t="str">
        <f>IFERROR(__xludf.DUMMYFUNCTION("GOOGLETRANSLATE(C739,""fr"",""en"")"),"Double the prices overnight without warning, does not send the insurance certificate before the deadline (I have been waiting for 4 weeks) and impossible to join to obtain satisfaction. Balance sheet to flee at all costs! Better to pay a little more for a"&amp;" real insurer who does not just pump your bank account!")</f>
        <v>Double the prices overnight without warning, does not send the insurance certificate before the deadline (I have been waiting for 4 weeks) and impossible to join to obtain satisfaction. Balance sheet to flee at all costs! Better to pay a little more for a real insurer who does not just pump your bank account!</v>
      </c>
    </row>
    <row r="740" ht="15.75" customHeight="1">
      <c r="A740" s="2">
        <v>4.0</v>
      </c>
      <c r="B740" s="2" t="s">
        <v>2098</v>
      </c>
      <c r="C740" s="2" t="s">
        <v>2099</v>
      </c>
      <c r="D740" s="2" t="s">
        <v>62</v>
      </c>
      <c r="E740" s="2" t="s">
        <v>21</v>
      </c>
      <c r="F740" s="2" t="s">
        <v>15</v>
      </c>
      <c r="G740" s="2" t="s">
        <v>346</v>
      </c>
      <c r="H740" s="2" t="s">
        <v>123</v>
      </c>
      <c r="I740" s="2" t="str">
        <f>IFERROR(__xludf.DUMMYFUNCTION("GOOGLETRANSLATE(C740,""fr"",""en"")"),"Already a customer with no claim so satisfied, it is when there is a disaster that we see the skills of his insurer.
Now it remains to be seen how the Multidays promotion will be set up.")</f>
        <v>Already a customer with no claim so satisfied, it is when there is a disaster that we see the skills of his insurer.
Now it remains to be seen how the Multidays promotion will be set up.</v>
      </c>
    </row>
    <row r="741" ht="15.75" customHeight="1">
      <c r="A741" s="2">
        <v>4.0</v>
      </c>
      <c r="B741" s="2" t="s">
        <v>2100</v>
      </c>
      <c r="C741" s="2" t="s">
        <v>2101</v>
      </c>
      <c r="D741" s="2" t="s">
        <v>62</v>
      </c>
      <c r="E741" s="2" t="s">
        <v>21</v>
      </c>
      <c r="F741" s="2" t="s">
        <v>15</v>
      </c>
      <c r="G741" s="2" t="s">
        <v>397</v>
      </c>
      <c r="H741" s="2" t="s">
        <v>64</v>
      </c>
      <c r="I741" s="2" t="str">
        <f>IFERROR(__xludf.DUMMYFUNCTION("GOOGLETRANSLATE(C741,""fr"",""en"")"),"I am satisfied with the online demand and the savings that I can possibly achieve.
A bit high first deadline.
But satisfied in general")</f>
        <v>I am satisfied with the online demand and the savings that I can possibly achieve.
A bit high first deadline.
But satisfied in general</v>
      </c>
    </row>
    <row r="742" ht="15.75" customHeight="1">
      <c r="A742" s="2">
        <v>2.0</v>
      </c>
      <c r="B742" s="2" t="s">
        <v>2102</v>
      </c>
      <c r="C742" s="2" t="s">
        <v>2103</v>
      </c>
      <c r="D742" s="2" t="s">
        <v>62</v>
      </c>
      <c r="E742" s="2" t="s">
        <v>21</v>
      </c>
      <c r="F742" s="2" t="s">
        <v>15</v>
      </c>
      <c r="G742" s="2" t="s">
        <v>978</v>
      </c>
      <c r="H742" s="2" t="s">
        <v>64</v>
      </c>
      <c r="I742" s="2" t="str">
        <f>IFERROR(__xludf.DUMMYFUNCTION("GOOGLETRANSLATE(C742,""fr"",""en"")"),"Direct Insurance is very long to repair the car and especially the expert does not take care of the damage caused by an accident, for me it is not insurance to whom we can count. I do not recommend this insurance")</f>
        <v>Direct Insurance is very long to repair the car and especially the expert does not take care of the damage caused by an accident, for me it is not insurance to whom we can count. I do not recommend this insurance</v>
      </c>
    </row>
    <row r="743" ht="15.75" customHeight="1">
      <c r="A743" s="2">
        <v>2.0</v>
      </c>
      <c r="B743" s="2" t="s">
        <v>2104</v>
      </c>
      <c r="C743" s="2" t="s">
        <v>2105</v>
      </c>
      <c r="D743" s="2" t="s">
        <v>368</v>
      </c>
      <c r="E743" s="2" t="s">
        <v>21</v>
      </c>
      <c r="F743" s="2" t="s">
        <v>15</v>
      </c>
      <c r="G743" s="2" t="s">
        <v>2106</v>
      </c>
      <c r="H743" s="2" t="s">
        <v>698</v>
      </c>
      <c r="I743" s="2" t="str">
        <f>IFERROR(__xludf.DUMMYFUNCTION("GOOGLETRANSLATE(C743,""fr"",""en"")"),"To rectify the quote, the NR of quote but the gray card. To ensure the car on the 4th at midnight must call 4 afternoon .... send an email no answer ... Everything is said, it's not serious.")</f>
        <v>To rectify the quote, the NR of quote but the gray card. To ensure the car on the 4th at midnight must call 4 afternoon .... send an email no answer ... Everything is said, it's not serious.</v>
      </c>
    </row>
    <row r="744" ht="15.75" customHeight="1">
      <c r="A744" s="2">
        <v>5.0</v>
      </c>
      <c r="B744" s="2" t="s">
        <v>2107</v>
      </c>
      <c r="C744" s="2" t="s">
        <v>2108</v>
      </c>
      <c r="D744" s="2" t="s">
        <v>62</v>
      </c>
      <c r="E744" s="2" t="s">
        <v>21</v>
      </c>
      <c r="F744" s="2" t="s">
        <v>15</v>
      </c>
      <c r="G744" s="2" t="s">
        <v>834</v>
      </c>
      <c r="H744" s="2" t="s">
        <v>123</v>
      </c>
      <c r="I744" s="2" t="str">
        <f>IFERROR(__xludf.DUMMYFUNCTION("GOOGLETRANSLATE(C744,""fr"",""en"")"),"Much cheaper and easy than other insurers. Or a saving of more than 300 euros for the year.
I highly recommend Direct Assurances. And it's easy in 2 clicks")</f>
        <v>Much cheaper and easy than other insurers. Or a saving of more than 300 euros for the year.
I highly recommend Direct Assurances. And it's easy in 2 clicks</v>
      </c>
    </row>
    <row r="745" ht="15.75" customHeight="1">
      <c r="A745" s="2">
        <v>3.0</v>
      </c>
      <c r="B745" s="2" t="s">
        <v>2109</v>
      </c>
      <c r="C745" s="2" t="s">
        <v>2110</v>
      </c>
      <c r="D745" s="2" t="s">
        <v>62</v>
      </c>
      <c r="E745" s="2" t="s">
        <v>21</v>
      </c>
      <c r="F745" s="2" t="s">
        <v>15</v>
      </c>
      <c r="G745" s="2" t="s">
        <v>2111</v>
      </c>
      <c r="H745" s="2" t="s">
        <v>59</v>
      </c>
      <c r="I745" s="2" t="str">
        <f>IFERROR(__xludf.DUMMYFUNCTION("GOOGLETRANSLATE(C745,""fr"",""en"")"),"Accident in Belgium 700 meters from the French border.
Call at 10:15 am I had 5 stakeholders they tell me we take care of you.
12 hours I still remember to evacuate the car 3 speakers.
1 pm Fortunately, who had no bodily the direct insurance not up to "&amp;"the task ...
1:40 pm finally arrives at the set?")</f>
        <v>Accident in Belgium 700 meters from the French border.
Call at 10:15 am I had 5 stakeholders they tell me we take care of you.
12 hours I still remember to evacuate the car 3 speakers.
1 pm Fortunately, who had no bodily the direct insurance not up to the task ...
1:40 pm finally arrives at the set?</v>
      </c>
    </row>
    <row r="746" ht="15.75" customHeight="1">
      <c r="A746" s="2">
        <v>2.0</v>
      </c>
      <c r="B746" s="2" t="s">
        <v>2112</v>
      </c>
      <c r="C746" s="2" t="s">
        <v>2113</v>
      </c>
      <c r="D746" s="2" t="s">
        <v>196</v>
      </c>
      <c r="E746" s="2" t="s">
        <v>129</v>
      </c>
      <c r="F746" s="2" t="s">
        <v>15</v>
      </c>
      <c r="G746" s="2" t="s">
        <v>2114</v>
      </c>
      <c r="H746" s="2" t="s">
        <v>92</v>
      </c>
      <c r="I746" s="2" t="str">
        <f>IFERROR(__xludf.DUMMYFUNCTION("GOOGLETRANSLATE(C746,""fr"",""en"")"),"As with the SFAM (from which Fnac has separated now that it has a trial on the buttocks - and again, the fine is 10 million on a turnover of more than 700 million, peanuts) it is almost impossible To terminate a contract (my mother had to make opposition "&amp;"after more than 300 euros in samples by the post-demande of termination SFAM) as for Pacifica, I subscribed to LCL, result after three months of calls among these people who Refer to the bankers, then conversely once at the bank. I was told to do certain "&amp;"things (written certificate by email that I no longer needed this contract); Once done, I am told that it is not resilled like that, and that they must have the home insurance contract of my roommate (which ensures the house) and proof linking my contract"&amp;". Having been taken for a fool, I did not follow these instructions, not wanting to fuel this process or will then come and ask me for the Next Step to go and get his signature to the King of Morocco to finalize the termination. Like my mother, I made opp"&amp;"osition to the transfers, the banker having told me that the insurance would terminate the contract once it does. Result, advisor in fact tells me then that I and my mother we explain to receive in a few months (years?) Of the sums abused to pay, that is "&amp;"to say all the previous samples to which we will have opposed. They all work the same is sad and what is the saddest is that it is legal. The boss of the SFAM is also a Tunisian formerly specialized in overwhelmed calls ... Oupsi")</f>
        <v>As with the SFAM (from which Fnac has separated now that it has a trial on the buttocks - and again, the fine is 10 million on a turnover of more than 700 million, peanuts) it is almost impossible To terminate a contract (my mother had to make opposition after more than 300 euros in samples by the post-demande of termination SFAM) as for Pacifica, I subscribed to LCL, result after three months of calls among these people who Refer to the bankers, then conversely once at the bank. I was told to do certain things (written certificate by email that I no longer needed this contract); Once done, I am told that it is not resilled like that, and that they must have the home insurance contract of my roommate (which ensures the house) and proof linking my contract. Having been taken for a fool, I did not follow these instructions, not wanting to fuel this process or will then come and ask me for the Next Step to go and get his signature to the King of Morocco to finalize the termination. Like my mother, I made opposition to the transfers, the banker having told me that the insurance would terminate the contract once it does. Result, advisor in fact tells me then that I and my mother we explain to receive in a few months (years?) Of the sums abused to pay, that is to say all the previous samples to which we will have opposed. They all work the same is sad and what is the saddest is that it is legal. The boss of the SFAM is also a Tunisian formerly specialized in overwhelmed calls ... Oupsi</v>
      </c>
    </row>
    <row r="747" ht="15.75" customHeight="1">
      <c r="A747" s="2">
        <v>3.0</v>
      </c>
      <c r="B747" s="2" t="s">
        <v>2115</v>
      </c>
      <c r="C747" s="2" t="s">
        <v>2116</v>
      </c>
      <c r="D747" s="2" t="s">
        <v>20</v>
      </c>
      <c r="E747" s="2" t="s">
        <v>21</v>
      </c>
      <c r="F747" s="2" t="s">
        <v>15</v>
      </c>
      <c r="G747" s="2" t="s">
        <v>1224</v>
      </c>
      <c r="H747" s="2" t="s">
        <v>123</v>
      </c>
      <c r="I747" s="2" t="str">
        <f>IFERROR(__xludf.DUMMYFUNCTION("GOOGLETRANSLATE(C747,""fr"",""en"")"),"Loading...")</f>
        <v>Loading...</v>
      </c>
    </row>
    <row r="748" ht="15.75" customHeight="1">
      <c r="A748" s="2">
        <v>2.0</v>
      </c>
      <c r="B748" s="2" t="s">
        <v>2117</v>
      </c>
      <c r="C748" s="2" t="s">
        <v>2118</v>
      </c>
      <c r="D748" s="2" t="s">
        <v>31</v>
      </c>
      <c r="E748" s="2" t="s">
        <v>32</v>
      </c>
      <c r="F748" s="2" t="s">
        <v>15</v>
      </c>
      <c r="G748" s="2" t="s">
        <v>520</v>
      </c>
      <c r="H748" s="2" t="s">
        <v>59</v>
      </c>
      <c r="I748" s="2" t="str">
        <f>IFERROR(__xludf.DUMMYFUNCTION("GOOGLETRANSLATE(C748,""fr"",""en"")"),"Affordable price, zero customer service. Be careful when you have claims including when you are not wrong. Call insurance constantly if you want the file to advance.")</f>
        <v>Affordable price, zero customer service. Be careful when you have claims including when you are not wrong. Call insurance constantly if you want the file to advance.</v>
      </c>
    </row>
    <row r="749" ht="15.75" customHeight="1">
      <c r="A749" s="2">
        <v>3.0</v>
      </c>
      <c r="B749" s="2" t="s">
        <v>2119</v>
      </c>
      <c r="C749" s="2" t="s">
        <v>2120</v>
      </c>
      <c r="D749" s="2" t="s">
        <v>42</v>
      </c>
      <c r="E749" s="2" t="s">
        <v>21</v>
      </c>
      <c r="F749" s="2" t="s">
        <v>15</v>
      </c>
      <c r="G749" s="2" t="s">
        <v>2121</v>
      </c>
      <c r="H749" s="2" t="s">
        <v>72</v>
      </c>
      <c r="I749" s="2" t="str">
        <f>IFERROR(__xludf.DUMMYFUNCTION("GOOGLETRANSLATE(C749,""fr"",""en"")"),"Satisfied with the reception and service rendered during my call to the olive tree. clear information and good availability of people. Regards,
M.Toussaint
")</f>
        <v>Satisfied with the reception and service rendered during my call to the olive tree. clear information and good availability of people. Regards,
M.Toussaint
</v>
      </c>
    </row>
    <row r="750" ht="15.75" customHeight="1">
      <c r="A750" s="2">
        <v>2.0</v>
      </c>
      <c r="B750" s="2" t="s">
        <v>2122</v>
      </c>
      <c r="C750" s="2" t="s">
        <v>2123</v>
      </c>
      <c r="D750" s="2" t="s">
        <v>62</v>
      </c>
      <c r="E750" s="2" t="s">
        <v>21</v>
      </c>
      <c r="F750" s="2" t="s">
        <v>15</v>
      </c>
      <c r="G750" s="2" t="s">
        <v>1368</v>
      </c>
      <c r="H750" s="2" t="s">
        <v>113</v>
      </c>
      <c r="I750" s="2" t="str">
        <f>IFERROR(__xludf.DUMMYFUNCTION("GOOGLETRANSLATE(C750,""fr"",""en"")"),"I am waiting to see the final amount and if it meets my needs. Satisfied with the speed to receive the info it's very very practical thank you")</f>
        <v>I am waiting to see the final amount and if it meets my needs. Satisfied with the speed to receive the info it's very very practical thank you</v>
      </c>
    </row>
    <row r="751" ht="15.75" customHeight="1">
      <c r="A751" s="2">
        <v>3.0</v>
      </c>
      <c r="B751" s="2" t="s">
        <v>2124</v>
      </c>
      <c r="C751" s="2" t="s">
        <v>2125</v>
      </c>
      <c r="D751" s="2" t="s">
        <v>183</v>
      </c>
      <c r="E751" s="2" t="s">
        <v>14</v>
      </c>
      <c r="F751" s="2" t="s">
        <v>15</v>
      </c>
      <c r="G751" s="2" t="s">
        <v>483</v>
      </c>
      <c r="H751" s="2" t="s">
        <v>54</v>
      </c>
      <c r="I751" s="2" t="str">
        <f>IFERROR(__xludf.DUMMYFUNCTION("GOOGLETRANSLATE(C751,""fr"",""en"")"),"Following my telephone call, I am satisfied with this exchange with Emeline.
Courtoise, Claire in his words.
Very good interlocutor, which is unfortunately not always the case.")</f>
        <v>Following my telephone call, I am satisfied with this exchange with Emeline.
Courtoise, Claire in his words.
Very good interlocutor, which is unfortunately not always the case.</v>
      </c>
    </row>
    <row r="752" ht="15.75" customHeight="1">
      <c r="A752" s="2">
        <v>3.0</v>
      </c>
      <c r="B752" s="2" t="s">
        <v>2126</v>
      </c>
      <c r="C752" s="2" t="s">
        <v>2127</v>
      </c>
      <c r="D752" s="2" t="s">
        <v>62</v>
      </c>
      <c r="E752" s="2" t="s">
        <v>129</v>
      </c>
      <c r="F752" s="2" t="s">
        <v>15</v>
      </c>
      <c r="G752" s="2" t="s">
        <v>2128</v>
      </c>
      <c r="H752" s="2" t="s">
        <v>17</v>
      </c>
      <c r="I752" s="2" t="str">
        <f>IFERROR(__xludf.DUMMYFUNCTION("GOOGLETRANSLATE(C752,""fr"",""en"")"),"Company to be avoided absolutely because I have had a non -responsible water damage since October 2017 and I have always been compensated. I am still calling the company and not the other way around")</f>
        <v>Company to be avoided absolutely because I have had a non -responsible water damage since October 2017 and I have always been compensated. I am still calling the company and not the other way around</v>
      </c>
    </row>
    <row r="753" ht="15.75" customHeight="1">
      <c r="A753" s="2">
        <v>1.0</v>
      </c>
      <c r="B753" s="2" t="s">
        <v>2129</v>
      </c>
      <c r="C753" s="2" t="s">
        <v>2130</v>
      </c>
      <c r="D753" s="2" t="s">
        <v>191</v>
      </c>
      <c r="E753" s="2" t="s">
        <v>104</v>
      </c>
      <c r="F753" s="2" t="s">
        <v>15</v>
      </c>
      <c r="G753" s="2" t="s">
        <v>2131</v>
      </c>
      <c r="H753" s="2" t="s">
        <v>723</v>
      </c>
      <c r="I753" s="2" t="str">
        <f>IFERROR(__xludf.DUMMYFUNCTION("GOOGLETRANSLATE(C753,""fr"",""en"")"),"Beneficiaries of the insurance of our great mother, this establishment almost took a year to pay us. They never started to find us, otherwise it would have taken even more time.")</f>
        <v>Beneficiaries of the insurance of our great mother, this establishment almost took a year to pay us. They never started to find us, otherwise it would have taken even more time.</v>
      </c>
    </row>
    <row r="754" ht="15.75" customHeight="1">
      <c r="A754" s="2">
        <v>1.0</v>
      </c>
      <c r="B754" s="2" t="s">
        <v>2132</v>
      </c>
      <c r="C754" s="2" t="s">
        <v>2133</v>
      </c>
      <c r="D754" s="2" t="s">
        <v>81</v>
      </c>
      <c r="E754" s="2" t="s">
        <v>14</v>
      </c>
      <c r="F754" s="2" t="s">
        <v>15</v>
      </c>
      <c r="G754" s="2" t="s">
        <v>43</v>
      </c>
      <c r="H754" s="2" t="s">
        <v>44</v>
      </c>
      <c r="I754" s="2" t="str">
        <f>IFERROR(__xludf.DUMMYFUNCTION("GOOGLETRANSLATE(C754,""fr"",""en"")"),"My mother is very old ""surprised"" her contract changed with via health. This new contract today does not resume home help which could have been relayed with assistance from the departmental council.
 She was recently hospitalized with a period of impot"&amp;"ence when she left rehabilitation.
Insured since the creation of strength south and much further upstream (former nurse) I find this contempt for personal service and non -compliance with the continuation of the contract")</f>
        <v>My mother is very old "surprised" her contract changed with via health. This new contract today does not resume home help which could have been relayed with assistance from the departmental council.
 She was recently hospitalized with a period of impotence when she left rehabilitation.
Insured since the creation of strength south and much further upstream (former nurse) I find this contempt for personal service and non -compliance with the continuation of the contract</v>
      </c>
    </row>
    <row r="755" ht="15.75" customHeight="1">
      <c r="A755" s="2">
        <v>1.0</v>
      </c>
      <c r="B755" s="2" t="s">
        <v>2134</v>
      </c>
      <c r="C755" s="2" t="s">
        <v>2135</v>
      </c>
      <c r="D755" s="2" t="s">
        <v>42</v>
      </c>
      <c r="E755" s="2" t="s">
        <v>21</v>
      </c>
      <c r="F755" s="2" t="s">
        <v>15</v>
      </c>
      <c r="G755" s="2" t="s">
        <v>559</v>
      </c>
      <c r="H755" s="2" t="s">
        <v>50</v>
      </c>
      <c r="I755" s="2" t="str">
        <f>IFERROR(__xludf.DUMMYFUNCTION("GOOGLETRANSLATE(C755,""fr"",""en"")"),"Disaster! Hell! Just horrible!
9 months after the disaster for which I was not responsible for it and after the reimbursement of the vehicle I received a letter from them that I owe 6000th of guard costs because my vehicle is still in the garage ...
Sta"&amp;"ff so incompetent that at the time given you understand that they are openly don't care about your guele ...
They made me live a hell on earth!
")</f>
        <v>Disaster! Hell! Just horrible!
9 months after the disaster for which I was not responsible for it and after the reimbursement of the vehicle I received a letter from them that I owe 6000th of guard costs because my vehicle is still in the garage ...
Staff so incompetent that at the time given you understand that they are openly don't care about your guele ...
They made me live a hell on earth!
</v>
      </c>
    </row>
    <row r="756" ht="15.75" customHeight="1">
      <c r="A756" s="2">
        <v>2.0</v>
      </c>
      <c r="B756" s="2" t="s">
        <v>2136</v>
      </c>
      <c r="C756" s="2" t="s">
        <v>2137</v>
      </c>
      <c r="D756" s="2" t="s">
        <v>42</v>
      </c>
      <c r="E756" s="2" t="s">
        <v>21</v>
      </c>
      <c r="F756" s="2" t="s">
        <v>15</v>
      </c>
      <c r="G756" s="2" t="s">
        <v>2138</v>
      </c>
      <c r="H756" s="2" t="s">
        <v>608</v>
      </c>
      <c r="I756" s="2" t="str">
        <f>IFERROR(__xludf.DUMMYFUNCTION("GOOGLETRANSLATE(C756,""fr"",""en"")"),"Debut February 2018, I stopped my car insurance in accordance, in article L113,15-2 of the insurance code by LRA. Every day I receive an email with delay fees, monthly payments not adjusted etc ..; while I am up to date. They don't care about us !!! I sen"&amp;"d the file to the mediator of the insurance")</f>
        <v>Debut February 2018, I stopped my car insurance in accordance, in article L113,15-2 of the insurance code by LRA. Every day I receive an email with delay fees, monthly payments not adjusted etc ..; while I am up to date. They don't care about us !!! I send the file to the mediator of the insurance</v>
      </c>
    </row>
    <row r="757" ht="15.75" customHeight="1">
      <c r="A757" s="2">
        <v>4.0</v>
      </c>
      <c r="B757" s="2" t="s">
        <v>2139</v>
      </c>
      <c r="C757" s="2" t="s">
        <v>2140</v>
      </c>
      <c r="D757" s="2" t="s">
        <v>42</v>
      </c>
      <c r="E757" s="2" t="s">
        <v>21</v>
      </c>
      <c r="F757" s="2" t="s">
        <v>15</v>
      </c>
      <c r="G757" s="2" t="s">
        <v>2141</v>
      </c>
      <c r="H757" s="2" t="s">
        <v>34</v>
      </c>
      <c r="I757" s="2" t="str">
        <f>IFERROR(__xludf.DUMMYFUNCTION("GOOGLETRANSLATE(C757,""fr"",""en"")"),"I am satisfied with the service rendered by phone competent advisor and attentive
answer all my questions
For the very simple electronic signature also")</f>
        <v>I am satisfied with the service rendered by phone competent advisor and attentive
answer all my questions
For the very simple electronic signature also</v>
      </c>
    </row>
    <row r="758" ht="15.75" customHeight="1">
      <c r="A758" s="2">
        <v>5.0</v>
      </c>
      <c r="B758" s="2" t="s">
        <v>2142</v>
      </c>
      <c r="C758" s="2" t="s">
        <v>2143</v>
      </c>
      <c r="D758" s="2" t="s">
        <v>255</v>
      </c>
      <c r="E758" s="2" t="s">
        <v>21</v>
      </c>
      <c r="F758" s="2" t="s">
        <v>15</v>
      </c>
      <c r="G758" s="2" t="s">
        <v>2144</v>
      </c>
      <c r="H758" s="2" t="s">
        <v>544</v>
      </c>
      <c r="I758" s="2" t="str">
        <f>IFERROR(__xludf.DUMMYFUNCTION("GOOGLETRANSLATE(C758,""fr"",""en"")"),"Allianz de Pontoise was very responsive to my request and is the cheapest in all risks young drivers in the town of Pontoise (banks included).")</f>
        <v>Allianz de Pontoise was very responsive to my request and is the cheapest in all risks young drivers in the town of Pontoise (banks included).</v>
      </c>
    </row>
    <row r="759" ht="15.75" customHeight="1">
      <c r="A759" s="2">
        <v>1.0</v>
      </c>
      <c r="B759" s="2" t="s">
        <v>2145</v>
      </c>
      <c r="C759" s="2" t="s">
        <v>2146</v>
      </c>
      <c r="D759" s="2" t="s">
        <v>183</v>
      </c>
      <c r="E759" s="2" t="s">
        <v>14</v>
      </c>
      <c r="F759" s="2" t="s">
        <v>15</v>
      </c>
      <c r="G759" s="2" t="s">
        <v>2147</v>
      </c>
      <c r="H759" s="2" t="s">
        <v>201</v>
      </c>
      <c r="I759" s="2" t="str">
        <f>IFERROR(__xludf.DUMMYFUNCTION("GOOGLETRANSLATE(C759,""fr"",""en"")"),"Customer service not rendered despite several recovery")</f>
        <v>Customer service not rendered despite several recovery</v>
      </c>
    </row>
    <row r="760" ht="15.75" customHeight="1">
      <c r="A760" s="2">
        <v>3.0</v>
      </c>
      <c r="B760" s="2" t="s">
        <v>2148</v>
      </c>
      <c r="C760" s="2" t="s">
        <v>2149</v>
      </c>
      <c r="D760" s="2" t="s">
        <v>210</v>
      </c>
      <c r="E760" s="2" t="s">
        <v>14</v>
      </c>
      <c r="F760" s="2" t="s">
        <v>15</v>
      </c>
      <c r="G760" s="2" t="s">
        <v>2150</v>
      </c>
      <c r="H760" s="2" t="s">
        <v>582</v>
      </c>
      <c r="I760" s="2" t="str">
        <f>IFERROR(__xludf.DUMMYFUNCTION("GOOGLETRANSLATE(C760,""fr"",""en"")"),"Following a refund request, I had an excellent telephone reception from Caroline with an immediate response, adapted to my request")</f>
        <v>Following a refund request, I had an excellent telephone reception from Caroline with an immediate response, adapted to my request</v>
      </c>
    </row>
    <row r="761" ht="15.75" customHeight="1">
      <c r="A761" s="2">
        <v>1.0</v>
      </c>
      <c r="B761" s="2" t="s">
        <v>2151</v>
      </c>
      <c r="C761" s="2" t="s">
        <v>2152</v>
      </c>
      <c r="D761" s="2" t="s">
        <v>47</v>
      </c>
      <c r="E761" s="2" t="s">
        <v>32</v>
      </c>
      <c r="F761" s="2" t="s">
        <v>15</v>
      </c>
      <c r="G761" s="2" t="s">
        <v>1346</v>
      </c>
      <c r="H761" s="2" t="s">
        <v>276</v>
      </c>
      <c r="I761" s="2" t="str">
        <f>IFERROR(__xludf.DUMMYFUNCTION("GOOGLETRANSLATE(C761,""fr"",""en"")"),"Loading...")</f>
        <v>Loading...</v>
      </c>
    </row>
    <row r="762" ht="15.75" customHeight="1">
      <c r="A762" s="2">
        <v>3.0</v>
      </c>
      <c r="B762" s="2" t="s">
        <v>2153</v>
      </c>
      <c r="C762" s="2" t="s">
        <v>2154</v>
      </c>
      <c r="D762" s="2" t="s">
        <v>31</v>
      </c>
      <c r="E762" s="2" t="s">
        <v>32</v>
      </c>
      <c r="F762" s="2" t="s">
        <v>15</v>
      </c>
      <c r="G762" s="2" t="s">
        <v>528</v>
      </c>
      <c r="H762" s="2" t="s">
        <v>34</v>
      </c>
      <c r="I762" s="2" t="str">
        <f>IFERROR(__xludf.DUMMYFUNCTION("GOOGLETRANSLATE(C762,""fr"",""en"")"),"The service is very fast, and knowing April I fully trust for the assurance of my 2 wheels, the only small downside remains the price that has my taste is a little high")</f>
        <v>The service is very fast, and knowing April I fully trust for the assurance of my 2 wheels, the only small downside remains the price that has my taste is a little high</v>
      </c>
    </row>
    <row r="763" ht="15.75" customHeight="1">
      <c r="A763" s="2">
        <v>5.0</v>
      </c>
      <c r="B763" s="2" t="s">
        <v>2155</v>
      </c>
      <c r="C763" s="2" t="s">
        <v>2156</v>
      </c>
      <c r="D763" s="2" t="s">
        <v>42</v>
      </c>
      <c r="E763" s="2" t="s">
        <v>21</v>
      </c>
      <c r="F763" s="2" t="s">
        <v>15</v>
      </c>
      <c r="G763" s="2" t="s">
        <v>2157</v>
      </c>
      <c r="H763" s="2" t="s">
        <v>39</v>
      </c>
      <c r="I763" s="2" t="str">
        <f>IFERROR(__xludf.DUMMYFUNCTION("GOOGLETRANSLATE(C763,""fr"",""en"")"),"Loading...")</f>
        <v>Loading...</v>
      </c>
    </row>
    <row r="764" ht="15.75" customHeight="1">
      <c r="A764" s="2">
        <v>4.0</v>
      </c>
      <c r="B764" s="2" t="s">
        <v>2158</v>
      </c>
      <c r="C764" s="2" t="s">
        <v>2159</v>
      </c>
      <c r="D764" s="2" t="s">
        <v>62</v>
      </c>
      <c r="E764" s="2" t="s">
        <v>21</v>
      </c>
      <c r="F764" s="2" t="s">
        <v>15</v>
      </c>
      <c r="G764" s="2" t="s">
        <v>1285</v>
      </c>
      <c r="H764" s="2" t="s">
        <v>59</v>
      </c>
      <c r="I764" s="2" t="str">
        <f>IFERROR(__xludf.DUMMYFUNCTION("GOOGLETRANSLATE(C764,""fr"",""en"")"),"You impose procedures by telephone to us while these same steps are done by mail or email.
Thank you for not wasting time and money.")</f>
        <v>You impose procedures by telephone to us while these same steps are done by mail or email.
Thank you for not wasting time and money.</v>
      </c>
    </row>
    <row r="765" ht="15.75" customHeight="1">
      <c r="A765" s="2">
        <v>1.0</v>
      </c>
      <c r="B765" s="2" t="s">
        <v>2160</v>
      </c>
      <c r="C765" s="2" t="s">
        <v>2161</v>
      </c>
      <c r="D765" s="2" t="s">
        <v>42</v>
      </c>
      <c r="E765" s="2" t="s">
        <v>21</v>
      </c>
      <c r="F765" s="2" t="s">
        <v>15</v>
      </c>
      <c r="G765" s="2" t="s">
        <v>1421</v>
      </c>
      <c r="H765" s="2" t="s">
        <v>252</v>
      </c>
      <c r="I765" s="2" t="str">
        <f>IFERROR(__xludf.DUMMYFUNCTION("GOOGLETRANSLATE(C765,""fr"",""en"")"),"Loading...")</f>
        <v>Loading...</v>
      </c>
    </row>
    <row r="766" ht="15.75" customHeight="1">
      <c r="A766" s="2">
        <v>4.0</v>
      </c>
      <c r="B766" s="2" t="s">
        <v>2162</v>
      </c>
      <c r="C766" s="2" t="s">
        <v>2163</v>
      </c>
      <c r="D766" s="2" t="s">
        <v>62</v>
      </c>
      <c r="E766" s="2" t="s">
        <v>21</v>
      </c>
      <c r="F766" s="2" t="s">
        <v>15</v>
      </c>
      <c r="G766" s="2" t="s">
        <v>1304</v>
      </c>
      <c r="H766" s="2" t="s">
        <v>123</v>
      </c>
      <c r="I766" s="2" t="str">
        <f>IFERROR(__xludf.DUMMYFUNCTION("GOOGLETRANSLATE(C766,""fr"",""en"")"),"Well for the moment. Level price A decrease would be good for young permits and advisers are attentive. To see later.
Cordially ,")</f>
        <v>Well for the moment. Level price A decrease would be good for young permits and advisers are attentive. To see later.
Cordially ,</v>
      </c>
    </row>
    <row r="767" ht="15.75" customHeight="1">
      <c r="A767" s="2">
        <v>1.0</v>
      </c>
      <c r="B767" s="2" t="s">
        <v>2164</v>
      </c>
      <c r="C767" s="2" t="s">
        <v>2165</v>
      </c>
      <c r="D767" s="2" t="s">
        <v>42</v>
      </c>
      <c r="E767" s="2" t="s">
        <v>21</v>
      </c>
      <c r="F767" s="2" t="s">
        <v>15</v>
      </c>
      <c r="G767" s="2" t="s">
        <v>1411</v>
      </c>
      <c r="H767" s="2" t="s">
        <v>287</v>
      </c>
      <c r="I767" s="2" t="str">
        <f>IFERROR(__xludf.DUMMYFUNCTION("GOOGLETRANSLATE(C767,""fr"",""en"")"),"Loading...")</f>
        <v>Loading...</v>
      </c>
    </row>
    <row r="768" ht="15.75" customHeight="1">
      <c r="A768" s="2">
        <v>4.0</v>
      </c>
      <c r="B768" s="2" t="s">
        <v>2166</v>
      </c>
      <c r="C768" s="2" t="s">
        <v>2167</v>
      </c>
      <c r="D768" s="2" t="s">
        <v>67</v>
      </c>
      <c r="E768" s="2" t="s">
        <v>32</v>
      </c>
      <c r="F768" s="2" t="s">
        <v>15</v>
      </c>
      <c r="G768" s="2" t="s">
        <v>2168</v>
      </c>
      <c r="H768" s="2" t="s">
        <v>716</v>
      </c>
      <c r="I768" s="2" t="str">
        <f>IFERROR(__xludf.DUMMYFUNCTION("GOOGLETRANSLATE(C768,""fr"",""en"")"),"Motorcycle and car client. Very satisfied with my insurer. I highly recommend AMV.")</f>
        <v>Motorcycle and car client. Very satisfied with my insurer. I highly recommend AMV.</v>
      </c>
    </row>
    <row r="769" ht="15.75" customHeight="1">
      <c r="A769" s="2">
        <v>2.0</v>
      </c>
      <c r="B769" s="2" t="s">
        <v>2169</v>
      </c>
      <c r="C769" s="2" t="s">
        <v>2170</v>
      </c>
      <c r="D769" s="2" t="s">
        <v>250</v>
      </c>
      <c r="E769" s="2" t="s">
        <v>21</v>
      </c>
      <c r="F769" s="2" t="s">
        <v>15</v>
      </c>
      <c r="G769" s="2" t="s">
        <v>1836</v>
      </c>
      <c r="H769" s="2" t="s">
        <v>815</v>
      </c>
      <c r="I769" s="2" t="str">
        <f>IFERROR(__xludf.DUMMYFUNCTION("GOOGLETRANSLATE(C769,""fr"",""en"")")," 40 years of loyalty without the slightest problem: 6 months ago I was stolen a lot in my motorhome")</f>
        <v> 40 years of loyalty without the slightest problem: 6 months ago I was stolen a lot in my motorhome</v>
      </c>
    </row>
    <row r="770" ht="15.75" customHeight="1">
      <c r="A770" s="2">
        <v>5.0</v>
      </c>
      <c r="B770" s="2" t="s">
        <v>2171</v>
      </c>
      <c r="C770" s="2" t="s">
        <v>2172</v>
      </c>
      <c r="D770" s="2" t="s">
        <v>42</v>
      </c>
      <c r="E770" s="2" t="s">
        <v>21</v>
      </c>
      <c r="F770" s="2" t="s">
        <v>15</v>
      </c>
      <c r="G770" s="2" t="s">
        <v>1180</v>
      </c>
      <c r="H770" s="2" t="s">
        <v>39</v>
      </c>
      <c r="I770" s="2" t="str">
        <f>IFERROR(__xludf.DUMMYFUNCTION("GOOGLETRANSLATE(C770,""fr"",""en"")"),"For the moment everything is well
To see in the future and especially when there is a problem to be resolved.
The price is very competitive I am waiting to see the service!")</f>
        <v>For the moment everything is well
To see in the future and especially when there is a problem to be resolved.
The price is very competitive I am waiting to see the service!</v>
      </c>
    </row>
    <row r="771" ht="15.75" customHeight="1">
      <c r="A771" s="2">
        <v>3.0</v>
      </c>
      <c r="B771" s="2" t="s">
        <v>2173</v>
      </c>
      <c r="C771" s="2" t="s">
        <v>2174</v>
      </c>
      <c r="D771" s="2" t="s">
        <v>62</v>
      </c>
      <c r="E771" s="2" t="s">
        <v>21</v>
      </c>
      <c r="F771" s="2" t="s">
        <v>15</v>
      </c>
      <c r="G771" s="2" t="s">
        <v>1304</v>
      </c>
      <c r="H771" s="2" t="s">
        <v>123</v>
      </c>
      <c r="I771" s="2" t="str">
        <f>IFERROR(__xludf.DUMMYFUNCTION("GOOGLETRANSLATE(C771,""fr"",""en"")"),"Loading...")</f>
        <v>Loading...</v>
      </c>
    </row>
    <row r="772" ht="15.75" customHeight="1">
      <c r="A772" s="2">
        <v>4.0</v>
      </c>
      <c r="B772" s="2" t="s">
        <v>2175</v>
      </c>
      <c r="C772" s="2" t="s">
        <v>2176</v>
      </c>
      <c r="D772" s="2" t="s">
        <v>62</v>
      </c>
      <c r="E772" s="2" t="s">
        <v>21</v>
      </c>
      <c r="F772" s="2" t="s">
        <v>15</v>
      </c>
      <c r="G772" s="2" t="s">
        <v>346</v>
      </c>
      <c r="H772" s="2" t="s">
        <v>123</v>
      </c>
      <c r="I772" s="2" t="str">
        <f>IFERROR(__xludf.DUMMYFUNCTION("GOOGLETRANSLATE(C772,""fr"",""en"")"),"Very well. I asked for a quote via Facebook a very kind person took care of my file.
Good relationship with customers.
No complaints.")</f>
        <v>Very well. I asked for a quote via Facebook a very kind person took care of my file.
Good relationship with customers.
No complaints.</v>
      </c>
    </row>
    <row r="773" ht="15.75" customHeight="1">
      <c r="A773" s="2">
        <v>2.0</v>
      </c>
      <c r="B773" s="2" t="s">
        <v>2177</v>
      </c>
      <c r="C773" s="2" t="s">
        <v>2178</v>
      </c>
      <c r="D773" s="2" t="s">
        <v>183</v>
      </c>
      <c r="E773" s="2" t="s">
        <v>14</v>
      </c>
      <c r="F773" s="2" t="s">
        <v>15</v>
      </c>
      <c r="G773" s="2" t="s">
        <v>2179</v>
      </c>
      <c r="H773" s="2" t="s">
        <v>1595</v>
      </c>
      <c r="I773" s="2" t="str">
        <f>IFERROR(__xludf.DUMMYFUNCTION("GOOGLETRANSLATE(C773,""fr"",""en"")"),"Loading...")</f>
        <v>Loading...</v>
      </c>
    </row>
    <row r="774" ht="15.75" customHeight="1">
      <c r="A774" s="2">
        <v>4.0</v>
      </c>
      <c r="B774" s="2" t="s">
        <v>2180</v>
      </c>
      <c r="C774" s="2" t="s">
        <v>2181</v>
      </c>
      <c r="D774" s="2" t="s">
        <v>250</v>
      </c>
      <c r="E774" s="2" t="s">
        <v>21</v>
      </c>
      <c r="F774" s="2" t="s">
        <v>15</v>
      </c>
      <c r="G774" s="2" t="s">
        <v>2182</v>
      </c>
      <c r="H774" s="2" t="s">
        <v>287</v>
      </c>
      <c r="I774" s="2" t="str">
        <f>IFERROR(__xludf.DUMMYFUNCTION("GOOGLETRANSLATE(C774,""fr"",""en"")"),"Good support during a breakdown, choice of garage. No complaints. Hourly choice of repatriation by taxi.")</f>
        <v>Good support during a breakdown, choice of garage. No complaints. Hourly choice of repatriation by taxi.</v>
      </c>
    </row>
    <row r="775" ht="15.75" customHeight="1">
      <c r="A775" s="2">
        <v>3.0</v>
      </c>
      <c r="B775" s="2" t="s">
        <v>2183</v>
      </c>
      <c r="C775" s="2" t="s">
        <v>2184</v>
      </c>
      <c r="D775" s="2" t="s">
        <v>183</v>
      </c>
      <c r="E775" s="2" t="s">
        <v>14</v>
      </c>
      <c r="F775" s="2" t="s">
        <v>15</v>
      </c>
      <c r="G775" s="2" t="s">
        <v>556</v>
      </c>
      <c r="H775" s="2" t="s">
        <v>28</v>
      </c>
      <c r="I775" s="2" t="str">
        <f>IFERROR(__xludf.DUMMYFUNCTION("GOOGLETRANSLATE(C775,""fr"",""en"")"),"Loading...")</f>
        <v>Loading...</v>
      </c>
    </row>
    <row r="776" ht="15.75" customHeight="1">
      <c r="A776" s="2">
        <v>5.0</v>
      </c>
      <c r="B776" s="2" t="s">
        <v>2185</v>
      </c>
      <c r="C776" s="2" t="s">
        <v>2186</v>
      </c>
      <c r="D776" s="2" t="s">
        <v>67</v>
      </c>
      <c r="E776" s="2" t="s">
        <v>32</v>
      </c>
      <c r="F776" s="2" t="s">
        <v>15</v>
      </c>
      <c r="G776" s="2" t="s">
        <v>2187</v>
      </c>
      <c r="H776" s="2" t="s">
        <v>39</v>
      </c>
      <c r="I776" s="2" t="str">
        <f>IFERROR(__xludf.DUMMYFUNCTION("GOOGLETRANSLATE(C776,""fr"",""en"")"),"AMV just like AMV Passion, allow you to be very competitive on the price side, no review on the loss care but no surprise for customer care fairly quickly, I recommend for driver with a few years especially for vehicle collection !")</f>
        <v>AMV just like AMV Passion, allow you to be very competitive on the price side, no review on the loss care but no surprise for customer care fairly quickly, I recommend for driver with a few years especially for vehicle collection !</v>
      </c>
    </row>
    <row r="777" ht="15.75" customHeight="1">
      <c r="A777" s="2">
        <v>5.0</v>
      </c>
      <c r="B777" s="2" t="s">
        <v>2188</v>
      </c>
      <c r="C777" s="2" t="s">
        <v>2189</v>
      </c>
      <c r="D777" s="2" t="s">
        <v>62</v>
      </c>
      <c r="E777" s="2" t="s">
        <v>21</v>
      </c>
      <c r="F777" s="2" t="s">
        <v>15</v>
      </c>
      <c r="G777" s="2" t="s">
        <v>1234</v>
      </c>
      <c r="H777" s="2" t="s">
        <v>154</v>
      </c>
      <c r="I777" s="2" t="str">
        <f>IFERROR(__xludf.DUMMYFUNCTION("GOOGLETRANSLATE(C777,""fr"",""en"")"),"Loading...")</f>
        <v>Loading...</v>
      </c>
    </row>
    <row r="778" ht="15.75" customHeight="1">
      <c r="A778" s="2">
        <v>4.0</v>
      </c>
      <c r="B778" s="2" t="s">
        <v>2190</v>
      </c>
      <c r="C778" s="2" t="s">
        <v>2191</v>
      </c>
      <c r="D778" s="2" t="s">
        <v>418</v>
      </c>
      <c r="E778" s="2" t="s">
        <v>76</v>
      </c>
      <c r="F778" s="2" t="s">
        <v>15</v>
      </c>
      <c r="G778" s="2" t="s">
        <v>119</v>
      </c>
      <c r="H778" s="2" t="s">
        <v>59</v>
      </c>
      <c r="I778" s="2" t="str">
        <f>IFERROR(__xludf.DUMMYFUNCTION("GOOGLETRANSLATE(C778,""fr"",""en"")"),"I am satisfied with the service, the fact that everything is done online is a real plus. Regarding the price, this one is more interesting compared to the insurance offered by my bank. To see for the future.")</f>
        <v>I am satisfied with the service, the fact that everything is done online is a real plus. Regarding the price, this one is more interesting compared to the insurance offered by my bank. To see for the future.</v>
      </c>
    </row>
    <row r="779" ht="15.75" customHeight="1">
      <c r="A779" s="2">
        <v>4.0</v>
      </c>
      <c r="B779" s="2" t="s">
        <v>2192</v>
      </c>
      <c r="C779" s="2" t="s">
        <v>2193</v>
      </c>
      <c r="D779" s="2" t="s">
        <v>62</v>
      </c>
      <c r="E779" s="2" t="s">
        <v>21</v>
      </c>
      <c r="F779" s="2" t="s">
        <v>15</v>
      </c>
      <c r="G779" s="2" t="s">
        <v>2141</v>
      </c>
      <c r="H779" s="2" t="s">
        <v>34</v>
      </c>
      <c r="I779" s="2" t="str">
        <f>IFERROR(__xludf.DUMMYFUNCTION("GOOGLETRANSLATE(C779,""fr"",""en"")"),"The prices are interesting, often among the cheapest, a slight flexibility is also noted. This insurance was recommended to me by friend, and I do not hesitate to recommend it in my turn")</f>
        <v>The prices are interesting, often among the cheapest, a slight flexibility is also noted. This insurance was recommended to me by friend, and I do not hesitate to recommend it in my turn</v>
      </c>
    </row>
    <row r="780" ht="15.75" customHeight="1">
      <c r="A780" s="2">
        <v>2.0</v>
      </c>
      <c r="B780" s="2" t="s">
        <v>2194</v>
      </c>
      <c r="C780" s="2" t="s">
        <v>2195</v>
      </c>
      <c r="D780" s="2" t="s">
        <v>250</v>
      </c>
      <c r="E780" s="2" t="s">
        <v>129</v>
      </c>
      <c r="F780" s="2" t="s">
        <v>15</v>
      </c>
      <c r="G780" s="2" t="s">
        <v>2196</v>
      </c>
      <c r="H780" s="2" t="s">
        <v>370</v>
      </c>
      <c r="I780" s="2" t="str">
        <f>IFERROR(__xludf.DUMMYFUNCTION("GOOGLETRANSLATE(C780,""fr"",""en"")"),"They renewed the home contract to my daughter when we had signed that for 1 year. I sent a simple mail to the Macif de Montaigu, he went to the trash. Macif does not want to terminate the contract N'13842459")</f>
        <v>They renewed the home contract to my daughter when we had signed that for 1 year. I sent a simple mail to the Macif de Montaigu, he went to the trash. Macif does not want to terminate the contract N'13842459</v>
      </c>
    </row>
    <row r="781" ht="15.75" customHeight="1">
      <c r="A781" s="2">
        <v>1.0</v>
      </c>
      <c r="B781" s="2" t="s">
        <v>2197</v>
      </c>
      <c r="C781" s="2" t="s">
        <v>2198</v>
      </c>
      <c r="D781" s="2" t="s">
        <v>255</v>
      </c>
      <c r="E781" s="2" t="s">
        <v>129</v>
      </c>
      <c r="F781" s="2" t="s">
        <v>15</v>
      </c>
      <c r="G781" s="2" t="s">
        <v>403</v>
      </c>
      <c r="H781" s="2" t="s">
        <v>44</v>
      </c>
      <c r="I781" s="2" t="str">
        <f>IFERROR(__xludf.DUMMYFUNCTION("GOOGLETRANSLATE(C781,""fr"",""en"")"),"Allianz systematically finds a parade so as not to have to reimburse. Independent of a very German formalism and a welcome, that is to say unpleasant.
One has the impression of being guilty and of testing before the police.
To avoid absolutely
")</f>
        <v>Allianz systematically finds a parade so as not to have to reimburse. Independent of a very German formalism and a welcome, that is to say unpleasant.
One has the impression of being guilty and of testing before the police.
To avoid absolutely
</v>
      </c>
    </row>
    <row r="782" ht="15.75" customHeight="1">
      <c r="A782" s="2">
        <v>5.0</v>
      </c>
      <c r="B782" s="2" t="s">
        <v>2199</v>
      </c>
      <c r="C782" s="2" t="s">
        <v>2200</v>
      </c>
      <c r="D782" s="2" t="s">
        <v>62</v>
      </c>
      <c r="E782" s="2" t="s">
        <v>21</v>
      </c>
      <c r="F782" s="2" t="s">
        <v>15</v>
      </c>
      <c r="G782" s="2" t="s">
        <v>2201</v>
      </c>
      <c r="H782" s="2" t="s">
        <v>59</v>
      </c>
      <c r="I782" s="2" t="str">
        <f>IFERROR(__xludf.DUMMYFUNCTION("GOOGLETRANSLATE(C782,""fr"",""en"")"),"Very good service
Easy to do online for my home insurance.
To wish that future services are of the same quality.
Bruno D.")</f>
        <v>Very good service
Easy to do online for my home insurance.
To wish that future services are of the same quality.
Bruno D.</v>
      </c>
    </row>
    <row r="783" ht="15.75" customHeight="1">
      <c r="A783" s="2">
        <v>5.0</v>
      </c>
      <c r="B783" s="2" t="s">
        <v>2202</v>
      </c>
      <c r="C783" s="2" t="s">
        <v>2203</v>
      </c>
      <c r="D783" s="2" t="s">
        <v>62</v>
      </c>
      <c r="E783" s="2" t="s">
        <v>21</v>
      </c>
      <c r="F783" s="2" t="s">
        <v>15</v>
      </c>
      <c r="G783" s="2" t="s">
        <v>147</v>
      </c>
      <c r="H783" s="2" t="s">
        <v>59</v>
      </c>
      <c r="I783" s="2" t="str">
        <f>IFERROR(__xludf.DUMMYFUNCTION("GOOGLETRANSLATE(C783,""fr"",""en"")"),"Loading...")</f>
        <v>Loading...</v>
      </c>
    </row>
    <row r="784" ht="15.75" customHeight="1">
      <c r="A784" s="2">
        <v>5.0</v>
      </c>
      <c r="B784" s="2" t="s">
        <v>2204</v>
      </c>
      <c r="C784" s="2" t="s">
        <v>2205</v>
      </c>
      <c r="D784" s="2" t="s">
        <v>62</v>
      </c>
      <c r="E784" s="2" t="s">
        <v>21</v>
      </c>
      <c r="F784" s="2" t="s">
        <v>15</v>
      </c>
      <c r="G784" s="2" t="s">
        <v>1079</v>
      </c>
      <c r="H784" s="2" t="s">
        <v>72</v>
      </c>
      <c r="I784" s="2" t="str">
        <f>IFERROR(__xludf.DUMMYFUNCTION("GOOGLETRANSLATE(C784,""fr"",""en"")"),"No worries, the contract is going well and the service is rendered, correct quality/price, no reproach to make you (so no need for 150 characters to write this notice)")</f>
        <v>No worries, the contract is going well and the service is rendered, correct quality/price, no reproach to make you (so no need for 150 characters to write this notice)</v>
      </c>
    </row>
    <row r="785" ht="15.75" customHeight="1">
      <c r="A785" s="2">
        <v>4.0</v>
      </c>
      <c r="B785" s="2" t="s">
        <v>2206</v>
      </c>
      <c r="C785" s="2" t="s">
        <v>2207</v>
      </c>
      <c r="D785" s="2" t="s">
        <v>42</v>
      </c>
      <c r="E785" s="2" t="s">
        <v>21</v>
      </c>
      <c r="F785" s="2" t="s">
        <v>15</v>
      </c>
      <c r="G785" s="2" t="s">
        <v>442</v>
      </c>
      <c r="H785" s="2" t="s">
        <v>54</v>
      </c>
      <c r="I785" s="2" t="str">
        <f>IFERROR(__xludf.DUMMYFUNCTION("GOOGLETRANSLATE(C785,""fr"",""en"")"),"Loading...")</f>
        <v>Loading...</v>
      </c>
    </row>
    <row r="786" ht="15.75" customHeight="1">
      <c r="A786" s="2">
        <v>4.0</v>
      </c>
      <c r="B786" s="2" t="s">
        <v>2208</v>
      </c>
      <c r="C786" s="2" t="s">
        <v>2209</v>
      </c>
      <c r="D786" s="2" t="s">
        <v>62</v>
      </c>
      <c r="E786" s="2" t="s">
        <v>21</v>
      </c>
      <c r="F786" s="2" t="s">
        <v>15</v>
      </c>
      <c r="G786" s="2" t="s">
        <v>528</v>
      </c>
      <c r="H786" s="2" t="s">
        <v>34</v>
      </c>
      <c r="I786" s="2" t="str">
        <f>IFERROR(__xludf.DUMMYFUNCTION("GOOGLETRANSLATE(C786,""fr"",""en"")"),"Satisfied prices and tools like the application, I unfortunately deplore a lack of responsiveness following request to be contacted by an advisor who left me for example waiting for more than a month in this case: s")</f>
        <v>Satisfied prices and tools like the application, I unfortunately deplore a lack of responsiveness following request to be contacted by an advisor who left me for example waiting for more than a month in this case: s</v>
      </c>
    </row>
    <row r="787" ht="15.75" customHeight="1">
      <c r="A787" s="2">
        <v>3.0</v>
      </c>
      <c r="B787" s="2" t="s">
        <v>2210</v>
      </c>
      <c r="C787" s="2" t="s">
        <v>2211</v>
      </c>
      <c r="D787" s="2" t="s">
        <v>42</v>
      </c>
      <c r="E787" s="2" t="s">
        <v>21</v>
      </c>
      <c r="F787" s="2" t="s">
        <v>15</v>
      </c>
      <c r="G787" s="2" t="s">
        <v>2212</v>
      </c>
      <c r="H787" s="2" t="s">
        <v>141</v>
      </c>
      <c r="I787" s="2" t="str">
        <f>IFERROR(__xludf.DUMMYFUNCTION("GOOGLETRANSLATE(C787,""fr"",""en"")"),"On 13/11/17 I sent by Courier a date Date sign Pow the payment of 150 euros following a claim dating from 25/2/17. A month after I am still without news despite several emails and mail swiring hearts I was nearby to take out a new contract but the I will "&amp;"go to see claims no 20117349709")</f>
        <v>On 13/11/17 I sent by Courier a date Date sign Pow the payment of 150 euros following a claim dating from 25/2/17. A month after I am still without news despite several emails and mail swiring hearts I was nearby to take out a new contract but the I will go to see claims no 20117349709</v>
      </c>
    </row>
    <row r="788" ht="15.75" customHeight="1">
      <c r="A788" s="2">
        <v>4.0</v>
      </c>
      <c r="B788" s="2" t="s">
        <v>2213</v>
      </c>
      <c r="C788" s="2" t="s">
        <v>2214</v>
      </c>
      <c r="D788" s="2" t="s">
        <v>47</v>
      </c>
      <c r="E788" s="2" t="s">
        <v>21</v>
      </c>
      <c r="F788" s="2" t="s">
        <v>15</v>
      </c>
      <c r="G788" s="2" t="s">
        <v>1743</v>
      </c>
      <c r="H788" s="2" t="s">
        <v>266</v>
      </c>
      <c r="I788" s="2" t="str">
        <f>IFERROR(__xludf.DUMMYFUNCTION("GOOGLETRANSLATE(C788,""fr"",""en"")"),"I am extremely satisfied with my AXA Auto insurance. What makes the difference is that I signed my contract in an agency and not online. The agency makes all the difference (Locmiquelic 56 - TOP agency). I moved but I stay with them. I provided 2 cars and"&amp;" suffered a flight. Fast and efficient treatment. Value to be said to be higher than my expectations. RAS.")</f>
        <v>I am extremely satisfied with my AXA Auto insurance. What makes the difference is that I signed my contract in an agency and not online. The agency makes all the difference (Locmiquelic 56 - TOP agency). I moved but I stay with them. I provided 2 cars and suffered a flight. Fast and efficient treatment. Value to be said to be higher than my expectations. RAS.</v>
      </c>
    </row>
    <row r="789" ht="15.75" customHeight="1">
      <c r="A789" s="2">
        <v>5.0</v>
      </c>
      <c r="B789" s="2" t="s">
        <v>2215</v>
      </c>
      <c r="C789" s="2" t="s">
        <v>2216</v>
      </c>
      <c r="D789" s="2" t="s">
        <v>42</v>
      </c>
      <c r="E789" s="2" t="s">
        <v>21</v>
      </c>
      <c r="F789" s="2" t="s">
        <v>15</v>
      </c>
      <c r="G789" s="2" t="s">
        <v>2217</v>
      </c>
      <c r="H789" s="2" t="s">
        <v>59</v>
      </c>
      <c r="I789" s="2" t="str">
        <f>IFERROR(__xludf.DUMMYFUNCTION("GOOGLETRANSLATE(C789,""fr"",""en"")"),"Loading...")</f>
        <v>Loading...</v>
      </c>
    </row>
    <row r="790" ht="15.75" customHeight="1">
      <c r="A790" s="2">
        <v>4.0</v>
      </c>
      <c r="B790" s="2" t="s">
        <v>2218</v>
      </c>
      <c r="C790" s="2" t="s">
        <v>2219</v>
      </c>
      <c r="D790" s="2" t="s">
        <v>62</v>
      </c>
      <c r="E790" s="2" t="s">
        <v>21</v>
      </c>
      <c r="F790" s="2" t="s">
        <v>15</v>
      </c>
      <c r="G790" s="2" t="s">
        <v>1343</v>
      </c>
      <c r="H790" s="2" t="s">
        <v>113</v>
      </c>
      <c r="I790" s="2" t="str">
        <f>IFERROR(__xludf.DUMMYFUNCTION("GOOGLETRANSLATE(C790,""fr"",""en"")"),"The prices and the offer suit me, I want to receive an online quote before making my decision and definitively subscribe to the insurance offer.")</f>
        <v>The prices and the offer suit me, I want to receive an online quote before making my decision and definitively subscribe to the insurance offer.</v>
      </c>
    </row>
    <row r="791" ht="15.75" customHeight="1">
      <c r="A791" s="2">
        <v>1.0</v>
      </c>
      <c r="B791" s="2" t="s">
        <v>2220</v>
      </c>
      <c r="C791" s="2" t="s">
        <v>2221</v>
      </c>
      <c r="D791" s="2" t="s">
        <v>137</v>
      </c>
      <c r="E791" s="2" t="s">
        <v>21</v>
      </c>
      <c r="F791" s="2" t="s">
        <v>15</v>
      </c>
      <c r="G791" s="2" t="s">
        <v>2222</v>
      </c>
      <c r="H791" s="2" t="s">
        <v>78</v>
      </c>
      <c r="I791" s="2" t="str">
        <f>IFERROR(__xludf.DUMMYFUNCTION("GOOGLETRANSLATE(C791,""fr"",""en"")"),"Loading...")</f>
        <v>Loading...</v>
      </c>
    </row>
    <row r="792" ht="15.75" customHeight="1">
      <c r="A792" s="2">
        <v>1.0</v>
      </c>
      <c r="B792" s="2" t="s">
        <v>2223</v>
      </c>
      <c r="C792" s="2" t="s">
        <v>2224</v>
      </c>
      <c r="D792" s="2" t="s">
        <v>1436</v>
      </c>
      <c r="E792" s="2" t="s">
        <v>76</v>
      </c>
      <c r="F792" s="2" t="s">
        <v>15</v>
      </c>
      <c r="G792" s="2" t="s">
        <v>321</v>
      </c>
      <c r="H792" s="2" t="s">
        <v>59</v>
      </c>
      <c r="I792" s="2" t="str">
        <f>IFERROR(__xludf.DUMMYFUNCTION("GOOGLETRANSLATE(C792,""fr"",""en"")"),"Do not trust the comments as I did a few months ago. Magnolia offered me a contract not having the same guarantees as my current insurer (borrower insurance). They started to take me without informing me and without having a positive return from my insure"&amp;"r accepting their proposal. I've been trying to cancel the contract for months. They force me to go to a long complaint procedure, while continuing to take me.
Because of Magnolia, I wasted my time, I could not change insurance and finally I pay this dou"&amp;"ble insurance !!
I have never seen such behavior towards customers. I absolutely do not recommend Magnolia.")</f>
        <v>Do not trust the comments as I did a few months ago. Magnolia offered me a contract not having the same guarantees as my current insurer (borrower insurance). They started to take me without informing me and without having a positive return from my insurer accepting their proposal. I've been trying to cancel the contract for months. They force me to go to a long complaint procedure, while continuing to take me.
Because of Magnolia, I wasted my time, I could not change insurance and finally I pay this double insurance !!
I have never seen such behavior towards customers. I absolutely do not recommend Magnolia.</v>
      </c>
    </row>
    <row r="793" ht="15.75" customHeight="1">
      <c r="A793" s="2">
        <v>4.0</v>
      </c>
      <c r="B793" s="2" t="s">
        <v>2225</v>
      </c>
      <c r="C793" s="2" t="s">
        <v>2226</v>
      </c>
      <c r="D793" s="2" t="s">
        <v>62</v>
      </c>
      <c r="E793" s="2" t="s">
        <v>21</v>
      </c>
      <c r="F793" s="2" t="s">
        <v>15</v>
      </c>
      <c r="G793" s="2" t="s">
        <v>376</v>
      </c>
      <c r="H793" s="2" t="s">
        <v>34</v>
      </c>
      <c r="I793" s="2" t="str">
        <f>IFERROR(__xludf.DUMMYFUNCTION("GOOGLETRANSLATE(C793,""fr"",""en"")"),"Loading...")</f>
        <v>Loading...</v>
      </c>
    </row>
    <row r="794" ht="15.75" customHeight="1">
      <c r="A794" s="2">
        <v>1.0</v>
      </c>
      <c r="B794" s="2" t="s">
        <v>2227</v>
      </c>
      <c r="C794" s="2" t="s">
        <v>2228</v>
      </c>
      <c r="D794" s="2" t="s">
        <v>250</v>
      </c>
      <c r="E794" s="2" t="s">
        <v>21</v>
      </c>
      <c r="F794" s="2" t="s">
        <v>15</v>
      </c>
      <c r="G794" s="2" t="s">
        <v>2229</v>
      </c>
      <c r="H794" s="2" t="s">
        <v>370</v>
      </c>
      <c r="I794" s="2" t="str">
        <f>IFERROR(__xludf.DUMMYFUNCTION("GOOGLETRANSLATE(C794,""fr"",""en"")"),"We were robbed in a rental car campsite provided by the Macif, in addition to the stolen equipment and the moral damage we are claimed a deductible of € 1,200!")</f>
        <v>We were robbed in a rental car campsite provided by the Macif, in addition to the stolen equipment and the moral damage we are claimed a deductible of € 1,200!</v>
      </c>
    </row>
    <row r="795" ht="15.75" customHeight="1">
      <c r="A795" s="2">
        <v>1.0</v>
      </c>
      <c r="B795" s="2" t="s">
        <v>2230</v>
      </c>
      <c r="C795" s="2" t="s">
        <v>2231</v>
      </c>
      <c r="D795" s="2" t="s">
        <v>808</v>
      </c>
      <c r="E795" s="2" t="s">
        <v>76</v>
      </c>
      <c r="F795" s="2" t="s">
        <v>15</v>
      </c>
      <c r="G795" s="2" t="s">
        <v>2232</v>
      </c>
      <c r="H795" s="2" t="s">
        <v>106</v>
      </c>
      <c r="I795" s="2" t="str">
        <f>IFERROR(__xludf.DUMMYFUNCTION("GOOGLETRANSLATE(C795,""fr"",""en"")"),"Metlive refuses to reimburse me the sums of 1895.49 and 854.57 paid in 2010 for 1 year advanced title for the insurance of my mortgage. Withdrawals without contract or agreement. Abusive exclusion clauses.")</f>
        <v>Metlive refuses to reimburse me the sums of 1895.49 and 854.57 paid in 2010 for 1 year advanced title for the insurance of my mortgage. Withdrawals without contract or agreement. Abusive exclusion clauses.</v>
      </c>
    </row>
    <row r="796" ht="15.75" customHeight="1">
      <c r="A796" s="2">
        <v>3.0</v>
      </c>
      <c r="B796" s="2" t="s">
        <v>2233</v>
      </c>
      <c r="C796" s="2" t="s">
        <v>2234</v>
      </c>
      <c r="D796" s="2" t="s">
        <v>62</v>
      </c>
      <c r="E796" s="2" t="s">
        <v>21</v>
      </c>
      <c r="F796" s="2" t="s">
        <v>15</v>
      </c>
      <c r="G796" s="2" t="s">
        <v>834</v>
      </c>
      <c r="H796" s="2" t="s">
        <v>123</v>
      </c>
      <c r="I796" s="2" t="str">
        <f>IFERROR(__xludf.DUMMYFUNCTION("GOOGLETRANSLATE(C796,""fr"",""en"")"),"I am satisfied with the ease of subscriptions your insurance and the price of your insurance which is very attractive on the online insurance market")</f>
        <v>I am satisfied with the ease of subscriptions your insurance and the price of your insurance which is very attractive on the online insurance market</v>
      </c>
    </row>
    <row r="797" ht="15.75" customHeight="1">
      <c r="A797" s="2">
        <v>1.0</v>
      </c>
      <c r="B797" s="2" t="s">
        <v>2235</v>
      </c>
      <c r="C797" s="2" t="s">
        <v>2236</v>
      </c>
      <c r="D797" s="2" t="s">
        <v>183</v>
      </c>
      <c r="E797" s="2" t="s">
        <v>14</v>
      </c>
      <c r="F797" s="2" t="s">
        <v>15</v>
      </c>
      <c r="G797" s="2" t="s">
        <v>2237</v>
      </c>
      <c r="H797" s="2" t="s">
        <v>271</v>
      </c>
      <c r="I797" s="2" t="str">
        <f>IFERROR(__xludf.DUMMYFUNCTION("GOOGLETRANSLATE(C797,""fr"",""en"")"),"Still false canvassing, by the mutuali broker, always the same techniques used.
A presentation as an organization being supposedly mandated by the State, Néoliane calls on brokerage companies that do aggressive telephone can, trying to conclude the contr"&amp;"act by phone")</f>
        <v>Still false canvassing, by the mutuali broker, always the same techniques used.
A presentation as an organization being supposedly mandated by the State, Néoliane calls on brokerage companies that do aggressive telephone can, trying to conclude the contract by phone</v>
      </c>
    </row>
    <row r="798" ht="15.75" customHeight="1">
      <c r="A798" s="2">
        <v>1.0</v>
      </c>
      <c r="B798" s="2" t="s">
        <v>2238</v>
      </c>
      <c r="C798" s="2" t="s">
        <v>2239</v>
      </c>
      <c r="D798" s="2" t="s">
        <v>137</v>
      </c>
      <c r="E798" s="2" t="s">
        <v>129</v>
      </c>
      <c r="F798" s="2" t="s">
        <v>15</v>
      </c>
      <c r="G798" s="2" t="s">
        <v>2240</v>
      </c>
      <c r="H798" s="2" t="s">
        <v>815</v>
      </c>
      <c r="I798" s="2" t="str">
        <f>IFERROR(__xludf.DUMMYFUNCTION("GOOGLETRANSLATE(C798,""fr"",""en"")"),"No service - obtaining a response when you are a customer is an incessant struggle")</f>
        <v>No service - obtaining a response when you are a customer is an incessant struggle</v>
      </c>
    </row>
    <row r="799" ht="15.75" customHeight="1">
      <c r="A799" s="2">
        <v>2.0</v>
      </c>
      <c r="B799" s="2" t="s">
        <v>2241</v>
      </c>
      <c r="C799" s="2" t="s">
        <v>2242</v>
      </c>
      <c r="D799" s="2" t="s">
        <v>62</v>
      </c>
      <c r="E799" s="2" t="s">
        <v>21</v>
      </c>
      <c r="F799" s="2" t="s">
        <v>15</v>
      </c>
      <c r="G799" s="2" t="s">
        <v>2243</v>
      </c>
      <c r="H799" s="2" t="s">
        <v>544</v>
      </c>
      <c r="I799" s="2" t="str">
        <f>IFERROR(__xludf.DUMMYFUNCTION("GOOGLETRANSLATE(C799,""fr"",""en"")"),"Loading...")</f>
        <v>Loading...</v>
      </c>
    </row>
    <row r="800" ht="15.75" customHeight="1">
      <c r="A800" s="2">
        <v>3.0</v>
      </c>
      <c r="B800" s="2" t="s">
        <v>2244</v>
      </c>
      <c r="C800" s="2" t="s">
        <v>2245</v>
      </c>
      <c r="D800" s="2" t="s">
        <v>255</v>
      </c>
      <c r="E800" s="2" t="s">
        <v>90</v>
      </c>
      <c r="F800" s="2" t="s">
        <v>15</v>
      </c>
      <c r="G800" s="2" t="s">
        <v>2246</v>
      </c>
      <c r="H800" s="2" t="s">
        <v>838</v>
      </c>
      <c r="I800" s="2" t="str">
        <f>IFERROR(__xludf.DUMMYFUNCTION("GOOGLETRANSLATE(C800,""fr"",""en"")"),"I defined Allianz life insurance some years ago following a Heritage. I placed a Ceraine Somme. It turns out that AujoyRd Hui Hes Voudais withdraw 500 euros but I can't because I only have 4,400 euros on it")</f>
        <v>I defined Allianz life insurance some years ago following a Heritage. I placed a Ceraine Somme. It turns out that AujoyRd Hui Hes Voudais withdraw 500 euros but I can't because I only have 4,400 euros on it</v>
      </c>
    </row>
    <row r="801" ht="15.75" customHeight="1">
      <c r="A801" s="2">
        <v>5.0</v>
      </c>
      <c r="B801" s="2" t="s">
        <v>2247</v>
      </c>
      <c r="C801" s="2" t="s">
        <v>2248</v>
      </c>
      <c r="D801" s="2" t="s">
        <v>20</v>
      </c>
      <c r="E801" s="2" t="s">
        <v>21</v>
      </c>
      <c r="F801" s="2" t="s">
        <v>15</v>
      </c>
      <c r="G801" s="2" t="s">
        <v>434</v>
      </c>
      <c r="H801" s="2" t="s">
        <v>59</v>
      </c>
      <c r="I801" s="2" t="str">
        <f>IFERROR(__xludf.DUMMYFUNCTION("GOOGLETRANSLATE(C801,""fr"",""en"")"),"Excellent service and welcome
The advisers are at the top very competent and welcoming
prices and services are very good
I am very happy with the GMF")</f>
        <v>Excellent service and welcome
The advisers are at the top very competent and welcoming
prices and services are very good
I am very happy with the GMF</v>
      </c>
    </row>
    <row r="802" ht="15.75" customHeight="1">
      <c r="A802" s="2">
        <v>1.0</v>
      </c>
      <c r="B802" s="2" t="s">
        <v>2249</v>
      </c>
      <c r="C802" s="2" t="s">
        <v>2250</v>
      </c>
      <c r="D802" s="2" t="s">
        <v>210</v>
      </c>
      <c r="E802" s="2" t="s">
        <v>14</v>
      </c>
      <c r="F802" s="2" t="s">
        <v>15</v>
      </c>
      <c r="G802" s="2" t="s">
        <v>2251</v>
      </c>
      <c r="H802" s="2" t="s">
        <v>429</v>
      </c>
      <c r="I802" s="2" t="str">
        <f>IFERROR(__xludf.DUMMYFUNCTION("GOOGLETRANSLATE(C802,""fr"",""en"")"),"First it should be established that Santiane is not an insurer, but a parking firm. I had an excellent welcome on the phone, a very kind seller, leaving the
time to explain to me in detail a quote which seemed to be suitable. I could have let myself be s"&amp;"educed by the offer, but ... I am a suspicious naturalness and at the end of our conversation it was asked for my bank details ... for the quote ... I must To say that there I went backwards and asked to be recalled later! I also realized that this contra"&amp;"ct provided for an accident death insurance which I
does not need (duplicate). So to date I have refused the offer that has been made to me and will carry out my research alone without a comparator!")</f>
        <v>First it should be established that Santiane is not an insurer, but a parking firm. I had an excellent welcome on the phone, a very kind seller, leaving the
time to explain to me in detail a quote which seemed to be suitable. I could have let myself be seduced by the offer, but ... I am a suspicious naturalness and at the end of our conversation it was asked for my bank details ... for the quote ... I must To say that there I went backwards and asked to be recalled later! I also realized that this contract provided for an accident death insurance which I
does not need (duplicate). So to date I have refused the offer that has been made to me and will carry out my research alone without a comparator!</v>
      </c>
    </row>
    <row r="803" ht="15.75" customHeight="1">
      <c r="A803" s="2">
        <v>2.0</v>
      </c>
      <c r="B803" s="2" t="s">
        <v>2252</v>
      </c>
      <c r="C803" s="2" t="s">
        <v>2253</v>
      </c>
      <c r="D803" s="2" t="s">
        <v>137</v>
      </c>
      <c r="E803" s="2" t="s">
        <v>21</v>
      </c>
      <c r="F803" s="2" t="s">
        <v>15</v>
      </c>
      <c r="G803" s="2" t="s">
        <v>2254</v>
      </c>
      <c r="H803" s="2" t="s">
        <v>737</v>
      </c>
      <c r="I803" s="2" t="str">
        <f>IFERROR(__xludf.DUMMYFUNCTION("GOOGLETRANSLATE(C803,""fr"",""en"")"),"Loading...")</f>
        <v>Loading...</v>
      </c>
    </row>
    <row r="804" ht="15.75" customHeight="1">
      <c r="A804" s="2">
        <v>5.0</v>
      </c>
      <c r="B804" s="2" t="s">
        <v>2255</v>
      </c>
      <c r="C804" s="2" t="s">
        <v>2256</v>
      </c>
      <c r="D804" s="2" t="s">
        <v>62</v>
      </c>
      <c r="E804" s="2" t="s">
        <v>21</v>
      </c>
      <c r="F804" s="2" t="s">
        <v>15</v>
      </c>
      <c r="G804" s="2" t="s">
        <v>2257</v>
      </c>
      <c r="H804" s="2" t="s">
        <v>123</v>
      </c>
      <c r="I804" s="2" t="str">
        <f>IFERROR(__xludf.DUMMYFUNCTION("GOOGLETRANSLATE(C804,""fr"",""en"")"),"Competitive price simple information and site is friendly no surprise transparency of information good reputation of the insurance company")</f>
        <v>Competitive price simple information and site is friendly no surprise transparency of information good reputation of the insurance company</v>
      </c>
    </row>
    <row r="805" ht="15.75" customHeight="1">
      <c r="A805" s="2">
        <v>2.0</v>
      </c>
      <c r="B805" s="2" t="s">
        <v>2258</v>
      </c>
      <c r="C805" s="2" t="s">
        <v>2259</v>
      </c>
      <c r="D805" s="2" t="s">
        <v>2260</v>
      </c>
      <c r="E805" s="2" t="s">
        <v>129</v>
      </c>
      <c r="F805" s="2" t="s">
        <v>15</v>
      </c>
      <c r="G805" s="2" t="s">
        <v>1102</v>
      </c>
      <c r="H805" s="2" t="s">
        <v>59</v>
      </c>
      <c r="I805" s="2" t="str">
        <f>IFERROR(__xludf.DUMMYFUNCTION("GOOGLETRANSLATE(C805,""fr"",""en"")"),"Loading...")</f>
        <v>Loading...</v>
      </c>
    </row>
    <row r="806" ht="15.75" customHeight="1">
      <c r="A806" s="2">
        <v>4.0</v>
      </c>
      <c r="B806" s="2" t="s">
        <v>2261</v>
      </c>
      <c r="C806" s="2" t="s">
        <v>2262</v>
      </c>
      <c r="D806" s="2" t="s">
        <v>47</v>
      </c>
      <c r="E806" s="2" t="s">
        <v>21</v>
      </c>
      <c r="F806" s="2" t="s">
        <v>15</v>
      </c>
      <c r="G806" s="2" t="s">
        <v>2263</v>
      </c>
      <c r="H806" s="2" t="s">
        <v>252</v>
      </c>
      <c r="I806" s="2" t="str">
        <f>IFERROR(__xludf.DUMMYFUNCTION("GOOGLETRANSLATE(C806,""fr"",""en"")"),"Always available for the smallest details and very friendly information on the phone as at the reception once they made a mistake and we recognized immediately")</f>
        <v>Always available for the smallest details and very friendly information on the phone as at the reception once they made a mistake and we recognized immediately</v>
      </c>
    </row>
    <row r="807" ht="15.75" customHeight="1">
      <c r="A807" s="2">
        <v>4.0</v>
      </c>
      <c r="B807" s="2" t="s">
        <v>2264</v>
      </c>
      <c r="C807" s="2" t="s">
        <v>2265</v>
      </c>
      <c r="D807" s="2" t="s">
        <v>269</v>
      </c>
      <c r="E807" s="2" t="s">
        <v>14</v>
      </c>
      <c r="F807" s="2" t="s">
        <v>15</v>
      </c>
      <c r="G807" s="2" t="s">
        <v>972</v>
      </c>
      <c r="H807" s="2" t="s">
        <v>123</v>
      </c>
      <c r="I807" s="2" t="str">
        <f>IFERROR(__xludf.DUMMYFUNCTION("GOOGLETRANSLATE(C807,""fr"",""en"")"),"I have always obtained a quality response.
The documents are provided in time.
Good listening quality and problem solving or explanation.")</f>
        <v>I have always obtained a quality response.
The documents are provided in time.
Good listening quality and problem solving or explanation.</v>
      </c>
    </row>
    <row r="808" ht="15.75" customHeight="1">
      <c r="A808" s="2">
        <v>4.0</v>
      </c>
      <c r="B808" s="2" t="s">
        <v>2266</v>
      </c>
      <c r="C808" s="2" t="s">
        <v>2267</v>
      </c>
      <c r="D808" s="2" t="s">
        <v>255</v>
      </c>
      <c r="E808" s="2" t="s">
        <v>129</v>
      </c>
      <c r="F808" s="2" t="s">
        <v>15</v>
      </c>
      <c r="G808" s="2" t="s">
        <v>2268</v>
      </c>
      <c r="H808" s="2" t="s">
        <v>1595</v>
      </c>
      <c r="I808" s="2" t="str">
        <f>IFERROR(__xludf.DUMMYFUNCTION("GOOGLETRANSLATE(C808,""fr"",""en"")"),"From my first apartment, I choose Allianz as a home insurer and I have never been disappointed.")</f>
        <v>From my first apartment, I choose Allianz as a home insurer and I have never been disappointed.</v>
      </c>
    </row>
    <row r="809" ht="15.75" customHeight="1">
      <c r="A809" s="2">
        <v>3.0</v>
      </c>
      <c r="B809" s="2" t="s">
        <v>2269</v>
      </c>
      <c r="C809" s="2" t="s">
        <v>2270</v>
      </c>
      <c r="D809" s="2" t="s">
        <v>42</v>
      </c>
      <c r="E809" s="2" t="s">
        <v>21</v>
      </c>
      <c r="F809" s="2" t="s">
        <v>15</v>
      </c>
      <c r="G809" s="2" t="s">
        <v>346</v>
      </c>
      <c r="H809" s="2" t="s">
        <v>123</v>
      </c>
      <c r="I809" s="2" t="str">
        <f>IFERROR(__xludf.DUMMYFUNCTION("GOOGLETRANSLATE(C809,""fr"",""en"")"),"The Olivier Insurance has reasonable prices and available and super nice customer service. I recommend..
The steps are fast and effective")</f>
        <v>The Olivier Insurance has reasonable prices and available and super nice customer service. I recommend..
The steps are fast and effective</v>
      </c>
    </row>
    <row r="810" ht="15.75" customHeight="1">
      <c r="A810" s="2">
        <v>2.0</v>
      </c>
      <c r="B810" s="2" t="s">
        <v>2271</v>
      </c>
      <c r="C810" s="2" t="s">
        <v>2272</v>
      </c>
      <c r="D810" s="2" t="s">
        <v>31</v>
      </c>
      <c r="E810" s="2" t="s">
        <v>32</v>
      </c>
      <c r="F810" s="2" t="s">
        <v>15</v>
      </c>
      <c r="G810" s="2" t="s">
        <v>2273</v>
      </c>
      <c r="H810" s="2" t="s">
        <v>409</v>
      </c>
      <c r="I810" s="2" t="str">
        <f>IFERROR(__xludf.DUMMYFUNCTION("GOOGLETRANSLATE(C810,""fr"",""en"")"),"It's been almost a year since I was assured for my Satelis scooter. I unfortunately had an accident (I am 0% wrong). So I bring my scooter in a garage so that it is appropriate. There are (according to the garage) just over 400 euros in damage. Insurance "&amp;"therefore sends an ""expert"" (BCA expertise for the most curious) in order to study the case. SURPRISE!!!! The guy leaves from the garage to say that there are only 250 euros supported ....
I am therefore currently rolling with a scooter whose fairing c"&amp;"an fall at any time. They only reimburse me (according to them the necessary), namely a rear view mirror, a scoop (Satelis K15), and a few small parts.
On the other hand to take you money, I think I have never seen faster than them.
So, for all that is "&amp;"sinister, go to see elsewhere you will have a thousand times better.")</f>
        <v>It's been almost a year since I was assured for my Satelis scooter. I unfortunately had an accident (I am 0% wrong). So I bring my scooter in a garage so that it is appropriate. There are (according to the garage) just over 400 euros in damage. Insurance therefore sends an "expert" (BCA expertise for the most curious) in order to study the case. SURPRISE!!!! The guy leaves from the garage to say that there are only 250 euros supported ....
I am therefore currently rolling with a scooter whose fairing can fall at any time. They only reimburse me (according to them the necessary), namely a rear view mirror, a scoop (Satelis K15), and a few small parts.
On the other hand to take you money, I think I have never seen faster than them.
So, for all that is sinister, go to see elsewhere you will have a thousand times better.</v>
      </c>
    </row>
    <row r="811" ht="15.75" customHeight="1">
      <c r="A811" s="2">
        <v>2.0</v>
      </c>
      <c r="B811" s="2" t="s">
        <v>2274</v>
      </c>
      <c r="C811" s="2" t="s">
        <v>2275</v>
      </c>
      <c r="D811" s="2" t="s">
        <v>42</v>
      </c>
      <c r="E811" s="2" t="s">
        <v>21</v>
      </c>
      <c r="F811" s="2" t="s">
        <v>15</v>
      </c>
      <c r="G811" s="2" t="s">
        <v>1421</v>
      </c>
      <c r="H811" s="2" t="s">
        <v>252</v>
      </c>
      <c r="I811" s="2" t="str">
        <f>IFERROR(__xludf.DUMMYFUNCTION("GOOGLETRANSLATE(C811,""fr"",""en"")"),"Loading...")</f>
        <v>Loading...</v>
      </c>
    </row>
    <row r="812" ht="15.75" customHeight="1">
      <c r="A812" s="2">
        <v>5.0</v>
      </c>
      <c r="B812" s="2" t="s">
        <v>2276</v>
      </c>
      <c r="C812" s="2" t="s">
        <v>2277</v>
      </c>
      <c r="D812" s="2" t="s">
        <v>31</v>
      </c>
      <c r="E812" s="2" t="s">
        <v>32</v>
      </c>
      <c r="F812" s="2" t="s">
        <v>15</v>
      </c>
      <c r="G812" s="2" t="s">
        <v>869</v>
      </c>
      <c r="H812" s="2" t="s">
        <v>34</v>
      </c>
      <c r="I812" s="2" t="str">
        <f>IFERROR(__xludf.DUMMYFUNCTION("GOOGLETRANSLATE(C812,""fr"",""en"")"),"Perfect for my very limited use with minimum guarantees
By hoping not to have to use them in the future like all insurance !!!")</f>
        <v>Perfect for my very limited use with minimum guarantees
By hoping not to have to use them in the future like all insurance !!!</v>
      </c>
    </row>
    <row r="813" ht="15.75" customHeight="1">
      <c r="A813" s="2">
        <v>4.0</v>
      </c>
      <c r="B813" s="2" t="s">
        <v>2278</v>
      </c>
      <c r="C813" s="2" t="s">
        <v>2279</v>
      </c>
      <c r="D813" s="2" t="s">
        <v>269</v>
      </c>
      <c r="E813" s="2" t="s">
        <v>14</v>
      </c>
      <c r="F813" s="2" t="s">
        <v>15</v>
      </c>
      <c r="G813" s="2" t="s">
        <v>2280</v>
      </c>
      <c r="H813" s="2" t="s">
        <v>50</v>
      </c>
      <c r="I813" s="2" t="str">
        <f>IFERROR(__xludf.DUMMYFUNCTION("GOOGLETRANSLATE(C813,""fr"",""en"")"),"Loading...")</f>
        <v>Loading...</v>
      </c>
    </row>
    <row r="814" ht="15.75" customHeight="1">
      <c r="A814" s="2">
        <v>1.0</v>
      </c>
      <c r="B814" s="2" t="s">
        <v>2281</v>
      </c>
      <c r="C814" s="2" t="s">
        <v>2282</v>
      </c>
      <c r="D814" s="2" t="s">
        <v>47</v>
      </c>
      <c r="E814" s="2" t="s">
        <v>48</v>
      </c>
      <c r="F814" s="2" t="s">
        <v>15</v>
      </c>
      <c r="G814" s="2" t="s">
        <v>691</v>
      </c>
      <c r="H814" s="2" t="s">
        <v>34</v>
      </c>
      <c r="I814" s="2" t="str">
        <f>IFERROR(__xludf.DUMMYFUNCTION("GOOGLETRANSLATE(C814,""fr"",""en"")"),"The worst insurance in the event of claims barely reimbursement of 50 percent of damage after 18 months of procedure accompanied by an independent expert without speaking of the contracts on the loss of operating AXA the greatest absent except in court wi"&amp;"th repetition of repetitions While they distribute more than 3.5 billion to the AXA shareholders an insurance which does not respect its contracts except in court especially which has absolutely nothing to do with the customer after 25 years of loyalty yo"&amp;"u are only a number to engorge more profit at detriment Uncompromising claims you just need to see legal proceedings against AXA with the 15,000 contracts subscribed")</f>
        <v>The worst insurance in the event of claims barely reimbursement of 50 percent of damage after 18 months of procedure accompanied by an independent expert without speaking of the contracts on the loss of operating AXA the greatest absent except in court with repetition of repetitions While they distribute more than 3.5 billion to the AXA shareholders an insurance which does not respect its contracts except in court especially which has absolutely nothing to do with the customer after 25 years of loyalty you are only a number to engorge more profit at detriment Uncompromising claims you just need to see legal proceedings against AXA with the 15,000 contracts subscribed</v>
      </c>
    </row>
    <row r="815" ht="15.75" customHeight="1">
      <c r="A815" s="2">
        <v>1.0</v>
      </c>
      <c r="B815" s="2" t="s">
        <v>2283</v>
      </c>
      <c r="C815" s="2" t="s">
        <v>2284</v>
      </c>
      <c r="D815" s="2" t="s">
        <v>99</v>
      </c>
      <c r="E815" s="2" t="s">
        <v>129</v>
      </c>
      <c r="F815" s="2" t="s">
        <v>15</v>
      </c>
      <c r="G815" s="2" t="s">
        <v>2285</v>
      </c>
      <c r="H815" s="2" t="s">
        <v>287</v>
      </c>
      <c r="I815" s="2" t="str">
        <f>IFERROR(__xludf.DUMMYFUNCTION("GOOGLETRANSLATE(C815,""fr"",""en"")"),"Loading...")</f>
        <v>Loading...</v>
      </c>
    </row>
    <row r="816" ht="15.75" customHeight="1">
      <c r="A816" s="2">
        <v>4.0</v>
      </c>
      <c r="B816" s="2" t="s">
        <v>2286</v>
      </c>
      <c r="C816" s="2" t="s">
        <v>2287</v>
      </c>
      <c r="D816" s="2" t="s">
        <v>42</v>
      </c>
      <c r="E816" s="2" t="s">
        <v>21</v>
      </c>
      <c r="F816" s="2" t="s">
        <v>15</v>
      </c>
      <c r="G816" s="2" t="s">
        <v>2288</v>
      </c>
      <c r="H816" s="2" t="s">
        <v>34</v>
      </c>
      <c r="I816" s="2" t="str">
        <f>IFERROR(__xludf.DUMMYFUNCTION("GOOGLETRANSLATE(C816,""fr"",""en"")"),"The prices are attractive, I cannot give a more global opinion on the additional services for the moment, the contract being too recent. But I intend to repatriate other vehicles to the olive tree.")</f>
        <v>The prices are attractive, I cannot give a more global opinion on the additional services for the moment, the contract being too recent. But I intend to repatriate other vehicles to the olive tree.</v>
      </c>
    </row>
    <row r="817" ht="15.75" customHeight="1">
      <c r="A817" s="2">
        <v>1.0</v>
      </c>
      <c r="B817" s="2" t="s">
        <v>2289</v>
      </c>
      <c r="C817" s="2" t="s">
        <v>2290</v>
      </c>
      <c r="D817" s="2" t="s">
        <v>330</v>
      </c>
      <c r="E817" s="2" t="s">
        <v>104</v>
      </c>
      <c r="F817" s="2" t="s">
        <v>15</v>
      </c>
      <c r="G817" s="2" t="s">
        <v>2291</v>
      </c>
      <c r="H817" s="2" t="s">
        <v>544</v>
      </c>
      <c r="I817" s="2" t="str">
        <f>IFERROR(__xludf.DUMMYFUNCTION("GOOGLETRANSLATE(C817,""fr"",""en"")"),"Loading...")</f>
        <v>Loading...</v>
      </c>
    </row>
    <row r="818" ht="15.75" customHeight="1">
      <c r="A818" s="2">
        <v>1.0</v>
      </c>
      <c r="B818" s="2" t="s">
        <v>2292</v>
      </c>
      <c r="C818" s="2" t="s">
        <v>2293</v>
      </c>
      <c r="D818" s="2" t="s">
        <v>269</v>
      </c>
      <c r="E818" s="2" t="s">
        <v>14</v>
      </c>
      <c r="F818" s="2" t="s">
        <v>15</v>
      </c>
      <c r="G818" s="2" t="s">
        <v>2294</v>
      </c>
      <c r="H818" s="2" t="s">
        <v>723</v>
      </c>
      <c r="I818" s="2" t="str">
        <f>IFERROR(__xludf.DUMMYFUNCTION("GOOGLETRANSLATE(C818,""fr"",""en"")"),"Very bad, unreachable neither by phone (""Remember later""), nor by email (no answer), nor by fax.
Mutual imposed by the company, after three weeks still no card, no internet codes, no communication possible")</f>
        <v>Very bad, unreachable neither by phone ("Remember later"), nor by email (no answer), nor by fax.
Mutual imposed by the company, after three weeks still no card, no internet codes, no communication possible</v>
      </c>
    </row>
    <row r="819" ht="15.75" customHeight="1">
      <c r="A819" s="2">
        <v>5.0</v>
      </c>
      <c r="B819" s="2" t="s">
        <v>2295</v>
      </c>
      <c r="C819" s="2" t="s">
        <v>2296</v>
      </c>
      <c r="D819" s="2" t="s">
        <v>210</v>
      </c>
      <c r="E819" s="2" t="s">
        <v>14</v>
      </c>
      <c r="F819" s="2" t="s">
        <v>15</v>
      </c>
      <c r="G819" s="2" t="s">
        <v>942</v>
      </c>
      <c r="H819" s="2" t="s">
        <v>64</v>
      </c>
      <c r="I819" s="2" t="str">
        <f>IFERROR(__xludf.DUMMYFUNCTION("GOOGLETRANSLATE(C819,""fr"",""en"")"),"Loading...")</f>
        <v>Loading...</v>
      </c>
    </row>
    <row r="820" ht="15.75" customHeight="1">
      <c r="A820" s="2">
        <v>4.0</v>
      </c>
      <c r="B820" s="2" t="s">
        <v>2297</v>
      </c>
      <c r="C820" s="2" t="s">
        <v>2298</v>
      </c>
      <c r="D820" s="2" t="s">
        <v>62</v>
      </c>
      <c r="E820" s="2" t="s">
        <v>21</v>
      </c>
      <c r="F820" s="2" t="s">
        <v>15</v>
      </c>
      <c r="G820" s="2" t="s">
        <v>2257</v>
      </c>
      <c r="H820" s="2" t="s">
        <v>123</v>
      </c>
      <c r="I820" s="2" t="str">
        <f>IFERROR(__xludf.DUMMYFUNCTION("GOOGLETRANSLATE(C820,""fr"",""en"")"),"I am satisfied with the service prices suit me a shame that vandalism is not optional. Thank you for the lllllllllllllllllllllllllllllllllllll")</f>
        <v>I am satisfied with the service prices suit me a shame that vandalism is not optional. Thank you for the lllllllllllllllllllllllllllllllllllll</v>
      </c>
    </row>
    <row r="821" ht="15.75" customHeight="1">
      <c r="A821" s="2">
        <v>5.0</v>
      </c>
      <c r="B821" s="2" t="s">
        <v>2299</v>
      </c>
      <c r="C821" s="2" t="s">
        <v>2300</v>
      </c>
      <c r="D821" s="2" t="s">
        <v>42</v>
      </c>
      <c r="E821" s="2" t="s">
        <v>21</v>
      </c>
      <c r="F821" s="2" t="s">
        <v>15</v>
      </c>
      <c r="G821" s="2" t="s">
        <v>657</v>
      </c>
      <c r="H821" s="2" t="s">
        <v>123</v>
      </c>
      <c r="I821" s="2" t="str">
        <f>IFERROR(__xludf.DUMMYFUNCTION("GOOGLETRANSLATE(C821,""fr"",""en"")"),"Loading...")</f>
        <v>Loading...</v>
      </c>
    </row>
    <row r="822" ht="15.75" customHeight="1">
      <c r="A822" s="2">
        <v>4.0</v>
      </c>
      <c r="B822" s="2" t="s">
        <v>2301</v>
      </c>
      <c r="C822" s="2" t="s">
        <v>2302</v>
      </c>
      <c r="D822" s="2" t="s">
        <v>62</v>
      </c>
      <c r="E822" s="2" t="s">
        <v>21</v>
      </c>
      <c r="F822" s="2" t="s">
        <v>15</v>
      </c>
      <c r="G822" s="2" t="s">
        <v>2303</v>
      </c>
      <c r="H822" s="2" t="s">
        <v>54</v>
      </c>
      <c r="I822" s="2" t="str">
        <f>IFERROR(__xludf.DUMMYFUNCTION("GOOGLETRANSLATE(C822,""fr"",""en"")"),"I follow very satisfied with my car insurance, price level this is correct and customer relationship level it is present I never had any problem with them")</f>
        <v>I follow very satisfied with my car insurance, price level this is correct and customer relationship level it is present I never had any problem with them</v>
      </c>
    </row>
    <row r="823" ht="15.75" customHeight="1">
      <c r="A823" s="2">
        <v>4.0</v>
      </c>
      <c r="B823" s="2" t="s">
        <v>2304</v>
      </c>
      <c r="C823" s="2" t="s">
        <v>2305</v>
      </c>
      <c r="D823" s="2" t="s">
        <v>42</v>
      </c>
      <c r="E823" s="2" t="s">
        <v>21</v>
      </c>
      <c r="F823" s="2" t="s">
        <v>15</v>
      </c>
      <c r="G823" s="2" t="s">
        <v>228</v>
      </c>
      <c r="H823" s="2" t="s">
        <v>123</v>
      </c>
      <c r="I823" s="2" t="str">
        <f>IFERROR(__xludf.DUMMYFUNCTION("GOOGLETRANSLATE(C823,""fr"",""en"")"),"Loading...")</f>
        <v>Loading...</v>
      </c>
    </row>
    <row r="824" ht="15.75" customHeight="1">
      <c r="A824" s="2">
        <v>4.0</v>
      </c>
      <c r="B824" s="2" t="s">
        <v>2306</v>
      </c>
      <c r="C824" s="2" t="s">
        <v>2307</v>
      </c>
      <c r="D824" s="2" t="s">
        <v>26</v>
      </c>
      <c r="E824" s="2" t="s">
        <v>21</v>
      </c>
      <c r="F824" s="2" t="s">
        <v>15</v>
      </c>
      <c r="G824" s="2" t="s">
        <v>1779</v>
      </c>
      <c r="H824" s="2" t="s">
        <v>252</v>
      </c>
      <c r="I824" s="2" t="str">
        <f>IFERROR(__xludf.DUMMYFUNCTION("GOOGLETRANSLATE(C824,""fr"",""en"")"),"The Limoges in Haute Vienne office, which I depend, is very welcoming. I was dealing with a very kind and competent gentleman.
I also had a very friendly and accommodating manager of Blois agency. accommodating
  ")</f>
        <v>The Limoges in Haute Vienne office, which I depend, is very welcoming. I was dealing with a very kind and competent gentleman.
I also had a very friendly and accommodating manager of Blois agency. accommodating
  </v>
      </c>
    </row>
    <row r="825" ht="15.75" customHeight="1">
      <c r="A825" s="2">
        <v>5.0</v>
      </c>
      <c r="B825" s="2" t="s">
        <v>2308</v>
      </c>
      <c r="C825" s="2" t="s">
        <v>2309</v>
      </c>
      <c r="D825" s="2" t="s">
        <v>62</v>
      </c>
      <c r="E825" s="2" t="s">
        <v>21</v>
      </c>
      <c r="F825" s="2" t="s">
        <v>15</v>
      </c>
      <c r="G825" s="2" t="s">
        <v>2310</v>
      </c>
      <c r="H825" s="2" t="s">
        <v>54</v>
      </c>
      <c r="I825" s="2" t="str">
        <f>IFERROR(__xludf.DUMMYFUNCTION("GOOGLETRANSLATE(C825,""fr"",""en"")"),"I cannot give an opinion concerning insurance in itself, because I have just subscribed, but, I am satisfied with the prices compared to the contract. I was already at Direct Insurance in the past for my car insurance and I had not been disappointed.")</f>
        <v>I cannot give an opinion concerning insurance in itself, because I have just subscribed, but, I am satisfied with the prices compared to the contract. I was already at Direct Insurance in the past for my car insurance and I had not been disappointed.</v>
      </c>
    </row>
    <row r="826" ht="15.75" customHeight="1">
      <c r="A826" s="2">
        <v>1.0</v>
      </c>
      <c r="B826" s="2" t="s">
        <v>2311</v>
      </c>
      <c r="C826" s="2" t="s">
        <v>2312</v>
      </c>
      <c r="D826" s="2" t="s">
        <v>1011</v>
      </c>
      <c r="E826" s="2" t="s">
        <v>457</v>
      </c>
      <c r="F826" s="2" t="s">
        <v>15</v>
      </c>
      <c r="G826" s="2" t="s">
        <v>2313</v>
      </c>
      <c r="H826" s="2" t="s">
        <v>106</v>
      </c>
      <c r="I826" s="2" t="str">
        <f>IFERROR(__xludf.DUMMYFUNCTION("GOOGLETRANSLATE(C826,""fr"",""en"")"),"Insurance to avoid at all costs. Problems on reimbursements, dear rates I absolutely do not recommend this insurance")</f>
        <v>Insurance to avoid at all costs. Problems on reimbursements, dear rates I absolutely do not recommend this insurance</v>
      </c>
    </row>
    <row r="827" ht="15.75" customHeight="1">
      <c r="A827" s="2">
        <v>1.0</v>
      </c>
      <c r="B827" s="2" t="s">
        <v>2314</v>
      </c>
      <c r="C827" s="2" t="s">
        <v>2315</v>
      </c>
      <c r="D827" s="2" t="s">
        <v>42</v>
      </c>
      <c r="E827" s="2" t="s">
        <v>21</v>
      </c>
      <c r="F827" s="2" t="s">
        <v>15</v>
      </c>
      <c r="G827" s="2" t="s">
        <v>2121</v>
      </c>
      <c r="H827" s="2" t="s">
        <v>72</v>
      </c>
      <c r="I827" s="2" t="str">
        <f>IFERROR(__xludf.DUMMYFUNCTION("GOOGLETRANSLATE(C827,""fr"",""en"")"),"Victim of their part for being false declaration, forced to settle the current year still despite the termination of the contract and to complete irradiated of all insurance, very badly saint. I think the competent authorities will be so impartial media i"&amp;"ncluded.")</f>
        <v>Victim of their part for being false declaration, forced to settle the current year still despite the termination of the contract and to complete irradiated of all insurance, very badly saint. I think the competent authorities will be so impartial media included.</v>
      </c>
    </row>
    <row r="828" ht="15.75" customHeight="1">
      <c r="A828" s="2">
        <v>3.0</v>
      </c>
      <c r="B828" s="2" t="s">
        <v>2316</v>
      </c>
      <c r="C828" s="2" t="s">
        <v>2317</v>
      </c>
      <c r="D828" s="2" t="s">
        <v>67</v>
      </c>
      <c r="E828" s="2" t="s">
        <v>32</v>
      </c>
      <c r="F828" s="2" t="s">
        <v>15</v>
      </c>
      <c r="G828" s="2" t="s">
        <v>486</v>
      </c>
      <c r="H828" s="2" t="s">
        <v>59</v>
      </c>
      <c r="I828" s="2" t="str">
        <f>IFERROR(__xludf.DUMMYFUNCTION("GOOGLETRANSLATE(C828,""fr"",""en"")"),"Fast and clear the prices are correct; I validate my request for subscription to your service. Simple and quick online management for demand")</f>
        <v>Fast and clear the prices are correct; I validate my request for subscription to your service. Simple and quick online management for demand</v>
      </c>
    </row>
    <row r="829" ht="15.75" customHeight="1">
      <c r="A829" s="2">
        <v>5.0</v>
      </c>
      <c r="B829" s="2" t="s">
        <v>2318</v>
      </c>
      <c r="C829" s="2" t="s">
        <v>2319</v>
      </c>
      <c r="D829" s="2" t="s">
        <v>62</v>
      </c>
      <c r="E829" s="2" t="s">
        <v>21</v>
      </c>
      <c r="F829" s="2" t="s">
        <v>15</v>
      </c>
      <c r="G829" s="2" t="s">
        <v>1833</v>
      </c>
      <c r="H829" s="2" t="s">
        <v>72</v>
      </c>
      <c r="I829" s="2" t="str">
        <f>IFERROR(__xludf.DUMMYFUNCTION("GOOGLETRANSLATE(C829,""fr"",""en"")"),"Loading...")</f>
        <v>Loading...</v>
      </c>
    </row>
    <row r="830" ht="15.75" customHeight="1">
      <c r="A830" s="2">
        <v>1.0</v>
      </c>
      <c r="B830" s="2" t="s">
        <v>2320</v>
      </c>
      <c r="C830" s="2" t="s">
        <v>2321</v>
      </c>
      <c r="D830" s="2" t="s">
        <v>81</v>
      </c>
      <c r="E830" s="2" t="s">
        <v>104</v>
      </c>
      <c r="F830" s="2" t="s">
        <v>15</v>
      </c>
      <c r="G830" s="2" t="s">
        <v>2322</v>
      </c>
      <c r="H830" s="2" t="s">
        <v>904</v>
      </c>
      <c r="I830" s="2" t="str">
        <f>IFERROR(__xludf.DUMMYFUNCTION("GOOGLETRANSLATE(C830,""fr"",""en"")"),"In October 2018 I asked for the liquidation of my contract, arriving at the retirement age on December 1. Being warned that the payments are done by quarters, I await quietly ... MI March I receive a liquidation request file ... So more than 4 months afte"&amp;"r my first request, file re -expressed the same day by post, the World not supporting digital documents ... To date no news and it's not for want to try to reach them! A first payment should have occurred on April 1 (it is not a fish) to date RAS!
So, if"&amp;" you want to choose a company that slows down a snail, does not respond to emails, gives evasive telephone answers, choose La Mondiale!
I think about it, they don't have a cycling team who will participate in the Tour de France? Will have to double the c"&amp;"apacity of the broom car if it is a reflection of its sponsor!")</f>
        <v>In October 2018 I asked for the liquidation of my contract, arriving at the retirement age on December 1. Being warned that the payments are done by quarters, I await quietly ... MI March I receive a liquidation request file ... So more than 4 months after my first request, file re -expressed the same day by post, the World not supporting digital documents ... To date no news and it's not for want to try to reach them! A first payment should have occurred on April 1 (it is not a fish) to date RAS!
So, if you want to choose a company that slows down a snail, does not respond to emails, gives evasive telephone answers, choose La Mondiale!
I think about it, they don't have a cycling team who will participate in the Tour de France? Will have to double the capacity of the broom car if it is a reflection of its sponsor!</v>
      </c>
    </row>
    <row r="831" ht="15.75" customHeight="1">
      <c r="A831" s="2">
        <v>1.0</v>
      </c>
      <c r="B831" s="2" t="s">
        <v>2323</v>
      </c>
      <c r="C831" s="2" t="s">
        <v>2324</v>
      </c>
      <c r="D831" s="2" t="s">
        <v>330</v>
      </c>
      <c r="E831" s="2" t="s">
        <v>90</v>
      </c>
      <c r="F831" s="2" t="s">
        <v>15</v>
      </c>
      <c r="G831" s="2" t="s">
        <v>2325</v>
      </c>
      <c r="H831" s="2" t="s">
        <v>92</v>
      </c>
      <c r="I831" s="2" t="str">
        <f>IFERROR(__xludf.DUMMYFUNCTION("GOOGLETRANSLATE(C831,""fr"",""en"")"),"Loading...")</f>
        <v>Loading...</v>
      </c>
    </row>
    <row r="832" ht="15.75" customHeight="1">
      <c r="A832" s="2">
        <v>5.0</v>
      </c>
      <c r="B832" s="2" t="s">
        <v>2326</v>
      </c>
      <c r="C832" s="2" t="s">
        <v>2327</v>
      </c>
      <c r="D832" s="2" t="s">
        <v>42</v>
      </c>
      <c r="E832" s="2" t="s">
        <v>21</v>
      </c>
      <c r="F832" s="2" t="s">
        <v>15</v>
      </c>
      <c r="G832" s="2" t="s">
        <v>2328</v>
      </c>
      <c r="H832" s="2" t="s">
        <v>838</v>
      </c>
      <c r="I832" s="2" t="str">
        <f>IFERROR(__xludf.DUMMYFUNCTION("GOOGLETRANSLATE(C832,""fr"",""en"")"),"For the moment everything is perfect I recommend without moderation,")</f>
        <v>For the moment everything is perfect I recommend without moderation,</v>
      </c>
    </row>
    <row r="833" ht="15.75" customHeight="1">
      <c r="A833" s="2">
        <v>5.0</v>
      </c>
      <c r="B833" s="2" t="s">
        <v>2329</v>
      </c>
      <c r="C833" s="2" t="s">
        <v>2330</v>
      </c>
      <c r="D833" s="2" t="s">
        <v>808</v>
      </c>
      <c r="E833" s="2" t="s">
        <v>76</v>
      </c>
      <c r="F833" s="2" t="s">
        <v>15</v>
      </c>
      <c r="G833" s="2" t="s">
        <v>2331</v>
      </c>
      <c r="H833" s="2" t="s">
        <v>1897</v>
      </c>
      <c r="I833" s="2" t="str">
        <f>IFERROR(__xludf.DUMMYFUNCTION("GOOGLETRANSLATE(C833,""fr"",""en"")"),"Loading...")</f>
        <v>Loading...</v>
      </c>
    </row>
    <row r="834" ht="15.75" customHeight="1">
      <c r="A834" s="2">
        <v>4.0</v>
      </c>
      <c r="B834" s="2" t="s">
        <v>2332</v>
      </c>
      <c r="C834" s="2" t="s">
        <v>2333</v>
      </c>
      <c r="D834" s="2" t="s">
        <v>62</v>
      </c>
      <c r="E834" s="2" t="s">
        <v>21</v>
      </c>
      <c r="F834" s="2" t="s">
        <v>15</v>
      </c>
      <c r="G834" s="2" t="s">
        <v>1933</v>
      </c>
      <c r="H834" s="2" t="s">
        <v>54</v>
      </c>
      <c r="I834" s="2" t="str">
        <f>IFERROR(__xludf.DUMMYFUNCTION("GOOGLETRANSLATE(C834,""fr"",""en"")"),"Efficiency speed professional advisor and sympathetic reasonable price
Very satisfied I recommend without hesitation for car insurance or other")</f>
        <v>Efficiency speed professional advisor and sympathetic reasonable price
Very satisfied I recommend without hesitation for car insurance or other</v>
      </c>
    </row>
    <row r="835" ht="15.75" customHeight="1">
      <c r="A835" s="2">
        <v>5.0</v>
      </c>
      <c r="B835" s="2" t="s">
        <v>2334</v>
      </c>
      <c r="C835" s="2" t="s">
        <v>2335</v>
      </c>
      <c r="D835" s="2" t="s">
        <v>42</v>
      </c>
      <c r="E835" s="2" t="s">
        <v>21</v>
      </c>
      <c r="F835" s="2" t="s">
        <v>15</v>
      </c>
      <c r="G835" s="2" t="s">
        <v>116</v>
      </c>
      <c r="H835" s="2" t="s">
        <v>54</v>
      </c>
      <c r="I835" s="2" t="str">
        <f>IFERROR(__xludf.DUMMYFUNCTION("GOOGLETRANSLATE(C835,""fr"",""en"")"),"Kilian was very effective and pleasant during contract management. He followed the requests sent on my ""complicated"" file (termination - creation - transfect etc ...).")</f>
        <v>Kilian was very effective and pleasant during contract management. He followed the requests sent on my "complicated" file (termination - creation - transfect etc ...).</v>
      </c>
    </row>
    <row r="836" ht="15.75" customHeight="1">
      <c r="A836" s="2">
        <v>1.0</v>
      </c>
      <c r="B836" s="2" t="s">
        <v>2336</v>
      </c>
      <c r="C836" s="2" t="s">
        <v>2337</v>
      </c>
      <c r="D836" s="2" t="s">
        <v>26</v>
      </c>
      <c r="E836" s="2" t="s">
        <v>21</v>
      </c>
      <c r="F836" s="2" t="s">
        <v>15</v>
      </c>
      <c r="G836" s="2" t="s">
        <v>2338</v>
      </c>
      <c r="H836" s="2" t="s">
        <v>276</v>
      </c>
      <c r="I836" s="2" t="str">
        <f>IFERROR(__xludf.DUMMYFUNCTION("GOOGLETRANSLATE(C836,""fr"",""en"")"),"Matmut does not take into account evidence provided by his own clients during an accident and prefers to endorse the lie of the opponent rather than conduct investigation and judge honestly. Blinds despite. Matmut is no longer confidence assurance, just a"&amp;"nd honest. We have just terminated 3 contracts.
")</f>
        <v>Matmut does not take into account evidence provided by his own clients during an accident and prefers to endorse the lie of the opponent rather than conduct investigation and judge honestly. Blinds despite. Matmut is no longer confidence assurance, just and honest. We have just terminated 3 contracts.
</v>
      </c>
    </row>
    <row r="837" ht="15.75" customHeight="1">
      <c r="A837" s="2">
        <v>1.0</v>
      </c>
      <c r="B837" s="2" t="s">
        <v>2339</v>
      </c>
      <c r="C837" s="2" t="s">
        <v>2340</v>
      </c>
      <c r="D837" s="2" t="s">
        <v>250</v>
      </c>
      <c r="E837" s="2" t="s">
        <v>104</v>
      </c>
      <c r="F837" s="2" t="s">
        <v>15</v>
      </c>
      <c r="G837" s="2" t="s">
        <v>2182</v>
      </c>
      <c r="H837" s="2" t="s">
        <v>287</v>
      </c>
      <c r="I837" s="2" t="str">
        <f>IFERROR(__xludf.DUMMYFUNCTION("GOOGLETRANSLATE(C837,""fr"",""en"")"),"Loading...")</f>
        <v>Loading...</v>
      </c>
    </row>
    <row r="838" ht="15.75" customHeight="1">
      <c r="A838" s="2">
        <v>1.0</v>
      </c>
      <c r="B838" s="2" t="s">
        <v>2341</v>
      </c>
      <c r="C838" s="2" t="s">
        <v>2342</v>
      </c>
      <c r="D838" s="2" t="s">
        <v>191</v>
      </c>
      <c r="E838" s="2" t="s">
        <v>104</v>
      </c>
      <c r="F838" s="2" t="s">
        <v>15</v>
      </c>
      <c r="G838" s="2" t="s">
        <v>2343</v>
      </c>
      <c r="H838" s="2" t="s">
        <v>716</v>
      </c>
      <c r="I838" s="2" t="str">
        <f>IFERROR(__xludf.DUMMYFUNCTION("GOOGLETRANSLATE(C838,""fr"",""en"")"),"The CNP lost 5 heirs files addressed on June 4, 2019. It was received but not recorded. Never seen ! Everything is done not to pay what is due to the heirs.")</f>
        <v>The CNP lost 5 heirs files addressed on June 4, 2019. It was received but not recorded. Never seen ! Everything is done not to pay what is due to the heirs.</v>
      </c>
    </row>
    <row r="839" ht="15.75" customHeight="1">
      <c r="A839" s="2">
        <v>1.0</v>
      </c>
      <c r="B839" s="2" t="s">
        <v>2344</v>
      </c>
      <c r="C839" s="2" t="s">
        <v>2345</v>
      </c>
      <c r="D839" s="2" t="s">
        <v>250</v>
      </c>
      <c r="E839" s="2" t="s">
        <v>21</v>
      </c>
      <c r="F839" s="2" t="s">
        <v>15</v>
      </c>
      <c r="G839" s="2" t="s">
        <v>2346</v>
      </c>
      <c r="H839" s="2" t="s">
        <v>608</v>
      </c>
      <c r="I839" s="2" t="str">
        <f>IFERROR(__xludf.DUMMYFUNCTION("GOOGLETRANSLATE(C839,""fr"",""en"")"),"Flight of my vehicle on 19 Dec 2017. found on January 5, 2018. We are on March 20 tjrs not compensating. We went through everything with the Macif. A private cabinet came home to ask questions about the flight of my vehicle. Because the Macif did not put "&amp;"in thief position. Ashamed")</f>
        <v>Flight of my vehicle on 19 Dec 2017. found on January 5, 2018. We are on March 20 tjrs not compensating. We went through everything with the Macif. A private cabinet came home to ask questions about the flight of my vehicle. Because the Macif did not put in thief position. Ashamed</v>
      </c>
    </row>
    <row r="840" ht="15.75" customHeight="1">
      <c r="A840" s="2">
        <v>4.0</v>
      </c>
      <c r="B840" s="2" t="s">
        <v>2347</v>
      </c>
      <c r="C840" s="2" t="s">
        <v>2348</v>
      </c>
      <c r="D840" s="2" t="s">
        <v>62</v>
      </c>
      <c r="E840" s="2" t="s">
        <v>21</v>
      </c>
      <c r="F840" s="2" t="s">
        <v>15</v>
      </c>
      <c r="G840" s="2" t="s">
        <v>147</v>
      </c>
      <c r="H840" s="2" t="s">
        <v>59</v>
      </c>
      <c r="I840" s="2" t="str">
        <f>IFERROR(__xludf.DUMMYFUNCTION("GOOGLETRANSLATE(C840,""fr"",""en"")"),"Very surprised by prices and guarantees.
I didn't find better!
I hope not to be disappointed as I was with my insurer preceding after 10 years of contract.")</f>
        <v>Very surprised by prices and guarantees.
I didn't find better!
I hope not to be disappointed as I was with my insurer preceding after 10 years of contract.</v>
      </c>
    </row>
    <row r="841" ht="15.75" customHeight="1">
      <c r="A841" s="2">
        <v>2.0</v>
      </c>
      <c r="B841" s="2" t="s">
        <v>2349</v>
      </c>
      <c r="C841" s="2" t="s">
        <v>2350</v>
      </c>
      <c r="D841" s="2" t="s">
        <v>99</v>
      </c>
      <c r="E841" s="2" t="s">
        <v>21</v>
      </c>
      <c r="F841" s="2" t="s">
        <v>15</v>
      </c>
      <c r="G841" s="2" t="s">
        <v>1820</v>
      </c>
      <c r="H841" s="2" t="s">
        <v>631</v>
      </c>
      <c r="I841" s="2" t="str">
        <f>IFERROR(__xludf.DUMMYFUNCTION("GOOGLETRANSLATE(C841,""fr"",""en"")"),"Loading...")</f>
        <v>Loading...</v>
      </c>
    </row>
    <row r="842" ht="15.75" customHeight="1">
      <c r="A842" s="2">
        <v>2.0</v>
      </c>
      <c r="B842" s="2" t="s">
        <v>2351</v>
      </c>
      <c r="C842" s="2" t="s">
        <v>2352</v>
      </c>
      <c r="D842" s="2" t="s">
        <v>137</v>
      </c>
      <c r="E842" s="2" t="s">
        <v>21</v>
      </c>
      <c r="F842" s="2" t="s">
        <v>15</v>
      </c>
      <c r="G842" s="2" t="s">
        <v>324</v>
      </c>
      <c r="H842" s="2" t="s">
        <v>72</v>
      </c>
      <c r="I842" s="2" t="str">
        <f>IFERROR(__xludf.DUMMYFUNCTION("GOOGLETRANSLATE(C842,""fr"",""en"")"),"Client since 1995,100 euros increase on my car insurance? without accidents the last years
After calls to the agency drop in price if I took home insurance !! forcing
So after 26 years I change as well as my family
")</f>
        <v>Client since 1995,100 euros increase on my car insurance? without accidents the last years
After calls to the agency drop in price if I took home insurance !! forcing
So after 26 years I change as well as my family
</v>
      </c>
    </row>
    <row r="843" ht="15.75" customHeight="1">
      <c r="A843" s="2">
        <v>2.0</v>
      </c>
      <c r="B843" s="2" t="s">
        <v>2353</v>
      </c>
      <c r="C843" s="2" t="s">
        <v>2354</v>
      </c>
      <c r="D843" s="2" t="s">
        <v>62</v>
      </c>
      <c r="E843" s="2" t="s">
        <v>21</v>
      </c>
      <c r="F843" s="2" t="s">
        <v>15</v>
      </c>
      <c r="G843" s="2" t="s">
        <v>539</v>
      </c>
      <c r="H843" s="2" t="s">
        <v>34</v>
      </c>
      <c r="I843" s="2" t="str">
        <f>IFERROR(__xludf.DUMMYFUNCTION("GOOGLETRANSLATE(C843,""fr"",""en"")"),"I am satisfied with a little expensive price for a vehicle from 1999, moreover not a way to have a provisional thumbnail quickly for the degree on the vehicle to be in rules")</f>
        <v>I am satisfied with a little expensive price for a vehicle from 1999, moreover not a way to have a provisional thumbnail quickly for the degree on the vehicle to be in rules</v>
      </c>
    </row>
    <row r="844" ht="15.75" customHeight="1">
      <c r="A844" s="2">
        <v>1.0</v>
      </c>
      <c r="B844" s="2" t="s">
        <v>2355</v>
      </c>
      <c r="C844" s="2" t="s">
        <v>2356</v>
      </c>
      <c r="D844" s="2" t="s">
        <v>926</v>
      </c>
      <c r="E844" s="2" t="s">
        <v>14</v>
      </c>
      <c r="F844" s="2" t="s">
        <v>15</v>
      </c>
      <c r="G844" s="2" t="s">
        <v>1028</v>
      </c>
      <c r="H844" s="2" t="s">
        <v>113</v>
      </c>
      <c r="I844" s="2" t="str">
        <f>IFERROR(__xludf.DUMMYFUNCTION("GOOGLETRANSLATE(C844,""fr"",""en"")"),"More than 7 months necessary to terminate a contract while the supporting documents were provided from the start ... then reimbursement error and again needed telephone contact by raising the tone to solve the problem. Incompetent agency staff.")</f>
        <v>More than 7 months necessary to terminate a contract while the supporting documents were provided from the start ... then reimbursement error and again needed telephone contact by raising the tone to solve the problem. Incompetent agency staff.</v>
      </c>
    </row>
    <row r="845" ht="15.75" customHeight="1">
      <c r="A845" s="2">
        <v>3.0</v>
      </c>
      <c r="B845" s="2" t="s">
        <v>2357</v>
      </c>
      <c r="C845" s="2" t="s">
        <v>2358</v>
      </c>
      <c r="D845" s="2" t="s">
        <v>62</v>
      </c>
      <c r="E845" s="2" t="s">
        <v>21</v>
      </c>
      <c r="F845" s="2" t="s">
        <v>15</v>
      </c>
      <c r="G845" s="2" t="s">
        <v>144</v>
      </c>
      <c r="H845" s="2" t="s">
        <v>44</v>
      </c>
      <c r="I845" s="2" t="str">
        <f>IFERROR(__xludf.DUMMYFUNCTION("GOOGLETRANSLATE(C845,""fr"",""en"")"),"A very decent price value price, to see for the quality of the services and the relationship according to the cases and need for questions or declaration of disaster")</f>
        <v>A very decent price value price, to see for the quality of the services and the relationship according to the cases and need for questions or declaration of disaster</v>
      </c>
    </row>
    <row r="846" ht="15.75" customHeight="1">
      <c r="A846" s="2">
        <v>5.0</v>
      </c>
      <c r="B846" s="2" t="s">
        <v>2359</v>
      </c>
      <c r="C846" s="2" t="s">
        <v>2360</v>
      </c>
      <c r="D846" s="2" t="s">
        <v>42</v>
      </c>
      <c r="E846" s="2" t="s">
        <v>21</v>
      </c>
      <c r="F846" s="2" t="s">
        <v>15</v>
      </c>
      <c r="G846" s="2" t="s">
        <v>2361</v>
      </c>
      <c r="H846" s="2" t="s">
        <v>34</v>
      </c>
      <c r="I846" s="2" t="str">
        <f>IFERROR(__xludf.DUMMYFUNCTION("GOOGLETRANSLATE(C846,""fr"",""en"")"),"I am really satisfied with the service. Very professional. All my questions have found an answer and I will recommend your establishment in the future.")</f>
        <v>I am really satisfied with the service. Very professional. All my questions have found an answer and I will recommend your establishment in the future.</v>
      </c>
    </row>
    <row r="847" ht="15.75" customHeight="1">
      <c r="A847" s="2">
        <v>2.0</v>
      </c>
      <c r="B847" s="2" t="s">
        <v>2362</v>
      </c>
      <c r="C847" s="2" t="s">
        <v>2363</v>
      </c>
      <c r="D847" s="2" t="s">
        <v>368</v>
      </c>
      <c r="E847" s="2" t="s">
        <v>21</v>
      </c>
      <c r="F847" s="2" t="s">
        <v>15</v>
      </c>
      <c r="G847" s="2" t="s">
        <v>475</v>
      </c>
      <c r="H847" s="2" t="s">
        <v>17</v>
      </c>
      <c r="I847" s="2" t="str">
        <f>IFERROR(__xludf.DUMMYFUNCTION("GOOGLETRANSLATE(C847,""fr"",""en"")"),"Loading...")</f>
        <v>Loading...</v>
      </c>
    </row>
    <row r="848" ht="15.75" customHeight="1">
      <c r="A848" s="2">
        <v>1.0</v>
      </c>
      <c r="B848" s="2" t="s">
        <v>2364</v>
      </c>
      <c r="C848" s="2" t="s">
        <v>2365</v>
      </c>
      <c r="D848" s="2" t="s">
        <v>42</v>
      </c>
      <c r="E848" s="2" t="s">
        <v>21</v>
      </c>
      <c r="F848" s="2" t="s">
        <v>15</v>
      </c>
      <c r="G848" s="2" t="s">
        <v>2201</v>
      </c>
      <c r="H848" s="2" t="s">
        <v>59</v>
      </c>
      <c r="I848" s="2" t="str">
        <f>IFERROR(__xludf.DUMMYFUNCTION("GOOGLETRANSLATE(C848,""fr"",""en"")"),"Insurance or you are caressed the first year to better appear, after a huge increase and it despite your 0.50 bonus for more than 10 years. 4 vehicles assured on the same contract; (No sinister) Increase in the premium the 2nd year of 25% on all my vehicl"&amp;"es .... So termination of 3 vehicles this year direction (GMF and clavel insurance) A vehicle is stayed with them after negotiation and return to the 1st year rate .........
Watch out for automatic direct debits after termination .... Olivier management "&amp;"system very bad insurance, provide the total amount of your insurance on your bank account, reimbursement at 30 days. The olive tree does not like that you quit them ...... Too bad for them they lose 800 euro on my part on this contract and even more next"&amp;" year because one last car is ensured ....... ...")</f>
        <v>Insurance or you are caressed the first year to better appear, after a huge increase and it despite your 0.50 bonus for more than 10 years. 4 vehicles assured on the same contract; (No sinister) Increase in the premium the 2nd year of 25% on all my vehicles .... So termination of 3 vehicles this year direction (GMF and clavel insurance) A vehicle is stayed with them after negotiation and return to the 1st year rate .........
Watch out for automatic direct debits after termination .... Olivier management system very bad insurance, provide the total amount of your insurance on your bank account, reimbursement at 30 days. The olive tree does not like that you quit them ...... Too bad for them they lose 800 euro on my part on this contract and even more next year because one last car is ensured ....... ...</v>
      </c>
    </row>
    <row r="849" ht="15.75" customHeight="1">
      <c r="A849" s="2">
        <v>4.0</v>
      </c>
      <c r="B849" s="2" t="s">
        <v>2366</v>
      </c>
      <c r="C849" s="2" t="s">
        <v>2367</v>
      </c>
      <c r="D849" s="2" t="s">
        <v>42</v>
      </c>
      <c r="E849" s="2" t="s">
        <v>21</v>
      </c>
      <c r="F849" s="2" t="s">
        <v>15</v>
      </c>
      <c r="G849" s="2" t="s">
        <v>1972</v>
      </c>
      <c r="H849" s="2" t="s">
        <v>72</v>
      </c>
      <c r="I849" s="2" t="str">
        <f>IFERROR(__xludf.DUMMYFUNCTION("GOOGLETRANSLATE(C849,""fr"",""en"")"),"I am satisfied with the service as a new client. It's quick and easy. Since I have not been insured for years, I find that the price of the ""new driver"" is still very expensive but it's the game!")</f>
        <v>I am satisfied with the service as a new client. It's quick and easy. Since I have not been insured for years, I find that the price of the "new driver" is still very expensive but it's the game!</v>
      </c>
    </row>
    <row r="850" ht="15.75" customHeight="1">
      <c r="A850" s="2">
        <v>1.0</v>
      </c>
      <c r="B850" s="2" t="s">
        <v>2368</v>
      </c>
      <c r="C850" s="2" t="s">
        <v>2369</v>
      </c>
      <c r="D850" s="2" t="s">
        <v>269</v>
      </c>
      <c r="E850" s="2" t="s">
        <v>14</v>
      </c>
      <c r="F850" s="2" t="s">
        <v>15</v>
      </c>
      <c r="G850" s="2" t="s">
        <v>2370</v>
      </c>
      <c r="H850" s="2" t="s">
        <v>59</v>
      </c>
      <c r="I850" s="2" t="str">
        <f>IFERROR(__xludf.DUMMYFUNCTION("GOOGLETRANSLATE(C850,""fr"",""en"")"),"Cher insurance which offers a hospital package but brokers do not explain to you what this package is that is independent of the other health contract. So I have just canceled my health contract by thinking that the hospital package would also be done and"&amp;" well not 3 months of direct debit. When I call to request the termination I am told that it is by telephonic appointment of course the appointment is not for immediately to finish the month well and that it can still take one more month. To flee this mut"&amp;"ual attention. Don't get you. The logic would like that if I terminate the health contract the hospital package will be terminated with logic. And moreover the hospitalization must be done for illness so if I am transporting urgently it does not work I pa"&amp;"y for nothing.
I do not recommend at all
I")</f>
        <v>Cher insurance which offers a hospital package but brokers do not explain to you what this package is that is independent of the other health contract. So I have just canceled my health contract by thinking that the hospital package would also be done and well not 3 months of direct debit. When I call to request the termination I am told that it is by telephonic appointment of course the appointment is not for immediately to finish the month well and that it can still take one more month. To flee this mutual attention. Don't get you. The logic would like that if I terminate the health contract the hospital package will be terminated with logic. And moreover the hospitalization must be done for illness so if I am transporting urgently it does not work I pay for nothing.
I do not recommend at all
I</v>
      </c>
    </row>
    <row r="851" ht="15.75" customHeight="1">
      <c r="A851" s="2">
        <v>4.0</v>
      </c>
      <c r="B851" s="2" t="s">
        <v>2371</v>
      </c>
      <c r="C851" s="2" t="s">
        <v>2372</v>
      </c>
      <c r="D851" s="2" t="s">
        <v>210</v>
      </c>
      <c r="E851" s="2" t="s">
        <v>14</v>
      </c>
      <c r="F851" s="2" t="s">
        <v>15</v>
      </c>
      <c r="G851" s="2" t="s">
        <v>903</v>
      </c>
      <c r="H851" s="2" t="s">
        <v>904</v>
      </c>
      <c r="I851" s="2" t="str">
        <f>IFERROR(__xludf.DUMMYFUNCTION("GOOGLETRANSLATE(C851,""fr"",""en"")"),"Very happy to have been able to terminate my contract quickly")</f>
        <v>Very happy to have been able to terminate my contract quickly</v>
      </c>
    </row>
    <row r="852" ht="15.75" customHeight="1">
      <c r="A852" s="2">
        <v>4.0</v>
      </c>
      <c r="B852" s="2" t="s">
        <v>2373</v>
      </c>
      <c r="C852" s="2" t="s">
        <v>2374</v>
      </c>
      <c r="D852" s="2" t="s">
        <v>42</v>
      </c>
      <c r="E852" s="2" t="s">
        <v>21</v>
      </c>
      <c r="F852" s="2" t="s">
        <v>15</v>
      </c>
      <c r="G852" s="2" t="s">
        <v>2375</v>
      </c>
      <c r="H852" s="2" t="s">
        <v>39</v>
      </c>
      <c r="I852" s="2" t="str">
        <f>IFERROR(__xludf.DUMMYFUNCTION("GOOGLETRANSLATE(C852,""fr"",""en"")"),"Simple and practical for the moment
Correct welcome and explanations
The price is correct compared to the services offered
It remains to be seen how this will pass things in case of problems")</f>
        <v>Simple and practical for the moment
Correct welcome and explanations
The price is correct compared to the services offered
It remains to be seen how this will pass things in case of problems</v>
      </c>
    </row>
    <row r="853" ht="15.75" customHeight="1">
      <c r="A853" s="2">
        <v>4.0</v>
      </c>
      <c r="B853" s="2" t="s">
        <v>2376</v>
      </c>
      <c r="C853" s="2" t="s">
        <v>2377</v>
      </c>
      <c r="D853" s="2" t="s">
        <v>31</v>
      </c>
      <c r="E853" s="2" t="s">
        <v>32</v>
      </c>
      <c r="F853" s="2" t="s">
        <v>15</v>
      </c>
      <c r="G853" s="2" t="s">
        <v>2378</v>
      </c>
      <c r="H853" s="2" t="s">
        <v>957</v>
      </c>
      <c r="I853" s="2" t="str">
        <f>IFERROR(__xludf.DUMMYFUNCTION("GOOGLETRANSLATE(C853,""fr"",""en"")"),"Loading...")</f>
        <v>Loading...</v>
      </c>
    </row>
    <row r="854" ht="15.75" customHeight="1">
      <c r="A854" s="2">
        <v>4.0</v>
      </c>
      <c r="B854" s="2" t="s">
        <v>2379</v>
      </c>
      <c r="C854" s="2" t="s">
        <v>2380</v>
      </c>
      <c r="D854" s="2" t="s">
        <v>418</v>
      </c>
      <c r="E854" s="2" t="s">
        <v>76</v>
      </c>
      <c r="F854" s="2" t="s">
        <v>15</v>
      </c>
      <c r="G854" s="2" t="s">
        <v>657</v>
      </c>
      <c r="H854" s="2" t="s">
        <v>123</v>
      </c>
      <c r="I854" s="2" t="str">
        <f>IFERROR(__xludf.DUMMYFUNCTION("GOOGLETRANSLATE(C854,""fr"",""en"")"),"Reactive, clear, efficient and attentive advisor
Good first exchange
To see on continuity (after the subscription phase)
Interesting price
")</f>
        <v>Reactive, clear, efficient and attentive advisor
Good first exchange
To see on continuity (after the subscription phase)
Interesting price
</v>
      </c>
    </row>
    <row r="855" ht="15.75" customHeight="1">
      <c r="A855" s="2">
        <v>1.0</v>
      </c>
      <c r="B855" s="2" t="s">
        <v>2381</v>
      </c>
      <c r="C855" s="2" t="s">
        <v>2382</v>
      </c>
      <c r="D855" s="2" t="s">
        <v>26</v>
      </c>
      <c r="E855" s="2" t="s">
        <v>129</v>
      </c>
      <c r="F855" s="2" t="s">
        <v>15</v>
      </c>
      <c r="G855" s="2" t="s">
        <v>2383</v>
      </c>
      <c r="H855" s="2" t="s">
        <v>515</v>
      </c>
      <c r="I855" s="2" t="str">
        <f>IFERROR(__xludf.DUMMYFUNCTION("GOOGLETRANSLATE(C855,""fr"",""en"")"),"Insurance 0 who throws his customers who have declared observations non -responsible because they do not assume their role as insurer. It should be prohibited to throw people especially when you are not responsible. When is a law?")</f>
        <v>Insurance 0 who throws his customers who have declared observations non -responsible because they do not assume their role as insurer. It should be prohibited to throw people especially when you are not responsible. When is a law?</v>
      </c>
    </row>
    <row r="856" ht="15.75" customHeight="1">
      <c r="A856" s="2">
        <v>5.0</v>
      </c>
      <c r="B856" s="2" t="s">
        <v>2384</v>
      </c>
      <c r="C856" s="2" t="s">
        <v>2385</v>
      </c>
      <c r="D856" s="2" t="s">
        <v>62</v>
      </c>
      <c r="E856" s="2" t="s">
        <v>21</v>
      </c>
      <c r="F856" s="2" t="s">
        <v>15</v>
      </c>
      <c r="G856" s="2" t="s">
        <v>2386</v>
      </c>
      <c r="H856" s="2" t="s">
        <v>34</v>
      </c>
      <c r="I856" s="2" t="str">
        <f>IFERROR(__xludf.DUMMYFUNCTION("GOOGLETRANSLATE(C856,""fr"",""en"")"),"I am satisfied with the speed of subscription, as well as the price of the offer, it was simple and effective. I highly recommend for home insurance.")</f>
        <v>I am satisfied with the speed of subscription, as well as the price of the offer, it was simple and effective. I highly recommend for home insurance.</v>
      </c>
    </row>
    <row r="857" ht="15.75" customHeight="1">
      <c r="A857" s="2">
        <v>2.0</v>
      </c>
      <c r="B857" s="2" t="s">
        <v>2387</v>
      </c>
      <c r="C857" s="2" t="s">
        <v>2388</v>
      </c>
      <c r="D857" s="2" t="s">
        <v>42</v>
      </c>
      <c r="E857" s="2" t="s">
        <v>21</v>
      </c>
      <c r="F857" s="2" t="s">
        <v>15</v>
      </c>
      <c r="G857" s="2" t="s">
        <v>2389</v>
      </c>
      <c r="H857" s="2" t="s">
        <v>83</v>
      </c>
      <c r="I857" s="2" t="str">
        <f>IFERROR(__xludf.DUMMYFUNCTION("GOOGLETRANSLATE(C857,""fr"",""en"")"),"price increase of 40%at the first deadline, without claim and with improvement in the bonus")</f>
        <v>price increase of 40%at the first deadline, without claim and with improvement in the bonus</v>
      </c>
    </row>
    <row r="858" ht="15.75" customHeight="1">
      <c r="A858" s="2">
        <v>2.0</v>
      </c>
      <c r="B858" s="2" t="s">
        <v>2390</v>
      </c>
      <c r="C858" s="2" t="s">
        <v>2391</v>
      </c>
      <c r="D858" s="2" t="s">
        <v>26</v>
      </c>
      <c r="E858" s="2" t="s">
        <v>21</v>
      </c>
      <c r="F858" s="2" t="s">
        <v>15</v>
      </c>
      <c r="G858" s="2" t="s">
        <v>2392</v>
      </c>
      <c r="H858" s="2" t="s">
        <v>28</v>
      </c>
      <c r="I858" s="2" t="str">
        <f>IFERROR(__xludf.DUMMYFUNCTION("GOOGLETRANSLATE(C858,""fr"",""en"")"),"Very disappointed with this insurance, my wife was registered with them, are also sustainable then me, 3 vehicles it's been 2 days I went to their home for changed vehicles I had a van and I had bought a RAGE ROVER 190 CV car And there they are squarely r"&amp;"efusing the vehicle by getting out of the excuses (sports car she said mdr) a car of 190 hp is a sports car? It is not even a sport version, each time I gave an answer they released another excuse in addition they know that I have never had any concern wi"&amp;"th them nothing on my statement of information here they put me The door I find myself without insurance but hey you have lost a customer and if it continues that you will lose a lot of customers I put this comment like that people who want to change vehi"&amp;"cles to a more powerful vehicle they know they are going Land their time with this insurance that easily puts your loyal customers to the door.")</f>
        <v>Very disappointed with this insurance, my wife was registered with them, are also sustainable then me, 3 vehicles it's been 2 days I went to their home for changed vehicles I had a van and I had bought a RAGE ROVER 190 CV car And there they are squarely refusing the vehicle by getting out of the excuses (sports car she said mdr) a car of 190 hp is a sports car? It is not even a sport version, each time I gave an answer they released another excuse in addition they know that I have never had any concern with them nothing on my statement of information here they put me The door I find myself without insurance but hey you have lost a customer and if it continues that you will lose a lot of customers I put this comment like that people who want to change vehicles to a more powerful vehicle they know they are going Land their time with this insurance that easily puts your loyal customers to the door.</v>
      </c>
    </row>
    <row r="859" ht="15.75" customHeight="1">
      <c r="A859" s="2">
        <v>4.0</v>
      </c>
      <c r="B859" s="2" t="s">
        <v>2393</v>
      </c>
      <c r="C859" s="2" t="s">
        <v>2394</v>
      </c>
      <c r="D859" s="2" t="s">
        <v>42</v>
      </c>
      <c r="E859" s="2" t="s">
        <v>21</v>
      </c>
      <c r="F859" s="2" t="s">
        <v>15</v>
      </c>
      <c r="G859" s="2" t="s">
        <v>2395</v>
      </c>
      <c r="H859" s="2" t="s">
        <v>39</v>
      </c>
      <c r="I859" s="2" t="str">
        <f>IFERROR(__xludf.DUMMYFUNCTION("GOOGLETRANSLATE(C859,""fr"",""en"")"),"I am satisfied with the service
The price that was offered to me is reasonable
The quality of the service nothing to report, he was attentive and knew how to answer my questions")</f>
        <v>I am satisfied with the service
The price that was offered to me is reasonable
The quality of the service nothing to report, he was attentive and knew how to answer my questions</v>
      </c>
    </row>
    <row r="860" ht="15.75" customHeight="1">
      <c r="A860" s="2">
        <v>4.0</v>
      </c>
      <c r="B860" s="2" t="s">
        <v>2396</v>
      </c>
      <c r="C860" s="2" t="s">
        <v>2397</v>
      </c>
      <c r="D860" s="2" t="s">
        <v>31</v>
      </c>
      <c r="E860" s="2" t="s">
        <v>32</v>
      </c>
      <c r="F860" s="2" t="s">
        <v>15</v>
      </c>
      <c r="G860" s="2" t="s">
        <v>731</v>
      </c>
      <c r="H860" s="2" t="s">
        <v>59</v>
      </c>
      <c r="I860" s="2" t="str">
        <f>IFERROR(__xludf.DUMMYFUNCTION("GOOGLETRANSLATE(C860,""fr"",""en"")"),"The cheapest price I have been able to have for motorcycle insurance all optimal risk, concerning satisfaction I would respond once I needed :)")</f>
        <v>The cheapest price I have been able to have for motorcycle insurance all optimal risk, concerning satisfaction I would respond once I needed :)</v>
      </c>
    </row>
    <row r="861" ht="15.75" customHeight="1">
      <c r="A861" s="2">
        <v>1.0</v>
      </c>
      <c r="B861" s="2" t="s">
        <v>2398</v>
      </c>
      <c r="C861" s="2" t="s">
        <v>2399</v>
      </c>
      <c r="D861" s="2" t="s">
        <v>368</v>
      </c>
      <c r="E861" s="2" t="s">
        <v>21</v>
      </c>
      <c r="F861" s="2" t="s">
        <v>15</v>
      </c>
      <c r="G861" s="2" t="s">
        <v>2400</v>
      </c>
      <c r="H861" s="2" t="s">
        <v>1595</v>
      </c>
      <c r="I861" s="2" t="str">
        <f>IFERROR(__xludf.DUMMYFUNCTION("GOOGLETRANSLATE(C861,""fr"",""en"")"),"Loading...")</f>
        <v>Loading...</v>
      </c>
    </row>
    <row r="862" ht="15.75" customHeight="1">
      <c r="A862" s="2">
        <v>5.0</v>
      </c>
      <c r="B862" s="2" t="s">
        <v>2401</v>
      </c>
      <c r="C862" s="2" t="s">
        <v>2402</v>
      </c>
      <c r="D862" s="2" t="s">
        <v>274</v>
      </c>
      <c r="E862" s="2" t="s">
        <v>14</v>
      </c>
      <c r="F862" s="2" t="s">
        <v>15</v>
      </c>
      <c r="G862" s="2" t="s">
        <v>2403</v>
      </c>
      <c r="H862" s="2" t="s">
        <v>276</v>
      </c>
      <c r="I862" s="2" t="str">
        <f>IFERROR(__xludf.DUMMYFUNCTION("GOOGLETRANSLATE(C862,""fr"",""en"")"),"Very good mutual, for 33 years for me and nothing to say.
Telephone information again this morning: fast, friendly and competent ...
Very satisfactory website.
I never had any problem with my mutual.")</f>
        <v>Very good mutual, for 33 years for me and nothing to say.
Telephone information again this morning: fast, friendly and competent ...
Very satisfactory website.
I never had any problem with my mutual.</v>
      </c>
    </row>
    <row r="863" ht="15.75" customHeight="1">
      <c r="A863" s="2">
        <v>4.0</v>
      </c>
      <c r="B863" s="2" t="s">
        <v>2404</v>
      </c>
      <c r="C863" s="2" t="s">
        <v>2405</v>
      </c>
      <c r="D863" s="2" t="s">
        <v>67</v>
      </c>
      <c r="E863" s="2" t="s">
        <v>32</v>
      </c>
      <c r="F863" s="2" t="s">
        <v>15</v>
      </c>
      <c r="G863" s="2" t="s">
        <v>1826</v>
      </c>
      <c r="H863" s="2" t="s">
        <v>72</v>
      </c>
      <c r="I863" s="2" t="str">
        <f>IFERROR(__xludf.DUMMYFUNCTION("GOOGLETRANSLATE(C863,""fr"",""en"")"),"Satisfied with my insurance which gives me a month for a month during the covid 19 and which will not increase this year so I think I stay at home for the moment")</f>
        <v>Satisfied with my insurance which gives me a month for a month during the covid 19 and which will not increase this year so I think I stay at home for the moment</v>
      </c>
    </row>
    <row r="864" ht="15.75" customHeight="1">
      <c r="A864" s="2">
        <v>3.0</v>
      </c>
      <c r="B864" s="2" t="s">
        <v>2406</v>
      </c>
      <c r="C864" s="2" t="s">
        <v>2407</v>
      </c>
      <c r="D864" s="2" t="s">
        <v>542</v>
      </c>
      <c r="E864" s="2" t="s">
        <v>104</v>
      </c>
      <c r="F864" s="2" t="s">
        <v>15</v>
      </c>
      <c r="G864" s="2" t="s">
        <v>2408</v>
      </c>
      <c r="H864" s="2" t="s">
        <v>141</v>
      </c>
      <c r="I864" s="2" t="str">
        <f>IFERROR(__xludf.DUMMYFUNCTION("GOOGLETRANSLATE(C864,""fr"",""en"")"),"Failure to comply with information delages concerning prices increases. I did an AR to terminate, and they claimed not to have received it. It was necessary to make a complaint to ""find"" my mail.")</f>
        <v>Failure to comply with information delages concerning prices increases. I did an AR to terminate, and they claimed not to have received it. It was necessary to make a complaint to "find" my mail.</v>
      </c>
    </row>
    <row r="865" ht="15.75" customHeight="1">
      <c r="A865" s="2">
        <v>3.0</v>
      </c>
      <c r="B865" s="2" t="s">
        <v>2409</v>
      </c>
      <c r="C865" s="2" t="s">
        <v>2410</v>
      </c>
      <c r="D865" s="2" t="s">
        <v>62</v>
      </c>
      <c r="E865" s="2" t="s">
        <v>21</v>
      </c>
      <c r="F865" s="2" t="s">
        <v>15</v>
      </c>
      <c r="G865" s="2" t="s">
        <v>650</v>
      </c>
      <c r="H865" s="2" t="s">
        <v>44</v>
      </c>
      <c r="I865" s="2" t="str">
        <f>IFERROR(__xludf.DUMMYFUNCTION("GOOGLETRANSLATE(C865,""fr"",""en"")"),"I am too satisfied with your offer, it was very fast and well informed. The service is wonderful, I did not find any difficulty, this very clear")</f>
        <v>I am too satisfied with your offer, it was very fast and well informed. The service is wonderful, I did not find any difficulty, this very clear</v>
      </c>
    </row>
    <row r="866" ht="15.75" customHeight="1">
      <c r="A866" s="2">
        <v>1.0</v>
      </c>
      <c r="B866" s="2" t="s">
        <v>2411</v>
      </c>
      <c r="C866" s="2" t="s">
        <v>2412</v>
      </c>
      <c r="D866" s="2" t="s">
        <v>62</v>
      </c>
      <c r="E866" s="2" t="s">
        <v>21</v>
      </c>
      <c r="F866" s="2" t="s">
        <v>15</v>
      </c>
      <c r="G866" s="2" t="s">
        <v>392</v>
      </c>
      <c r="H866" s="2" t="s">
        <v>72</v>
      </c>
      <c r="I866" s="2" t="str">
        <f>IFERROR(__xludf.DUMMYFUNCTION("GOOGLETRANSLATE(C866,""fr"",""en"")"),"I had a non -responsible accident in which I was injured.
They categorically refuse to offer me compensation when I suffered physical and above all psychological after -effects following this accident")</f>
        <v>I had a non -responsible accident in which I was injured.
They categorically refuse to offer me compensation when I suffered physical and above all psychological after -effects following this accident</v>
      </c>
    </row>
    <row r="867" ht="15.75" customHeight="1">
      <c r="A867" s="2">
        <v>1.0</v>
      </c>
      <c r="B867" s="2" t="s">
        <v>2413</v>
      </c>
      <c r="C867" s="2" t="s">
        <v>2414</v>
      </c>
      <c r="D867" s="2" t="s">
        <v>81</v>
      </c>
      <c r="E867" s="2" t="s">
        <v>14</v>
      </c>
      <c r="F867" s="2" t="s">
        <v>15</v>
      </c>
      <c r="G867" s="2" t="s">
        <v>2415</v>
      </c>
      <c r="H867" s="2" t="s">
        <v>44</v>
      </c>
      <c r="I867" s="2" t="str">
        <f>IFERROR(__xludf.DUMMYFUNCTION("GOOGLETRANSLATE(C867,""fr"",""en"")"),"Very bad mutual.
Catastrophic services.
They do not know how to answer the questions asked about the files.
I do not recommend this mutual.")</f>
        <v>Very bad mutual.
Catastrophic services.
They do not know how to answer the questions asked about the files.
I do not recommend this mutual.</v>
      </c>
    </row>
    <row r="868" ht="15.75" customHeight="1">
      <c r="A868" s="2">
        <v>1.0</v>
      </c>
      <c r="B868" s="2" t="s">
        <v>2416</v>
      </c>
      <c r="C868" s="2" t="s">
        <v>2417</v>
      </c>
      <c r="D868" s="2" t="s">
        <v>47</v>
      </c>
      <c r="E868" s="2" t="s">
        <v>32</v>
      </c>
      <c r="F868" s="2" t="s">
        <v>15</v>
      </c>
      <c r="G868" s="2" t="s">
        <v>824</v>
      </c>
      <c r="H868" s="2" t="s">
        <v>824</v>
      </c>
      <c r="I868" s="2" t="str">
        <f>IFERROR(__xludf.DUMMYFUNCTION("GOOGLETRANSLATE(C868,""fr"",""en"")"),"Null customer service. Never responds to the email and does not remind the message")</f>
        <v>Null customer service. Never responds to the email and does not remind the message</v>
      </c>
    </row>
    <row r="869" ht="15.75" customHeight="1">
      <c r="A869" s="2">
        <v>3.0</v>
      </c>
      <c r="B869" s="2" t="s">
        <v>2418</v>
      </c>
      <c r="C869" s="2" t="s">
        <v>2419</v>
      </c>
      <c r="D869" s="2" t="s">
        <v>42</v>
      </c>
      <c r="E869" s="2" t="s">
        <v>21</v>
      </c>
      <c r="F869" s="2" t="s">
        <v>15</v>
      </c>
      <c r="G869" s="2" t="s">
        <v>2288</v>
      </c>
      <c r="H869" s="2" t="s">
        <v>34</v>
      </c>
      <c r="I869" s="2" t="str">
        <f>IFERROR(__xludf.DUMMYFUNCTION("GOOGLETRANSLATE(C869,""fr"",""en"")"),"I cannot yet give an opinion, being new, I expect to see when I need your services if you will be professionalism or not.")</f>
        <v>I cannot yet give an opinion, being new, I expect to see when I need your services if you will be professionalism or not.</v>
      </c>
    </row>
    <row r="870" ht="15.75" customHeight="1">
      <c r="A870" s="2">
        <v>2.0</v>
      </c>
      <c r="B870" s="2" t="s">
        <v>2420</v>
      </c>
      <c r="C870" s="2" t="s">
        <v>2421</v>
      </c>
      <c r="D870" s="2" t="s">
        <v>57</v>
      </c>
      <c r="E870" s="2" t="s">
        <v>14</v>
      </c>
      <c r="F870" s="2" t="s">
        <v>15</v>
      </c>
      <c r="G870" s="2" t="s">
        <v>448</v>
      </c>
      <c r="H870" s="2" t="s">
        <v>59</v>
      </c>
      <c r="I870" s="2" t="str">
        <f>IFERROR(__xludf.DUMMYFUNCTION("GOOGLETRANSLATE(C870,""fr"",""en"")"),"A member since March 2020, it's been 1 month, that I am waiting for a change of glasses. He walks me as well as the optician who makes his job correctly to him
It was replied that there was a delay at most of 3 weeks, but where do we go, and the deadline"&amp;" is exceeded.
A note of dentist fee for 2 months still pending
These are only glasses, but if there is a more serious demand (hospitalization), it scares ??.
I am thinking of changing mutual insurance, in the coming months")</f>
        <v>A member since March 2020, it's been 1 month, that I am waiting for a change of glasses. He walks me as well as the optician who makes his job correctly to him
It was replied that there was a delay at most of 3 weeks, but where do we go, and the deadline is exceeded.
A note of dentist fee for 2 months still pending
These are only glasses, but if there is a more serious demand (hospitalization), it scares ??.
I am thinking of changing mutual insurance, in the coming months</v>
      </c>
    </row>
    <row r="871" ht="15.75" customHeight="1">
      <c r="A871" s="2">
        <v>5.0</v>
      </c>
      <c r="B871" s="2" t="s">
        <v>2422</v>
      </c>
      <c r="C871" s="2" t="s">
        <v>2423</v>
      </c>
      <c r="D871" s="2" t="s">
        <v>62</v>
      </c>
      <c r="E871" s="2" t="s">
        <v>21</v>
      </c>
      <c r="F871" s="2" t="s">
        <v>15</v>
      </c>
      <c r="G871" s="2" t="s">
        <v>1628</v>
      </c>
      <c r="H871" s="2" t="s">
        <v>54</v>
      </c>
      <c r="I871" s="2" t="str">
        <f>IFERROR(__xludf.DUMMYFUNCTION("GOOGLETRANSLATE(C871,""fr"",""en"")"),"Loading...")</f>
        <v>Loading...</v>
      </c>
    </row>
    <row r="872" ht="15.75" customHeight="1">
      <c r="A872" s="2">
        <v>2.0</v>
      </c>
      <c r="B872" s="2" t="s">
        <v>2424</v>
      </c>
      <c r="C872" s="2" t="s">
        <v>2425</v>
      </c>
      <c r="D872" s="2" t="s">
        <v>963</v>
      </c>
      <c r="E872" s="2" t="s">
        <v>129</v>
      </c>
      <c r="F872" s="2" t="s">
        <v>15</v>
      </c>
      <c r="G872" s="2" t="s">
        <v>2426</v>
      </c>
      <c r="H872" s="2" t="s">
        <v>193</v>
      </c>
      <c r="I872" s="2" t="str">
        <f>IFERROR(__xludf.DUMMYFUNCTION("GOOGLETRANSLATE(C872,""fr"",""en"")"),"I was terminated following water leaks due to a storm that removed part of a roof, it's incredible for insurance!
Secondary damage in a barn have not even been counted as a part whose ceiling is collapsed, the workshop has flooded electric machines which"&amp;" no longer works that I have not even declared.
I would not recommend this insurance.")</f>
        <v>I was terminated following water leaks due to a storm that removed part of a roof, it's incredible for insurance!
Secondary damage in a barn have not even been counted as a part whose ceiling is collapsed, the workshop has flooded electric machines which no longer works that I have not even declared.
I would not recommend this insurance.</v>
      </c>
    </row>
    <row r="873" ht="15.75" customHeight="1">
      <c r="A873" s="2">
        <v>5.0</v>
      </c>
      <c r="B873" s="2" t="s">
        <v>2427</v>
      </c>
      <c r="C873" s="2" t="s">
        <v>2428</v>
      </c>
      <c r="D873" s="2" t="s">
        <v>62</v>
      </c>
      <c r="E873" s="2" t="s">
        <v>21</v>
      </c>
      <c r="F873" s="2" t="s">
        <v>15</v>
      </c>
      <c r="G873" s="2" t="s">
        <v>834</v>
      </c>
      <c r="H873" s="2" t="s">
        <v>123</v>
      </c>
      <c r="I873" s="2" t="str">
        <f>IFERROR(__xludf.DUMMYFUNCTION("GOOGLETRANSLATE(C873,""fr"",""en"")"),"Very good and fast processing of my file
Everything is very clear
I hope that in the event of a claim the treatment will be as fluid
Thanks to Direct Assurance")</f>
        <v>Very good and fast processing of my file
Everything is very clear
I hope that in the event of a claim the treatment will be as fluid
Thanks to Direct Assurance</v>
      </c>
    </row>
    <row r="874" ht="15.75" customHeight="1">
      <c r="A874" s="2">
        <v>2.0</v>
      </c>
      <c r="B874" s="2" t="s">
        <v>2429</v>
      </c>
      <c r="C874" s="2" t="s">
        <v>2430</v>
      </c>
      <c r="D874" s="2" t="s">
        <v>67</v>
      </c>
      <c r="E874" s="2" t="s">
        <v>32</v>
      </c>
      <c r="F874" s="2" t="s">
        <v>15</v>
      </c>
      <c r="G874" s="2" t="s">
        <v>2431</v>
      </c>
      <c r="H874" s="2" t="s">
        <v>266</v>
      </c>
      <c r="I874" s="2" t="str">
        <f>IFERROR(__xludf.DUMMYFUNCTION("GOOGLETRANSLATE(C874,""fr"",""en"")"),"Insurance to run away absolutely, done all to flee his responsibilities, accepts changes his mind without having any reason, a procedure that drags in length, I am not taken back anymore !!!")</f>
        <v>Insurance to run away absolutely, done all to flee his responsibilities, accepts changes his mind without having any reason, a procedure that drags in length, I am not taken back anymore !!!</v>
      </c>
    </row>
    <row r="875" ht="15.75" customHeight="1">
      <c r="A875" s="2">
        <v>1.0</v>
      </c>
      <c r="B875" s="2" t="s">
        <v>2432</v>
      </c>
      <c r="C875" s="2" t="s">
        <v>2433</v>
      </c>
      <c r="D875" s="2" t="s">
        <v>62</v>
      </c>
      <c r="E875" s="2" t="s">
        <v>21</v>
      </c>
      <c r="F875" s="2" t="s">
        <v>15</v>
      </c>
      <c r="G875" s="2" t="s">
        <v>64</v>
      </c>
      <c r="H875" s="2" t="s">
        <v>64</v>
      </c>
      <c r="I875" s="2" t="str">
        <f>IFERROR(__xludf.DUMMYFUNCTION("GOOGLETRANSLATE(C875,""fr"",""en"")"),"Hello
I am not at all satisfied with the price of maturity 2021
I note an increase of 28% compared to the departure of this contract which does not justify my change of insurer
I plan to terminate if this price is not improved")</f>
        <v>Hello
I am not at all satisfied with the price of maturity 2021
I note an increase of 28% compared to the departure of this contract which does not justify my change of insurer
I plan to terminate if this price is not improved</v>
      </c>
    </row>
    <row r="876" ht="15.75" customHeight="1">
      <c r="A876" s="2">
        <v>1.0</v>
      </c>
      <c r="B876" s="2" t="s">
        <v>2434</v>
      </c>
      <c r="C876" s="2" t="s">
        <v>2435</v>
      </c>
      <c r="D876" s="2" t="s">
        <v>57</v>
      </c>
      <c r="E876" s="2" t="s">
        <v>14</v>
      </c>
      <c r="F876" s="2" t="s">
        <v>15</v>
      </c>
      <c r="G876" s="2" t="s">
        <v>2436</v>
      </c>
      <c r="H876" s="2" t="s">
        <v>252</v>
      </c>
      <c r="I876" s="2" t="str">
        <f>IFERROR(__xludf.DUMMYFUNCTION("GOOGLETRANSLATE(C876,""fr"",""en"")"),"You are unreachable by phone the person who subscribes to my contras hangs me on the nose,
No response by email. You have given unacceptable telephone number.
I have just received my mutual card with the written guarantee and those that I have subscribe"&amp;"d do not its same,
The mutual card is a simple copy photo that we have to fold in two even not plasticized.
lack of advice.
I will make my radiation, I find that really worrying.")</f>
        <v>You are unreachable by phone the person who subscribes to my contras hangs me on the nose,
No response by email. You have given unacceptable telephone number.
I have just received my mutual card with the written guarantee and those that I have subscribed do not its same,
The mutual card is a simple copy photo that we have to fold in two even not plasticized.
lack of advice.
I will make my radiation, I find that really worrying.</v>
      </c>
    </row>
    <row r="877" ht="15.75" customHeight="1">
      <c r="A877" s="2">
        <v>2.0</v>
      </c>
      <c r="B877" s="2" t="s">
        <v>2437</v>
      </c>
      <c r="C877" s="2" t="s">
        <v>2438</v>
      </c>
      <c r="D877" s="2" t="s">
        <v>196</v>
      </c>
      <c r="E877" s="2" t="s">
        <v>129</v>
      </c>
      <c r="F877" s="2" t="s">
        <v>15</v>
      </c>
      <c r="G877" s="2" t="s">
        <v>2439</v>
      </c>
      <c r="H877" s="2" t="s">
        <v>544</v>
      </c>
      <c r="I877" s="2" t="str">
        <f>IFERROR(__xludf.DUMMYFUNCTION("GOOGLETRANSLATE(C877,""fr"",""en"")"),"Loading...")</f>
        <v>Loading...</v>
      </c>
    </row>
    <row r="878" ht="15.75" customHeight="1">
      <c r="A878" s="2">
        <v>1.0</v>
      </c>
      <c r="B878" s="2" t="s">
        <v>2440</v>
      </c>
      <c r="C878" s="2" t="s">
        <v>2441</v>
      </c>
      <c r="D878" s="2" t="s">
        <v>62</v>
      </c>
      <c r="E878" s="2" t="s">
        <v>21</v>
      </c>
      <c r="F878" s="2" t="s">
        <v>15</v>
      </c>
      <c r="G878" s="2" t="s">
        <v>1079</v>
      </c>
      <c r="H878" s="2" t="s">
        <v>72</v>
      </c>
      <c r="I878" s="2" t="str">
        <f>IFERROR(__xludf.DUMMYFUNCTION("GOOGLETRANSLATE(C878,""fr"",""en"")"),"I am not happy at all of the prices and even less deductible. I phone to review my price level contract and I don't find a solution.")</f>
        <v>I am not happy at all of the prices and even less deductible. I phone to review my price level contract and I don't find a solution.</v>
      </c>
    </row>
    <row r="879" ht="15.75" customHeight="1">
      <c r="A879" s="2">
        <v>3.0</v>
      </c>
      <c r="B879" s="2" t="s">
        <v>2442</v>
      </c>
      <c r="C879" s="2" t="s">
        <v>2443</v>
      </c>
      <c r="D879" s="2" t="s">
        <v>20</v>
      </c>
      <c r="E879" s="2" t="s">
        <v>21</v>
      </c>
      <c r="F879" s="2" t="s">
        <v>15</v>
      </c>
      <c r="G879" s="2" t="s">
        <v>116</v>
      </c>
      <c r="H879" s="2" t="s">
        <v>54</v>
      </c>
      <c r="I879" s="2" t="str">
        <f>IFERROR(__xludf.DUMMYFUNCTION("GOOGLETRANSLATE(C879,""fr"",""en"")"),"Loading...")</f>
        <v>Loading...</v>
      </c>
    </row>
    <row r="880" ht="15.75" customHeight="1">
      <c r="A880" s="2">
        <v>4.0</v>
      </c>
      <c r="B880" s="2" t="s">
        <v>2444</v>
      </c>
      <c r="C880" s="2" t="s">
        <v>2445</v>
      </c>
      <c r="D880" s="2" t="s">
        <v>62</v>
      </c>
      <c r="E880" s="2" t="s">
        <v>21</v>
      </c>
      <c r="F880" s="2" t="s">
        <v>15</v>
      </c>
      <c r="G880" s="2" t="s">
        <v>68</v>
      </c>
      <c r="H880" s="2" t="s">
        <v>44</v>
      </c>
      <c r="I880" s="2" t="str">
        <f>IFERROR(__xludf.DUMMYFUNCTION("GOOGLETRANSLATE(C880,""fr"",""en"")"),"Hello
Nothing to say in terms of quality/price is very correct.
I had left Direct Insurance, I came back because they are disappointed elsewhere.
Cordially")</f>
        <v>Hello
Nothing to say in terms of quality/price is very correct.
I had left Direct Insurance, I came back because they are disappointed elsewhere.
Cordially</v>
      </c>
    </row>
    <row r="881" ht="15.75" customHeight="1">
      <c r="A881" s="2">
        <v>1.0</v>
      </c>
      <c r="B881" s="2" t="s">
        <v>2446</v>
      </c>
      <c r="C881" s="2" t="s">
        <v>2447</v>
      </c>
      <c r="D881" s="2" t="s">
        <v>20</v>
      </c>
      <c r="E881" s="2" t="s">
        <v>21</v>
      </c>
      <c r="F881" s="2" t="s">
        <v>15</v>
      </c>
      <c r="G881" s="2" t="s">
        <v>1749</v>
      </c>
      <c r="H881" s="2" t="s">
        <v>957</v>
      </c>
      <c r="I881" s="2" t="str">
        <f>IFERROR(__xludf.DUMMYFUNCTION("GOOGLETRANSLATE(C881,""fr"",""en"")"),"Loading...")</f>
        <v>Loading...</v>
      </c>
    </row>
    <row r="882" ht="15.75" customHeight="1">
      <c r="A882" s="2">
        <v>5.0</v>
      </c>
      <c r="B882" s="2" t="s">
        <v>2448</v>
      </c>
      <c r="C882" s="2" t="s">
        <v>2449</v>
      </c>
      <c r="D882" s="2" t="s">
        <v>42</v>
      </c>
      <c r="E882" s="2" t="s">
        <v>21</v>
      </c>
      <c r="F882" s="2" t="s">
        <v>15</v>
      </c>
      <c r="G882" s="2" t="s">
        <v>763</v>
      </c>
      <c r="H882" s="2" t="s">
        <v>64</v>
      </c>
      <c r="I882" s="2" t="str">
        <f>IFERROR(__xludf.DUMMYFUNCTION("GOOGLETRANSLATE(C882,""fr"",""en"")"),"I am very satisfied, the prices are perfect I recommend you to all my friends.
I am happy to have taken my car insurance at home.
")</f>
        <v>I am very satisfied, the prices are perfect I recommend you to all my friends.
I am happy to have taken my car insurance at home.
</v>
      </c>
    </row>
    <row r="883" ht="15.75" customHeight="1">
      <c r="A883" s="2">
        <v>5.0</v>
      </c>
      <c r="B883" s="2" t="s">
        <v>2450</v>
      </c>
      <c r="C883" s="2" t="s">
        <v>2451</v>
      </c>
      <c r="D883" s="2" t="s">
        <v>26</v>
      </c>
      <c r="E883" s="2" t="s">
        <v>21</v>
      </c>
      <c r="F883" s="2" t="s">
        <v>15</v>
      </c>
      <c r="G883" s="2" t="s">
        <v>2452</v>
      </c>
      <c r="H883" s="2" t="s">
        <v>83</v>
      </c>
      <c r="I883" s="2" t="str">
        <f>IFERROR(__xludf.DUMMYFUNCTION("GOOGLETRANSLATE(C883,""fr"",""en"")"),"Loading...")</f>
        <v>Loading...</v>
      </c>
    </row>
    <row r="884" ht="15.75" customHeight="1">
      <c r="A884" s="2">
        <v>1.0</v>
      </c>
      <c r="B884" s="2" t="s">
        <v>2453</v>
      </c>
      <c r="C884" s="2" t="s">
        <v>2454</v>
      </c>
      <c r="D884" s="2" t="s">
        <v>255</v>
      </c>
      <c r="E884" s="2" t="s">
        <v>2455</v>
      </c>
      <c r="F884" s="2" t="s">
        <v>15</v>
      </c>
      <c r="G884" s="2" t="s">
        <v>389</v>
      </c>
      <c r="H884" s="2" t="s">
        <v>50</v>
      </c>
      <c r="I884" s="2" t="str">
        <f>IFERROR(__xludf.DUMMYFUNCTION("GOOGLETRANSLATE(C884,""fr"",""en"")"),"Sinister that occurred and declared in February 2020, I still can't see it! Deplorable, disrespectful customer service, no professionalism. It’s an unprecedented nightmare and I’m not exaggerating. As I write this comment, I have been waiting for exactly "&amp;"46 min, after which they will hang up as usual! I am only in a hurry is to change insurance, I had insured everything at home, to date it only remains my business I just expect to be compensated and I change insurer!
Having already left a comment, the pe"&amp;"rson from Allianz who comes to answer ""send me your reference for Blablabla ..."" I tried to take contact with her, and it turns out to be also a hoax!
Advice runs away this insurance if you are lucky enough not to be there!")</f>
        <v>Sinister that occurred and declared in February 2020, I still can't see it! Deplorable, disrespectful customer service, no professionalism. It’s an unprecedented nightmare and I’m not exaggerating. As I write this comment, I have been waiting for exactly 46 min, after which they will hang up as usual! I am only in a hurry is to change insurance, I had insured everything at home, to date it only remains my business I just expect to be compensated and I change insurer!
Having already left a comment, the person from Allianz who comes to answer "send me your reference for Blablabla ..." I tried to take contact with her, and it turns out to be also a hoax!
Advice runs away this insurance if you are lucky enough not to be there!</v>
      </c>
    </row>
    <row r="885" ht="15.75" customHeight="1">
      <c r="A885" s="2">
        <v>4.0</v>
      </c>
      <c r="B885" s="2" t="s">
        <v>2456</v>
      </c>
      <c r="C885" s="2" t="s">
        <v>2457</v>
      </c>
      <c r="D885" s="2" t="s">
        <v>42</v>
      </c>
      <c r="E885" s="2" t="s">
        <v>21</v>
      </c>
      <c r="F885" s="2" t="s">
        <v>15</v>
      </c>
      <c r="G885" s="2" t="s">
        <v>2458</v>
      </c>
      <c r="H885" s="2" t="s">
        <v>34</v>
      </c>
      <c r="I885" s="2" t="str">
        <f>IFERROR(__xludf.DUMMYFUNCTION("GOOGLETRANSLATE(C885,""fr"",""en"")"),"Loading...")</f>
        <v>Loading...</v>
      </c>
    </row>
    <row r="886" ht="15.75" customHeight="1">
      <c r="A886" s="2">
        <v>1.0</v>
      </c>
      <c r="B886" s="2" t="s">
        <v>2459</v>
      </c>
      <c r="C886" s="2" t="s">
        <v>2460</v>
      </c>
      <c r="D886" s="2" t="s">
        <v>191</v>
      </c>
      <c r="E886" s="2" t="s">
        <v>104</v>
      </c>
      <c r="F886" s="2" t="s">
        <v>15</v>
      </c>
      <c r="G886" s="2" t="s">
        <v>64</v>
      </c>
      <c r="H886" s="2" t="s">
        <v>64</v>
      </c>
      <c r="I886" s="2" t="str">
        <f>IFERROR(__xludf.DUMMYFUNCTION("GOOGLETRANSLATE(C886,""fr"",""en"")"),"hello
I have been on sick leave since 11/14/2019
I use the CNP to make my credit insurance subscribe to BFM work
First request on March 10, 2020 (3 reminders in all) in order to obtain the file I received in August 2020, 5 months later.
File complet"&amp;"ed and returned in August with all the requested parts.
December 2020 Request for parts in +
Meeting not before 01/18/2021 at my doctor
Document returned on 01/19/2021 and to date
In short, I called on the UFC-Que-Choose association because it is unac"&amp;"ceptable !!!!!!!
")</f>
        <v>hello
I have been on sick leave since 11/14/2019
I use the CNP to make my credit insurance subscribe to BFM work
First request on March 10, 2020 (3 reminders in all) in order to obtain the file I received in August 2020, 5 months later.
File completed and returned in August with all the requested parts.
December 2020 Request for parts in +
Meeting not before 01/18/2021 at my doctor
Document returned on 01/19/2021 and to date
In short, I called on the UFC-Que-Choose association because it is unacceptable !!!!!!!
</v>
      </c>
    </row>
    <row r="887" ht="15.75" customHeight="1">
      <c r="A887" s="2">
        <v>5.0</v>
      </c>
      <c r="B887" s="2" t="s">
        <v>2461</v>
      </c>
      <c r="C887" s="2" t="s">
        <v>2462</v>
      </c>
      <c r="D887" s="2" t="s">
        <v>926</v>
      </c>
      <c r="E887" s="2" t="s">
        <v>14</v>
      </c>
      <c r="F887" s="2" t="s">
        <v>15</v>
      </c>
      <c r="G887" s="2" t="s">
        <v>2463</v>
      </c>
      <c r="H887" s="2" t="s">
        <v>370</v>
      </c>
      <c r="I887" s="2" t="str">
        <f>IFERROR(__xludf.DUMMYFUNCTION("GOOGLETRANSLATE(C887,""fr"",""en"")"),"Efficient mutual, not very expensive I had no charge on my glasses! in addition people are nice when they are asked for")</f>
        <v>Efficient mutual, not very expensive I had no charge on my glasses! in addition people are nice when they are asked for</v>
      </c>
    </row>
    <row r="888" ht="15.75" customHeight="1">
      <c r="A888" s="2">
        <v>1.0</v>
      </c>
      <c r="B888" s="2" t="s">
        <v>2464</v>
      </c>
      <c r="C888" s="2" t="s">
        <v>2465</v>
      </c>
      <c r="D888" s="2" t="s">
        <v>42</v>
      </c>
      <c r="E888" s="2" t="s">
        <v>21</v>
      </c>
      <c r="F888" s="2" t="s">
        <v>15</v>
      </c>
      <c r="G888" s="2" t="s">
        <v>453</v>
      </c>
      <c r="H888" s="2" t="s">
        <v>370</v>
      </c>
      <c r="I888" s="2" t="str">
        <f>IFERROR(__xludf.DUMMYFUNCTION("GOOGLETRANSLATE(C888,""fr"",""en"")"),"I am outraged that with so high prices, the quality of service is so poor .... I had 2 minimal claims (a scratch on the door against a plot in town + a flowerpot that fell from A terrace on my car, on the same side as the stripe), a few days apart, and I "&amp;"have to pay 1000 euros in franchise when I already pay almost 100 euros per month. This is the first time that I have a problem. The person who answered me on the phone, although polished (I have to admit), only repeated the same sentence without stopping"&amp;": ""1000 euros because 2 accidents therefore 2 franchises"". Couldn't they have made a gesture given that everything is grouped in the same place and that this is the first time that I have a problem in several years? No empathy, no humanity. What is the "&amp;"point of paying 100 euros per month if at the slightest problem I have to pay another 1000 euros? ... Suffice to say that I plan to leave this insurance as soon as possible and make my opinion around me known !!!!! Huge disappointment.")</f>
        <v>I am outraged that with so high prices, the quality of service is so poor .... I had 2 minimal claims (a scratch on the door against a plot in town + a flowerpot that fell from A terrace on my car, on the same side as the stripe), a few days apart, and I have to pay 1000 euros in franchise when I already pay almost 100 euros per month. This is the first time that I have a problem. The person who answered me on the phone, although polished (I have to admit), only repeated the same sentence without stopping: "1000 euros because 2 accidents therefore 2 franchises". Couldn't they have made a gesture given that everything is grouped in the same place and that this is the first time that I have a problem in several years? No empathy, no humanity. What is the point of paying 100 euros per month if at the slightest problem I have to pay another 1000 euros? ... Suffice to say that I plan to leave this insurance as soon as possible and make my opinion around me known !!!!! Huge disappointment.</v>
      </c>
    </row>
    <row r="889" ht="15.75" customHeight="1">
      <c r="A889" s="2">
        <v>5.0</v>
      </c>
      <c r="B889" s="2" t="s">
        <v>2466</v>
      </c>
      <c r="C889" s="2" t="s">
        <v>2467</v>
      </c>
      <c r="D889" s="2" t="s">
        <v>42</v>
      </c>
      <c r="E889" s="2" t="s">
        <v>21</v>
      </c>
      <c r="F889" s="2" t="s">
        <v>15</v>
      </c>
      <c r="G889" s="2" t="s">
        <v>54</v>
      </c>
      <c r="H889" s="2" t="s">
        <v>54</v>
      </c>
      <c r="I889" s="2" t="str">
        <f>IFERROR(__xludf.DUMMYFUNCTION("GOOGLETRANSLATE(C889,""fr"",""en"")"),"Simple, efficient, clear, fast. Perfect !
Contact by phone if necessary, sending documents via the platform. Signature of online documents. Advantageous prices")</f>
        <v>Simple, efficient, clear, fast. Perfect !
Contact by phone if necessary, sending documents via the platform. Signature of online documents. Advantageous prices</v>
      </c>
    </row>
    <row r="890" ht="15.75" customHeight="1">
      <c r="A890" s="2">
        <v>1.0</v>
      </c>
      <c r="B890" s="2" t="s">
        <v>2468</v>
      </c>
      <c r="C890" s="2" t="s">
        <v>2469</v>
      </c>
      <c r="D890" s="2" t="s">
        <v>2470</v>
      </c>
      <c r="E890" s="2" t="s">
        <v>76</v>
      </c>
      <c r="F890" s="2" t="s">
        <v>15</v>
      </c>
      <c r="G890" s="2" t="s">
        <v>2471</v>
      </c>
      <c r="H890" s="2" t="s">
        <v>569</v>
      </c>
      <c r="I890" s="2" t="str">
        <f>IFERROR(__xludf.DUMMYFUNCTION("GOOGLETRANSLATE(C890,""fr"",""en"")"),"Incompetent customer service. Incomplete file data despite several recovery. Price which constantly changes to finish at the double of the initial price. 6 months lost to run behind them. To avoid absolutely")</f>
        <v>Incompetent customer service. Incomplete file data despite several recovery. Price which constantly changes to finish at the double of the initial price. 6 months lost to run behind them. To avoid absolutely</v>
      </c>
    </row>
    <row r="891" ht="15.75" customHeight="1">
      <c r="A891" s="2">
        <v>2.0</v>
      </c>
      <c r="B891" s="2" t="s">
        <v>2472</v>
      </c>
      <c r="C891" s="2" t="s">
        <v>2473</v>
      </c>
      <c r="D891" s="2" t="s">
        <v>62</v>
      </c>
      <c r="E891" s="2" t="s">
        <v>21</v>
      </c>
      <c r="F891" s="2" t="s">
        <v>15</v>
      </c>
      <c r="G891" s="2" t="s">
        <v>2474</v>
      </c>
      <c r="H891" s="2" t="s">
        <v>34</v>
      </c>
      <c r="I891" s="2" t="str">
        <f>IFERROR(__xludf.DUMMYFUNCTION("GOOGLETRANSLATE(C891,""fr"",""en"")"),"I do not understand why the subscription increases / please explain to me. Regards thank you for reminding me of the number following the afternoon after 14 hours thank you")</f>
        <v>I do not understand why the subscription increases / please explain to me. Regards thank you for reminding me of the number following the afternoon after 14 hours thank you</v>
      </c>
    </row>
    <row r="892" ht="15.75" customHeight="1">
      <c r="A892" s="2">
        <v>3.0</v>
      </c>
      <c r="B892" s="2" t="s">
        <v>2475</v>
      </c>
      <c r="C892" s="2" t="s">
        <v>2476</v>
      </c>
      <c r="D892" s="2" t="s">
        <v>62</v>
      </c>
      <c r="E892" s="2" t="s">
        <v>21</v>
      </c>
      <c r="F892" s="2" t="s">
        <v>15</v>
      </c>
      <c r="G892" s="2" t="s">
        <v>1268</v>
      </c>
      <c r="H892" s="2" t="s">
        <v>154</v>
      </c>
      <c r="I892" s="2" t="str">
        <f>IFERROR(__xludf.DUMMYFUNCTION("GOOGLETRANSLATE(C892,""fr"",""en"")"),"I was satisfied with the price offered compared to the other insurers that I have already consulted. The proposed formula is suitable for my expectations and what I am looking for")</f>
        <v>I was satisfied with the price offered compared to the other insurers that I have already consulted. The proposed formula is suitable for my expectations and what I am looking for</v>
      </c>
    </row>
    <row r="893" ht="15.75" customHeight="1">
      <c r="A893" s="2">
        <v>5.0</v>
      </c>
      <c r="B893" s="2" t="s">
        <v>2477</v>
      </c>
      <c r="C893" s="2" t="s">
        <v>2478</v>
      </c>
      <c r="D893" s="2" t="s">
        <v>42</v>
      </c>
      <c r="E893" s="2" t="s">
        <v>21</v>
      </c>
      <c r="F893" s="2" t="s">
        <v>15</v>
      </c>
      <c r="G893" s="2" t="s">
        <v>1221</v>
      </c>
      <c r="H893" s="2" t="s">
        <v>34</v>
      </c>
      <c r="I893" s="2" t="str">
        <f>IFERROR(__xludf.DUMMYFUNCTION("GOOGLETRANSLATE(C893,""fr"",""en"")"),"Loading...")</f>
        <v>Loading...</v>
      </c>
    </row>
    <row r="894" ht="15.75" customHeight="1">
      <c r="A894" s="2">
        <v>2.0</v>
      </c>
      <c r="B894" s="2" t="s">
        <v>2479</v>
      </c>
      <c r="C894" s="2" t="s">
        <v>2480</v>
      </c>
      <c r="D894" s="2" t="s">
        <v>926</v>
      </c>
      <c r="E894" s="2" t="s">
        <v>14</v>
      </c>
      <c r="F894" s="2" t="s">
        <v>15</v>
      </c>
      <c r="G894" s="2" t="s">
        <v>2481</v>
      </c>
      <c r="H894" s="2" t="s">
        <v>479</v>
      </c>
      <c r="I894" s="2" t="str">
        <f>IFERROR(__xludf.DUMMYFUNCTION("GOOGLETRANSLATE(C894,""fr"",""en"")"),"Hello I look at the opinions because we force me to take this mutual and I find that their response is always the same go on Facebook because on this page there is no unhappy of Internet users a priori it loses papers and it does not reimburse everything "&amp;"etc . I'm afraid when I use it for refund")</f>
        <v>Hello I look at the opinions because we force me to take this mutual and I find that their response is always the same go on Facebook because on this page there is no unhappy of Internet users a priori it loses papers and it does not reimburse everything etc . I'm afraid when I use it for refund</v>
      </c>
    </row>
    <row r="895" ht="15.75" customHeight="1">
      <c r="A895" s="2">
        <v>1.0</v>
      </c>
      <c r="B895" s="2" t="s">
        <v>2482</v>
      </c>
      <c r="C895" s="2" t="s">
        <v>2483</v>
      </c>
      <c r="D895" s="2" t="s">
        <v>542</v>
      </c>
      <c r="E895" s="2" t="s">
        <v>90</v>
      </c>
      <c r="F895" s="2" t="s">
        <v>15</v>
      </c>
      <c r="G895" s="2" t="s">
        <v>1532</v>
      </c>
      <c r="H895" s="2" t="s">
        <v>612</v>
      </c>
      <c r="I895" s="2" t="str">
        <f>IFERROR(__xludf.DUMMYFUNCTION("GOOGLETRANSLATE(C895,""fr"",""en"")"),"Loading...")</f>
        <v>Loading...</v>
      </c>
    </row>
    <row r="896" ht="15.75" customHeight="1">
      <c r="A896" s="2">
        <v>1.0</v>
      </c>
      <c r="B896" s="2" t="s">
        <v>2484</v>
      </c>
      <c r="C896" s="2" t="s">
        <v>2485</v>
      </c>
      <c r="D896" s="2" t="s">
        <v>255</v>
      </c>
      <c r="E896" s="2" t="s">
        <v>129</v>
      </c>
      <c r="F896" s="2" t="s">
        <v>15</v>
      </c>
      <c r="G896" s="2" t="s">
        <v>1048</v>
      </c>
      <c r="H896" s="2" t="s">
        <v>54</v>
      </c>
      <c r="I896" s="2" t="str">
        <f>IFERROR(__xludf.DUMMYFUNCTION("GOOGLETRANSLATE(C896,""fr"",""en"")"),"No assistance following the fire of a neighboring building. No legal assistance to obtain compensation for the insurance of the neighboring building. A piece flooded by the water of the fire spears still not compensated after 5 years")</f>
        <v>No assistance following the fire of a neighboring building. No legal assistance to obtain compensation for the insurance of the neighboring building. A piece flooded by the water of the fire spears still not compensated after 5 years</v>
      </c>
    </row>
    <row r="897" ht="15.75" customHeight="1">
      <c r="A897" s="2">
        <v>2.0</v>
      </c>
      <c r="B897" s="2" t="s">
        <v>2486</v>
      </c>
      <c r="C897" s="2" t="s">
        <v>2487</v>
      </c>
      <c r="D897" s="2" t="s">
        <v>67</v>
      </c>
      <c r="E897" s="2" t="s">
        <v>32</v>
      </c>
      <c r="F897" s="2" t="s">
        <v>15</v>
      </c>
      <c r="G897" s="2" t="s">
        <v>2488</v>
      </c>
      <c r="H897" s="2" t="s">
        <v>271</v>
      </c>
      <c r="I897" s="2" t="str">
        <f>IFERROR(__xludf.DUMMYFUNCTION("GOOGLETRANSLATE(C897,""fr"",""en"")"),"Avoid urgently! File that has been lying down for 5 months more than unpleasant customer service.
Not reachable the W.E, no towing")</f>
        <v>Avoid urgently! File that has been lying down for 5 months more than unpleasant customer service.
Not reachable the W.E, no towing</v>
      </c>
    </row>
    <row r="898" ht="15.75" customHeight="1">
      <c r="A898" s="2">
        <v>5.0</v>
      </c>
      <c r="B898" s="2" t="s">
        <v>2489</v>
      </c>
      <c r="C898" s="2" t="s">
        <v>2490</v>
      </c>
      <c r="D898" s="2" t="s">
        <v>42</v>
      </c>
      <c r="E898" s="2" t="s">
        <v>21</v>
      </c>
      <c r="F898" s="2" t="s">
        <v>15</v>
      </c>
      <c r="G898" s="2" t="s">
        <v>2491</v>
      </c>
      <c r="H898" s="2" t="s">
        <v>266</v>
      </c>
      <c r="I898" s="2" t="str">
        <f>IFERROR(__xludf.DUMMYFUNCTION("GOOGLETRANSLATE(C898,""fr"",""en"")"),"Here I want to thank Damien, from the SELLs (sales) of the insurance company L 'Olivier Assurance, which for a car insurance contract was publicly evening, with a helpibility, kindness and extraordinary efficiency, , the instrument of a real miracle. I th"&amp;"ank him himself personally and his company, they won a customer, and perhaps others too ... Good day to you and thank you again.")</f>
        <v>Here I want to thank Damien, from the SELLs (sales) of the insurance company L 'Olivier Assurance, which for a car insurance contract was publicly evening, with a helpibility, kindness and extraordinary efficiency, , the instrument of a real miracle. I thank him himself personally and his company, they won a customer, and perhaps others too ... Good day to you and thank you again.</v>
      </c>
    </row>
    <row r="899" ht="15.75" customHeight="1">
      <c r="A899" s="2">
        <v>1.0</v>
      </c>
      <c r="B899" s="2" t="s">
        <v>2492</v>
      </c>
      <c r="C899" s="2" t="s">
        <v>2493</v>
      </c>
      <c r="D899" s="2" t="s">
        <v>159</v>
      </c>
      <c r="E899" s="2" t="s">
        <v>21</v>
      </c>
      <c r="F899" s="2" t="s">
        <v>15</v>
      </c>
      <c r="G899" s="2" t="s">
        <v>2494</v>
      </c>
      <c r="H899" s="2" t="s">
        <v>413</v>
      </c>
      <c r="I899" s="2" t="str">
        <f>IFERROR(__xludf.DUMMYFUNCTION("GOOGLETRANSLATE(C899,""fr"",""en"")"),"Loading...")</f>
        <v>Loading...</v>
      </c>
    </row>
    <row r="900" ht="15.75" customHeight="1">
      <c r="A900" s="2">
        <v>2.0</v>
      </c>
      <c r="B900" s="2" t="s">
        <v>2495</v>
      </c>
      <c r="C900" s="2" t="s">
        <v>2496</v>
      </c>
      <c r="D900" s="2" t="s">
        <v>42</v>
      </c>
      <c r="E900" s="2" t="s">
        <v>21</v>
      </c>
      <c r="F900" s="2" t="s">
        <v>15</v>
      </c>
      <c r="G900" s="2" t="s">
        <v>644</v>
      </c>
      <c r="H900" s="2" t="s">
        <v>39</v>
      </c>
      <c r="I900" s="2" t="str">
        <f>IFERROR(__xludf.DUMMYFUNCTION("GOOGLETRANSLATE(C900,""fr"",""en"")"),"I would have liked a little bit lower price ??. The service suits me the personal space is simple to use and you can easily send the documents directly via our personal space it is simple and practical.")</f>
        <v>I would have liked a little bit lower price ??. The service suits me the personal space is simple to use and you can easily send the documents directly via our personal space it is simple and practical.</v>
      </c>
    </row>
    <row r="901" ht="15.75" customHeight="1">
      <c r="A901" s="2">
        <v>4.0</v>
      </c>
      <c r="B901" s="2" t="s">
        <v>2497</v>
      </c>
      <c r="C901" s="2" t="s">
        <v>2498</v>
      </c>
      <c r="D901" s="2" t="s">
        <v>418</v>
      </c>
      <c r="E901" s="2" t="s">
        <v>76</v>
      </c>
      <c r="F901" s="2" t="s">
        <v>15</v>
      </c>
      <c r="G901" s="2" t="s">
        <v>2499</v>
      </c>
      <c r="H901" s="2" t="s">
        <v>44</v>
      </c>
      <c r="I901" s="2" t="str">
        <f>IFERROR(__xludf.DUMMYFUNCTION("GOOGLETRANSLATE(C901,""fr"",""en"")"),"I find the prices very attractive compared to the competition.
the exchange with the advisor went very well,
And the approach is very easy to use.")</f>
        <v>I find the prices very attractive compared to the competition.
the exchange with the advisor went very well,
And the approach is very easy to use.</v>
      </c>
    </row>
    <row r="902" ht="15.75" customHeight="1">
      <c r="A902" s="2">
        <v>2.0</v>
      </c>
      <c r="B902" s="2" t="s">
        <v>2500</v>
      </c>
      <c r="C902" s="2" t="s">
        <v>2501</v>
      </c>
      <c r="D902" s="2" t="s">
        <v>62</v>
      </c>
      <c r="E902" s="2" t="s">
        <v>21</v>
      </c>
      <c r="F902" s="2" t="s">
        <v>15</v>
      </c>
      <c r="G902" s="2" t="s">
        <v>2502</v>
      </c>
      <c r="H902" s="2" t="s">
        <v>631</v>
      </c>
      <c r="I902" s="2" t="str">
        <f>IFERROR(__xludf.DUMMYFUNCTION("GOOGLETRANSLATE(C902,""fr"",""en"")"),"customer service absent time too long
to avoid
cheap but the galley if there is a concern
customer service
too long sinister management .................................................. .................................................. ............."&amp;"..................................... .................................................. .................................................. ................")</f>
        <v>customer service absent time too long
to avoid
cheap but the galley if there is a concern
customer service
too long sinister management .................................................. .................................................. .................................................. .................................................. .................................................. ................</v>
      </c>
    </row>
    <row r="903" ht="15.75" customHeight="1">
      <c r="A903" s="2">
        <v>2.0</v>
      </c>
      <c r="B903" s="2" t="s">
        <v>2503</v>
      </c>
      <c r="C903" s="2" t="s">
        <v>2504</v>
      </c>
      <c r="D903" s="2" t="s">
        <v>37</v>
      </c>
      <c r="E903" s="2" t="s">
        <v>14</v>
      </c>
      <c r="F903" s="2" t="s">
        <v>15</v>
      </c>
      <c r="G903" s="2" t="s">
        <v>207</v>
      </c>
      <c r="H903" s="2" t="s">
        <v>106</v>
      </c>
      <c r="I903" s="2" t="str">
        <f>IFERROR(__xludf.DUMMYFUNCTION("GOOGLETRANSLATE(C903,""fr"",""en"")"),"Longgggggg very longgggggg. Very difficult to make the phone as possible to see impossible. After minutes of expectations you are asked to rehash later. By email .... lol. 15 days after I am waiting for an answer. And by dint of waiting for answers on my "&amp;"reimbursements and tt info useful I repel my operation. Soon I'm going to have our own professionalism operated next year. Go your way if you have the choice.")</f>
        <v>Longgggggg very longgggggg. Very difficult to make the phone as possible to see impossible. After minutes of expectations you are asked to rehash later. By email .... lol. 15 days after I am waiting for an answer. And by dint of waiting for answers on my reimbursements and tt info useful I repel my operation. Soon I'm going to have our own professionalism operated next year. Go your way if you have the choice.</v>
      </c>
    </row>
    <row r="904" ht="15.75" customHeight="1">
      <c r="A904" s="2">
        <v>5.0</v>
      </c>
      <c r="B904" s="2" t="s">
        <v>2505</v>
      </c>
      <c r="C904" s="2" t="s">
        <v>2506</v>
      </c>
      <c r="D904" s="2" t="s">
        <v>62</v>
      </c>
      <c r="E904" s="2" t="s">
        <v>21</v>
      </c>
      <c r="F904" s="2" t="s">
        <v>15</v>
      </c>
      <c r="G904" s="2" t="s">
        <v>169</v>
      </c>
      <c r="H904" s="2" t="s">
        <v>64</v>
      </c>
      <c r="I904" s="2" t="str">
        <f>IFERROR(__xludf.DUMMYFUNCTION("GOOGLETRANSLATE(C904,""fr"",""en"")"),"Everything seems perfectly correct to me
Excellent telephone reception
Fluidity
Good value for money
Nothing else to write at this moment
Cordially")</f>
        <v>Everything seems perfectly correct to me
Excellent telephone reception
Fluidity
Good value for money
Nothing else to write at this moment
Cordially</v>
      </c>
    </row>
    <row r="905" ht="15.75" customHeight="1">
      <c r="A905" s="2">
        <v>3.0</v>
      </c>
      <c r="B905" s="2" t="s">
        <v>2507</v>
      </c>
      <c r="C905" s="2" t="s">
        <v>2508</v>
      </c>
      <c r="D905" s="2" t="s">
        <v>62</v>
      </c>
      <c r="E905" s="2" t="s">
        <v>21</v>
      </c>
      <c r="F905" s="2" t="s">
        <v>15</v>
      </c>
      <c r="G905" s="2" t="s">
        <v>169</v>
      </c>
      <c r="H905" s="2" t="s">
        <v>64</v>
      </c>
      <c r="I905" s="2" t="str">
        <f>IFERROR(__xludf.DUMMYFUNCTION("GOOGLETRANSLATE(C905,""fr"",""en"")"),"Never needed to have recourse to insurance. No price drop but no significant increase.")</f>
        <v>Never needed to have recourse to insurance. No price drop but no significant increase.</v>
      </c>
    </row>
    <row r="906" ht="15.75" customHeight="1">
      <c r="A906" s="2">
        <v>1.0</v>
      </c>
      <c r="B906" s="2" t="s">
        <v>2509</v>
      </c>
      <c r="C906" s="2" t="s">
        <v>2510</v>
      </c>
      <c r="D906" s="2" t="s">
        <v>250</v>
      </c>
      <c r="E906" s="2" t="s">
        <v>104</v>
      </c>
      <c r="F906" s="2" t="s">
        <v>15</v>
      </c>
      <c r="G906" s="2" t="s">
        <v>2511</v>
      </c>
      <c r="H906" s="2" t="s">
        <v>737</v>
      </c>
      <c r="I906" s="2" t="str">
        <f>IFERROR(__xludf.DUMMYFUNCTION("GOOGLETRANSLATE(C906,""fr"",""en"")"),"Insured for over 30 years, all risks, a hanging a month ago with the head of the manager and complaint to the gendarmerie, had to settle the 420Euros franchise and for more news.")</f>
        <v>Insured for over 30 years, all risks, a hanging a month ago with the head of the manager and complaint to the gendarmerie, had to settle the 420Euros franchise and for more news.</v>
      </c>
    </row>
    <row r="907" ht="15.75" customHeight="1">
      <c r="A907" s="2">
        <v>3.0</v>
      </c>
      <c r="B907" s="2" t="s">
        <v>2512</v>
      </c>
      <c r="C907" s="2" t="s">
        <v>2513</v>
      </c>
      <c r="D907" s="2" t="s">
        <v>418</v>
      </c>
      <c r="E907" s="2" t="s">
        <v>76</v>
      </c>
      <c r="F907" s="2" t="s">
        <v>15</v>
      </c>
      <c r="G907" s="2" t="s">
        <v>712</v>
      </c>
      <c r="H907" s="2" t="s">
        <v>123</v>
      </c>
      <c r="I907" s="2" t="str">
        <f>IFERROR(__xludf.DUMMYFUNCTION("GOOGLETRANSLATE(C907,""fr"",""en"")"),"Loading...")</f>
        <v>Loading...</v>
      </c>
    </row>
    <row r="908" ht="15.75" customHeight="1">
      <c r="A908" s="2">
        <v>1.0</v>
      </c>
      <c r="B908" s="2" t="s">
        <v>2514</v>
      </c>
      <c r="C908" s="2" t="s">
        <v>2515</v>
      </c>
      <c r="D908" s="2" t="s">
        <v>81</v>
      </c>
      <c r="E908" s="2" t="s">
        <v>104</v>
      </c>
      <c r="F908" s="2" t="s">
        <v>15</v>
      </c>
      <c r="G908" s="2" t="s">
        <v>525</v>
      </c>
      <c r="H908" s="2" t="s">
        <v>59</v>
      </c>
      <c r="I908" s="2" t="str">
        <f>IFERROR(__xludf.DUMMYFUNCTION("GOOGLETRANSLATE(C908,""fr"",""en"")"),"Affiliate to temporary workers. Processing period for files for taking charge of work stoppages outside the unacceptable mission of a large company. Sending email on 05/10/2021 for supporting a work stoppage. No response regarding the good reception of th"&amp;"e docs. Telephone on 05/18/2021 to find out so good reception of the docs. It's OK. The reception agent tells me that they are processing the files of 19/02/2021 and recalling in mid July. Telephone this day 07/30/2021. The reception agent tells me that t"&amp;"hey are processing the files of 03/23/2021. So in 2 and a half months they process 1 month of file. In my case with a little hope, my file will be processed at the end of 2021 in early 2022 ... lamentable. Worse than the CPAM. This is to say. Provident to"&amp;" flee if you hope for quick management.")</f>
        <v>Affiliate to temporary workers. Processing period for files for taking charge of work stoppages outside the unacceptable mission of a large company. Sending email on 05/10/2021 for supporting a work stoppage. No response regarding the good reception of the docs. Telephone on 05/18/2021 to find out so good reception of the docs. It's OK. The reception agent tells me that they are processing the files of 19/02/2021 and recalling in mid July. Telephone this day 07/30/2021. The reception agent tells me that they are processing the files of 03/23/2021. So in 2 and a half months they process 1 month of file. In my case with a little hope, my file will be processed at the end of 2021 in early 2022 ... lamentable. Worse than the CPAM. This is to say. Provident to flee if you hope for quick management.</v>
      </c>
    </row>
    <row r="909" ht="15.75" customHeight="1">
      <c r="A909" s="2">
        <v>2.0</v>
      </c>
      <c r="B909" s="2" t="s">
        <v>2516</v>
      </c>
      <c r="C909" s="2" t="s">
        <v>2517</v>
      </c>
      <c r="D909" s="2" t="s">
        <v>42</v>
      </c>
      <c r="E909" s="2" t="s">
        <v>21</v>
      </c>
      <c r="F909" s="2" t="s">
        <v>15</v>
      </c>
      <c r="G909" s="2" t="s">
        <v>2378</v>
      </c>
      <c r="H909" s="2" t="s">
        <v>957</v>
      </c>
      <c r="I909" s="2" t="str">
        <f>IFERROR(__xludf.DUMMYFUNCTION("GOOGLETRANSLATE(C909,""fr"",""en"")"),"Loading...")</f>
        <v>Loading...</v>
      </c>
    </row>
    <row r="910" ht="15.75" customHeight="1">
      <c r="A910" s="2">
        <v>1.0</v>
      </c>
      <c r="B910" s="2" t="s">
        <v>2518</v>
      </c>
      <c r="C910" s="2" t="s">
        <v>2519</v>
      </c>
      <c r="D910" s="2" t="s">
        <v>62</v>
      </c>
      <c r="E910" s="2" t="s">
        <v>21</v>
      </c>
      <c r="F910" s="2" t="s">
        <v>15</v>
      </c>
      <c r="G910" s="2" t="s">
        <v>2520</v>
      </c>
      <c r="H910" s="2" t="s">
        <v>50</v>
      </c>
      <c r="I910" s="2" t="str">
        <f>IFERROR(__xludf.DUMMYFUNCTION("GOOGLETRANSLATE(C910,""fr"",""en"")"),"Cheaper price than competition, but after a year, an increase of 17.5% without any claim. While everyone announces an increase of 1 to 2%
")</f>
        <v>Cheaper price than competition, but after a year, an increase of 17.5% without any claim. While everyone announces an increase of 1 to 2%
</v>
      </c>
    </row>
    <row r="911" ht="15.75" customHeight="1">
      <c r="A911" s="2">
        <v>4.0</v>
      </c>
      <c r="B911" s="2" t="s">
        <v>2521</v>
      </c>
      <c r="C911" s="2" t="s">
        <v>2522</v>
      </c>
      <c r="D911" s="2" t="s">
        <v>42</v>
      </c>
      <c r="E911" s="2" t="s">
        <v>21</v>
      </c>
      <c r="F911" s="2" t="s">
        <v>15</v>
      </c>
      <c r="G911" s="2" t="s">
        <v>2523</v>
      </c>
      <c r="H911" s="2" t="s">
        <v>59</v>
      </c>
      <c r="I911" s="2" t="str">
        <f>IFERROR(__xludf.DUMMYFUNCTION("GOOGLETRANSLATE(C911,""fr"",""en"")"),"Loading...")</f>
        <v>Loading...</v>
      </c>
    </row>
    <row r="912" ht="15.75" customHeight="1">
      <c r="A912" s="2">
        <v>1.0</v>
      </c>
      <c r="B912" s="2" t="s">
        <v>2524</v>
      </c>
      <c r="C912" s="2" t="s">
        <v>2525</v>
      </c>
      <c r="D912" s="2" t="s">
        <v>67</v>
      </c>
      <c r="E912" s="2" t="s">
        <v>32</v>
      </c>
      <c r="F912" s="2" t="s">
        <v>15</v>
      </c>
      <c r="G912" s="2" t="s">
        <v>2111</v>
      </c>
      <c r="H912" s="2" t="s">
        <v>59</v>
      </c>
      <c r="I912" s="2" t="str">
        <f>IFERROR(__xludf.DUMMYFUNCTION("GOOGLETRANSLATE(C912,""fr"",""en"")"),"Do not take me because I have a listed disaster and a non -responsible with my car, it is completely ridiculous especially with a 1 battery coeficient and more than 6 years of license without any suspension or gap.")</f>
        <v>Do not take me because I have a listed disaster and a non -responsible with my car, it is completely ridiculous especially with a 1 battery coeficient and more than 6 years of license without any suspension or gap.</v>
      </c>
    </row>
    <row r="913" ht="15.75" customHeight="1">
      <c r="A913" s="2">
        <v>2.0</v>
      </c>
      <c r="B913" s="2" t="s">
        <v>2526</v>
      </c>
      <c r="C913" s="2" t="s">
        <v>2527</v>
      </c>
      <c r="D913" s="2" t="s">
        <v>67</v>
      </c>
      <c r="E913" s="2" t="s">
        <v>32</v>
      </c>
      <c r="F913" s="2" t="s">
        <v>15</v>
      </c>
      <c r="G913" s="2" t="s">
        <v>369</v>
      </c>
      <c r="H913" s="2" t="s">
        <v>370</v>
      </c>
      <c r="I913" s="2" t="str">
        <f>IFERROR(__xludf.DUMMYFUNCTION("GOOGLETRANSLATE(C913,""fr"",""en"")"),"Very quickly to make sure but then to pay any more nobody")</f>
        <v>Very quickly to make sure but then to pay any more nobody</v>
      </c>
    </row>
    <row r="914" ht="15.75" customHeight="1">
      <c r="A914" s="2">
        <v>1.0</v>
      </c>
      <c r="B914" s="2" t="s">
        <v>2528</v>
      </c>
      <c r="C914" s="2" t="s">
        <v>2529</v>
      </c>
      <c r="D914" s="2" t="s">
        <v>1243</v>
      </c>
      <c r="E914" s="2" t="s">
        <v>457</v>
      </c>
      <c r="F914" s="2" t="s">
        <v>15</v>
      </c>
      <c r="G914" s="2" t="s">
        <v>2530</v>
      </c>
      <c r="H914" s="2" t="s">
        <v>838</v>
      </c>
      <c r="I914" s="2" t="str">
        <f>IFERROR(__xludf.DUMMYFUNCTION("GOOGLETRANSLATE(C914,""fr"",""en"")"),"  To tell you who treats your request in a brief delai .. sinister of March we arrive at July, always.")</f>
        <v>  To tell you who treats your request in a brief delai .. sinister of March we arrive at July, always.</v>
      </c>
    </row>
    <row r="915" ht="15.75" customHeight="1">
      <c r="A915" s="2">
        <v>1.0</v>
      </c>
      <c r="B915" s="2" t="s">
        <v>2531</v>
      </c>
      <c r="C915" s="2" t="s">
        <v>2532</v>
      </c>
      <c r="D915" s="2" t="s">
        <v>191</v>
      </c>
      <c r="E915" s="2" t="s">
        <v>104</v>
      </c>
      <c r="F915" s="2" t="s">
        <v>15</v>
      </c>
      <c r="G915" s="2" t="s">
        <v>1483</v>
      </c>
      <c r="H915" s="2" t="s">
        <v>185</v>
      </c>
      <c r="I915" s="2" t="str">
        <f>IFERROR(__xludf.DUMMYFUNCTION("GOOGLETRANSLATE(C915,""fr"",""en"")"),"Loading...")</f>
        <v>Loading...</v>
      </c>
    </row>
    <row r="916" ht="15.75" customHeight="1">
      <c r="A916" s="2">
        <v>2.0</v>
      </c>
      <c r="B916" s="2" t="s">
        <v>2533</v>
      </c>
      <c r="C916" s="2" t="s">
        <v>2534</v>
      </c>
      <c r="D916" s="2" t="s">
        <v>368</v>
      </c>
      <c r="E916" s="2" t="s">
        <v>21</v>
      </c>
      <c r="F916" s="2" t="s">
        <v>15</v>
      </c>
      <c r="G916" s="2" t="s">
        <v>2535</v>
      </c>
      <c r="H916" s="2" t="s">
        <v>737</v>
      </c>
      <c r="I916" s="2" t="str">
        <f>IFERROR(__xludf.DUMMYFUNCTION("GOOGLETRANSLATE(C916,""fr"",""en"")"),"Deplorable customer service, it is robots installed abroad that do not understand anything, but at 80c per minute it does not matter for them to waste our time. At the slightest concerns it becomes hell, it is impossible to be insured while I had to pay t"&amp;"he annual rate twice (we will reimburse you the case fees and the too perceived but you have to repay a new Blablabla quote). Ashamed")</f>
        <v>Deplorable customer service, it is robots installed abroad that do not understand anything, but at 80c per minute it does not matter for them to waste our time. At the slightest concerns it becomes hell, it is impossible to be insured while I had to pay the annual rate twice (we will reimburse you the case fees and the too perceived but you have to repay a new Blablabla quote). Ashamed</v>
      </c>
    </row>
    <row r="917" ht="15.75" customHeight="1">
      <c r="A917" s="2">
        <v>3.0</v>
      </c>
      <c r="B917" s="2" t="s">
        <v>2536</v>
      </c>
      <c r="C917" s="2" t="s">
        <v>2537</v>
      </c>
      <c r="D917" s="2" t="s">
        <v>542</v>
      </c>
      <c r="E917" s="2" t="s">
        <v>104</v>
      </c>
      <c r="F917" s="2" t="s">
        <v>15</v>
      </c>
      <c r="G917" s="2" t="s">
        <v>2538</v>
      </c>
      <c r="H917" s="2" t="s">
        <v>185</v>
      </c>
      <c r="I917" s="2" t="str">
        <f>IFERROR(__xludf.DUMMYFUNCTION("GOOGLETRANSLATE(C917,""fr"",""en"")"),"Here is that for 3 days impossible to terminate the contract; so I try to change my guarantees and no answer from him ... I call them to a paid number, of course, and not aware of my mail with acusse of reception , laughs at me, c on.")</f>
        <v>Here is that for 3 days impossible to terminate the contract; so I try to change my guarantees and no answer from him ... I call them to a paid number, of course, and not aware of my mail with acusse of reception , laughs at me, c on.</v>
      </c>
    </row>
    <row r="918" ht="15.75" customHeight="1">
      <c r="A918" s="2">
        <v>1.0</v>
      </c>
      <c r="B918" s="2" t="s">
        <v>2539</v>
      </c>
      <c r="C918" s="2" t="s">
        <v>2540</v>
      </c>
      <c r="D918" s="2" t="s">
        <v>37</v>
      </c>
      <c r="E918" s="2" t="s">
        <v>14</v>
      </c>
      <c r="F918" s="2" t="s">
        <v>15</v>
      </c>
      <c r="G918" s="2" t="s">
        <v>904</v>
      </c>
      <c r="H918" s="2" t="s">
        <v>904</v>
      </c>
      <c r="I918" s="2" t="str">
        <f>IFERROR(__xludf.DUMMYFUNCTION("GOOGLETRANSLATE(C918,""fr"",""en"")"),"At 160 euros per month I expected a minimum of descence.")</f>
        <v>At 160 euros per month I expected a minimum of descence.</v>
      </c>
    </row>
    <row r="919" ht="15.75" customHeight="1">
      <c r="A919" s="2">
        <v>1.0</v>
      </c>
      <c r="B919" s="2" t="s">
        <v>2541</v>
      </c>
      <c r="C919" s="2" t="s">
        <v>2542</v>
      </c>
      <c r="D919" s="2" t="s">
        <v>250</v>
      </c>
      <c r="E919" s="2" t="s">
        <v>21</v>
      </c>
      <c r="F919" s="2" t="s">
        <v>15</v>
      </c>
      <c r="G919" s="2" t="s">
        <v>2543</v>
      </c>
      <c r="H919" s="2" t="s">
        <v>479</v>
      </c>
      <c r="I919" s="2" t="str">
        <f>IFERROR(__xludf.DUMMYFUNCTION("GOOGLETRANSLATE(C919,""fr"",""en"")"),"Loading...")</f>
        <v>Loading...</v>
      </c>
    </row>
    <row r="920" ht="15.75" customHeight="1">
      <c r="A920" s="2">
        <v>5.0</v>
      </c>
      <c r="B920" s="2" t="s">
        <v>2544</v>
      </c>
      <c r="C920" s="2" t="s">
        <v>2545</v>
      </c>
      <c r="D920" s="2" t="s">
        <v>42</v>
      </c>
      <c r="E920" s="2" t="s">
        <v>21</v>
      </c>
      <c r="F920" s="2" t="s">
        <v>15</v>
      </c>
      <c r="G920" s="2" t="s">
        <v>279</v>
      </c>
      <c r="H920" s="2" t="s">
        <v>54</v>
      </c>
      <c r="I920" s="2" t="str">
        <f>IFERROR(__xludf.DUMMYFUNCTION("GOOGLETRANSLATE(C920,""fr"",""en"")"),"Very good service, Excellent value for money. Very friendly and professional comeria, he managed to answer all my questions and concerns. And even offered additional and very interesting and good price packs. Thank you.")</f>
        <v>Very good service, Excellent value for money. Very friendly and professional comeria, he managed to answer all my questions and concerns. And even offered additional and very interesting and good price packs. Thank you.</v>
      </c>
    </row>
    <row r="921" ht="15.75" customHeight="1">
      <c r="A921" s="2">
        <v>5.0</v>
      </c>
      <c r="B921" s="2" t="s">
        <v>2546</v>
      </c>
      <c r="C921" s="2" t="s">
        <v>2547</v>
      </c>
      <c r="D921" s="2" t="s">
        <v>62</v>
      </c>
      <c r="E921" s="2" t="s">
        <v>21</v>
      </c>
      <c r="F921" s="2" t="s">
        <v>15</v>
      </c>
      <c r="G921" s="2" t="s">
        <v>126</v>
      </c>
      <c r="H921" s="2" t="s">
        <v>44</v>
      </c>
      <c r="I921" s="2" t="str">
        <f>IFERROR(__xludf.DUMMYFUNCTION("GOOGLETRANSLATE(C921,""fr"",""en"")"),"I am satisfied with the prices
Ease of registration
So to date D provides two vehicles and soon a third will be added
A Direct Insurance")</f>
        <v>I am satisfied with the prices
Ease of registration
So to date D provides two vehicles and soon a third will be added
A Direct Insurance</v>
      </c>
    </row>
    <row r="922" ht="15.75" customHeight="1">
      <c r="A922" s="2">
        <v>3.0</v>
      </c>
      <c r="B922" s="2" t="s">
        <v>2548</v>
      </c>
      <c r="C922" s="2" t="s">
        <v>2549</v>
      </c>
      <c r="D922" s="2" t="s">
        <v>62</v>
      </c>
      <c r="E922" s="2" t="s">
        <v>21</v>
      </c>
      <c r="F922" s="2" t="s">
        <v>15</v>
      </c>
      <c r="G922" s="2" t="s">
        <v>147</v>
      </c>
      <c r="H922" s="2" t="s">
        <v>59</v>
      </c>
      <c r="I922" s="2" t="str">
        <f>IFERROR(__xludf.DUMMYFUNCTION("GOOGLETRANSLATE(C922,""fr"",""en"")"),"Paying 2 months in 1 time for a young person who begins in life can be a brakes, it's a big sum at once, especially with the pacts, I would have liked to be kept informed of this condition of the departure.")</f>
        <v>Paying 2 months in 1 time for a young person who begins in life can be a brakes, it's a big sum at once, especially with the pacts, I would have liked to be kept informed of this condition of the departure.</v>
      </c>
    </row>
    <row r="923" ht="15.75" customHeight="1">
      <c r="A923" s="2">
        <v>5.0</v>
      </c>
      <c r="B923" s="2" t="s">
        <v>2550</v>
      </c>
      <c r="C923" s="2" t="s">
        <v>2551</v>
      </c>
      <c r="D923" s="2" t="s">
        <v>62</v>
      </c>
      <c r="E923" s="2" t="s">
        <v>21</v>
      </c>
      <c r="F923" s="2" t="s">
        <v>15</v>
      </c>
      <c r="G923" s="2" t="s">
        <v>704</v>
      </c>
      <c r="H923" s="2" t="s">
        <v>34</v>
      </c>
      <c r="I923" s="2" t="str">
        <f>IFERROR(__xludf.DUMMYFUNCTION("GOOGLETRANSLATE(C923,""fr"",""en"")"),"Loading...")</f>
        <v>Loading...</v>
      </c>
    </row>
    <row r="924" ht="15.75" customHeight="1">
      <c r="A924" s="2">
        <v>5.0</v>
      </c>
      <c r="B924" s="2" t="s">
        <v>2552</v>
      </c>
      <c r="C924" s="2" t="s">
        <v>2553</v>
      </c>
      <c r="D924" s="2" t="s">
        <v>42</v>
      </c>
      <c r="E924" s="2" t="s">
        <v>21</v>
      </c>
      <c r="F924" s="2" t="s">
        <v>15</v>
      </c>
      <c r="G924" s="2" t="s">
        <v>43</v>
      </c>
      <c r="H924" s="2" t="s">
        <v>44</v>
      </c>
      <c r="I924" s="2" t="str">
        <f>IFERROR(__xludf.DUMMYFUNCTION("GOOGLETRANSLATE(C924,""fr"",""en"")"),"Super, very professional and above all very fast. Even takes the young drivers in charge with 115hp vehicles. It even makes me think about the future of my home insurance")</f>
        <v>Super, very professional and above all very fast. Even takes the young drivers in charge with 115hp vehicles. It even makes me think about the future of my home insurance</v>
      </c>
    </row>
    <row r="925" ht="15.75" customHeight="1">
      <c r="A925" s="2">
        <v>2.0</v>
      </c>
      <c r="B925" s="2" t="s">
        <v>2554</v>
      </c>
      <c r="C925" s="2" t="s">
        <v>2555</v>
      </c>
      <c r="D925" s="2" t="s">
        <v>47</v>
      </c>
      <c r="E925" s="2" t="s">
        <v>129</v>
      </c>
      <c r="F925" s="2" t="s">
        <v>15</v>
      </c>
      <c r="G925" s="2" t="s">
        <v>2556</v>
      </c>
      <c r="H925" s="2" t="s">
        <v>300</v>
      </c>
      <c r="I925" s="2" t="str">
        <f>IFERROR(__xludf.DUMMYFUNCTION("GOOGLETRANSLATE(C925,""fr"",""en"")"),"In a hassle with Axa since October 17, 2017 since the intervention of the firefighters at home to access the housing below by the window. Impossible to find a warranty to reimburse me the repair of my radiator and my prosecution. winter without heating fr"&amp;"ankly thank you and make me wait for 6 months to tell me sorry we can do anything hat")</f>
        <v>In a hassle with Axa since October 17, 2017 since the intervention of the firefighters at home to access the housing below by the window. Impossible to find a warranty to reimburse me the repair of my radiator and my prosecution. winter without heating frankly thank you and make me wait for 6 months to tell me sorry we can do anything hat</v>
      </c>
    </row>
    <row r="926" ht="15.75" customHeight="1">
      <c r="A926" s="2">
        <v>2.0</v>
      </c>
      <c r="B926" s="2" t="s">
        <v>2557</v>
      </c>
      <c r="C926" s="2" t="s">
        <v>2558</v>
      </c>
      <c r="D926" s="2" t="s">
        <v>191</v>
      </c>
      <c r="E926" s="2" t="s">
        <v>104</v>
      </c>
      <c r="F926" s="2" t="s">
        <v>15</v>
      </c>
      <c r="G926" s="2" t="s">
        <v>2559</v>
      </c>
      <c r="H926" s="2" t="s">
        <v>716</v>
      </c>
      <c r="I926" s="2" t="str">
        <f>IFERROR(__xludf.DUMMYFUNCTION("GOOGLETRANSLATE(C926,""fr"",""en"")"),"The CNP blocks the payment of capital, asking for documents in several times. This of course delays a complete file and the payment within 1 month.")</f>
        <v>The CNP blocks the payment of capital, asking for documents in several times. This of course delays a complete file and the payment within 1 month.</v>
      </c>
    </row>
    <row r="927" ht="15.75" customHeight="1">
      <c r="A927" s="2">
        <v>4.0</v>
      </c>
      <c r="B927" s="2" t="s">
        <v>2560</v>
      </c>
      <c r="C927" s="2" t="s">
        <v>2561</v>
      </c>
      <c r="D927" s="2" t="s">
        <v>62</v>
      </c>
      <c r="E927" s="2" t="s">
        <v>21</v>
      </c>
      <c r="F927" s="2" t="s">
        <v>15</v>
      </c>
      <c r="G927" s="2" t="s">
        <v>1102</v>
      </c>
      <c r="H927" s="2" t="s">
        <v>59</v>
      </c>
      <c r="I927" s="2" t="str">
        <f>IFERROR(__xludf.DUMMYFUNCTION("GOOGLETRANSLATE(C927,""fr"",""en"")"),"Satisfied with the price to be seen in the event of a problem. But I was not finding a better price than that of Direct Insurance. So I'm satisfied at the moment")</f>
        <v>Satisfied with the price to be seen in the event of a problem. But I was not finding a better price than that of Direct Insurance. So I'm satisfied at the moment</v>
      </c>
    </row>
    <row r="928" ht="15.75" customHeight="1">
      <c r="A928" s="2">
        <v>5.0</v>
      </c>
      <c r="B928" s="2" t="s">
        <v>2562</v>
      </c>
      <c r="C928" s="2" t="s">
        <v>2563</v>
      </c>
      <c r="D928" s="2" t="s">
        <v>62</v>
      </c>
      <c r="E928" s="2" t="s">
        <v>21</v>
      </c>
      <c r="F928" s="2" t="s">
        <v>15</v>
      </c>
      <c r="G928" s="2" t="s">
        <v>44</v>
      </c>
      <c r="H928" s="2" t="s">
        <v>44</v>
      </c>
      <c r="I928" s="2" t="str">
        <f>IFERROR(__xludf.DUMMYFUNCTION("GOOGLETRANSLATE(C928,""fr"",""en"")"),"37 € at all risks, you remain the cheapest on the market with interesting guarantees.
The quote is simple to do on the internet and the subscription just as much.")</f>
        <v>37 € at all risks, you remain the cheapest on the market with interesting guarantees.
The quote is simple to do on the internet and the subscription just as much.</v>
      </c>
    </row>
    <row r="929" ht="15.75" customHeight="1">
      <c r="A929" s="2">
        <v>1.0</v>
      </c>
      <c r="B929" s="2" t="s">
        <v>2564</v>
      </c>
      <c r="C929" s="2" t="s">
        <v>2565</v>
      </c>
      <c r="D929" s="2" t="s">
        <v>1243</v>
      </c>
      <c r="E929" s="2" t="s">
        <v>457</v>
      </c>
      <c r="F929" s="2" t="s">
        <v>15</v>
      </c>
      <c r="G929" s="2" t="s">
        <v>2566</v>
      </c>
      <c r="H929" s="2" t="s">
        <v>193</v>
      </c>
      <c r="I929" s="2" t="str">
        <f>IFERROR(__xludf.DUMMYFUNCTION("GOOGLETRANSLATE(C929,""fr"",""en"")"),"No matter what, no care of any requests. On the day of subscription the person is very kind but once they have your IBAN impossible to stop anything, I subscribed at the end of July for my 3 cats and I quickly made the request for renunciation in the Time"&amp;", the reimbursement of 2 samples has never been made and it is not for lack of having called them at least 5 times, so that I am told that it will have to wait 3 weeks when they continued to take me ! forced to request discharges and opposition to my bank")</f>
        <v>No matter what, no care of any requests. On the day of subscription the person is very kind but once they have your IBAN impossible to stop anything, I subscribed at the end of July for my 3 cats and I quickly made the request for renunciation in the Time, the reimbursement of 2 samples has never been made and it is not for lack of having called them at least 5 times, so that I am told that it will have to wait 3 weeks when they continued to take me ! forced to request discharges and opposition to my bank</v>
      </c>
    </row>
    <row r="930" ht="15.75" customHeight="1">
      <c r="A930" s="2">
        <v>2.0</v>
      </c>
      <c r="B930" s="2" t="s">
        <v>2567</v>
      </c>
      <c r="C930" s="2" t="s">
        <v>2568</v>
      </c>
      <c r="D930" s="2" t="s">
        <v>26</v>
      </c>
      <c r="E930" s="2" t="s">
        <v>129</v>
      </c>
      <c r="F930" s="2" t="s">
        <v>15</v>
      </c>
      <c r="G930" s="2" t="s">
        <v>1881</v>
      </c>
      <c r="H930" s="2" t="s">
        <v>106</v>
      </c>
      <c r="I930" s="2" t="str">
        <f>IFERROR(__xludf.DUMMYFUNCTION("GOOGLETRANSLATE(C930,""fr"",""en"")"),"I am assured of my life accident contract. In December I have a rupture of the Achilles tendon which prevents me from working since 7 weeks of plaster, I am a self -employed entrepreneur so dry loss (8000 euros) and 1500 euros from Uber to go from time to"&amp;" time see my employees.
No care according to the Matmut doctor because does not fall under the conditions. It is better to go under a bus.")</f>
        <v>I am assured of my life accident contract. In December I have a rupture of the Achilles tendon which prevents me from working since 7 weeks of plaster, I am a self -employed entrepreneur so dry loss (8000 euros) and 1500 euros from Uber to go from time to time see my employees.
No care according to the Matmut doctor because does not fall under the conditions. It is better to go under a bus.</v>
      </c>
    </row>
    <row r="931" ht="15.75" customHeight="1">
      <c r="A931" s="2">
        <v>3.0</v>
      </c>
      <c r="B931" s="2" t="s">
        <v>2569</v>
      </c>
      <c r="C931" s="2" t="s">
        <v>2570</v>
      </c>
      <c r="D931" s="2" t="s">
        <v>210</v>
      </c>
      <c r="E931" s="2" t="s">
        <v>14</v>
      </c>
      <c r="F931" s="2" t="s">
        <v>15</v>
      </c>
      <c r="G931" s="2" t="s">
        <v>2571</v>
      </c>
      <c r="H931" s="2" t="s">
        <v>582</v>
      </c>
      <c r="I931" s="2" t="str">
        <f>IFERROR(__xludf.DUMMYFUNCTION("GOOGLETRANSLATE(C931,""fr"",""en"")"),"Lamia was very welcoming and responded clearly to my request I will be able to do the necessary for my approach")</f>
        <v>Lamia was very welcoming and responded clearly to my request I will be able to do the necessary for my approach</v>
      </c>
    </row>
    <row r="932" ht="15.75" customHeight="1">
      <c r="A932" s="2">
        <v>5.0</v>
      </c>
      <c r="B932" s="2" t="s">
        <v>2572</v>
      </c>
      <c r="C932" s="2" t="s">
        <v>2573</v>
      </c>
      <c r="D932" s="2" t="s">
        <v>42</v>
      </c>
      <c r="E932" s="2" t="s">
        <v>21</v>
      </c>
      <c r="F932" s="2" t="s">
        <v>15</v>
      </c>
      <c r="G932" s="2" t="s">
        <v>403</v>
      </c>
      <c r="H932" s="2" t="s">
        <v>44</v>
      </c>
      <c r="I932" s="2" t="str">
        <f>IFERROR(__xludf.DUMMYFUNCTION("GOOGLETRANSLATE(C932,""fr"",""en"")"),"Excellent advice thank you very much
The advisor led me step by step to develop my contract, taking care to validate everything as the care is attentive to each question")</f>
        <v>Excellent advice thank you very much
The advisor led me step by step to develop my contract, taking care to validate everything as the care is attentive to each question</v>
      </c>
    </row>
    <row r="933" ht="15.75" customHeight="1">
      <c r="A933" s="2">
        <v>4.0</v>
      </c>
      <c r="B933" s="2" t="s">
        <v>2574</v>
      </c>
      <c r="C933" s="2" t="s">
        <v>2575</v>
      </c>
      <c r="D933" s="2" t="s">
        <v>183</v>
      </c>
      <c r="E933" s="2" t="s">
        <v>14</v>
      </c>
      <c r="F933" s="2" t="s">
        <v>15</v>
      </c>
      <c r="G933" s="2" t="s">
        <v>1491</v>
      </c>
      <c r="H933" s="2" t="s">
        <v>737</v>
      </c>
      <c r="I933" s="2" t="str">
        <f>IFERROR(__xludf.DUMMYFUNCTION("GOOGLETRANSLATE(C933,""fr"",""en"")"),"Loading...")</f>
        <v>Loading...</v>
      </c>
    </row>
    <row r="934" ht="15.75" customHeight="1">
      <c r="A934" s="2">
        <v>5.0</v>
      </c>
      <c r="B934" s="2" t="s">
        <v>2576</v>
      </c>
      <c r="C934" s="2" t="s">
        <v>2577</v>
      </c>
      <c r="D934" s="2" t="s">
        <v>963</v>
      </c>
      <c r="E934" s="2" t="s">
        <v>129</v>
      </c>
      <c r="F934" s="2" t="s">
        <v>15</v>
      </c>
      <c r="G934" s="2" t="s">
        <v>2578</v>
      </c>
      <c r="H934" s="2" t="s">
        <v>287</v>
      </c>
      <c r="I934" s="2" t="str">
        <f>IFERROR(__xludf.DUMMYFUNCTION("GOOGLETRANSLATE(C934,""fr"",""en"")"),"Ensured at ACM Habitation and Auto for almost 30 years. always on top ! available, of good advice. Ruby reimbursement on the nail.
At the start I had my bank accounts with them. I had to change, the service did not drop.")</f>
        <v>Ensured at ACM Habitation and Auto for almost 30 years. always on top ! available, of good advice. Ruby reimbursement on the nail.
At the start I had my bank accounts with them. I had to change, the service did not drop.</v>
      </c>
    </row>
    <row r="935" ht="15.75" customHeight="1">
      <c r="A935" s="2">
        <v>1.0</v>
      </c>
      <c r="B935" s="2" t="s">
        <v>2579</v>
      </c>
      <c r="C935" s="2" t="s">
        <v>2580</v>
      </c>
      <c r="D935" s="2" t="s">
        <v>20</v>
      </c>
      <c r="E935" s="2" t="s">
        <v>129</v>
      </c>
      <c r="F935" s="2" t="s">
        <v>15</v>
      </c>
      <c r="G935" s="2" t="s">
        <v>2581</v>
      </c>
      <c r="H935" s="2" t="s">
        <v>608</v>
      </c>
      <c r="I935" s="2" t="str">
        <f>IFERROR(__xludf.DUMMYFUNCTION("GOOGLETRANSLATE(C935,""fr"",""en"")"),"Disaster of 2012 still uncompromising.
The most eccentric pretexts not to pay.
Let the situation rot!
I WANT MY MONEY !
")</f>
        <v>Disaster of 2012 still uncompromising.
The most eccentric pretexts not to pay.
Let the situation rot!
I WANT MY MONEY !
</v>
      </c>
    </row>
    <row r="936" ht="15.75" customHeight="1">
      <c r="A936" s="2">
        <v>3.0</v>
      </c>
      <c r="B936" s="2" t="s">
        <v>2582</v>
      </c>
      <c r="C936" s="2" t="s">
        <v>2583</v>
      </c>
      <c r="D936" s="2" t="s">
        <v>20</v>
      </c>
      <c r="E936" s="2" t="s">
        <v>21</v>
      </c>
      <c r="F936" s="2" t="s">
        <v>15</v>
      </c>
      <c r="G936" s="2" t="s">
        <v>2584</v>
      </c>
      <c r="H936" s="2" t="s">
        <v>215</v>
      </c>
      <c r="I936" s="2" t="str">
        <f>IFERROR(__xludf.DUMMYFUNCTION("GOOGLETRANSLATE(C936,""fr"",""en"")"),"My bank has made a refusal of direct debit, and suddenly this insurance allows itself to terminate my monthly payment, while I present a largely creditor bank account ........ That's fast !!!! ! Ashamed!!!!!! When is the insurance at our feet and not the "&amp;"other way around, like any self -respecting trader ???? Customers only have to close and pay ...... purely unacceptable !!!")</f>
        <v>My bank has made a refusal of direct debit, and suddenly this insurance allows itself to terminate my monthly payment, while I present a largely creditor bank account ........ That's fast !!!! ! Ashamed!!!!!! When is the insurance at our feet and not the other way around, like any self -respecting trader ???? Customers only have to close and pay ...... purely unacceptable !!!</v>
      </c>
    </row>
    <row r="937" ht="15.75" customHeight="1">
      <c r="A937" s="2">
        <v>4.0</v>
      </c>
      <c r="B937" s="2" t="s">
        <v>2585</v>
      </c>
      <c r="C937" s="2" t="s">
        <v>2586</v>
      </c>
      <c r="D937" s="2" t="s">
        <v>42</v>
      </c>
      <c r="E937" s="2" t="s">
        <v>21</v>
      </c>
      <c r="F937" s="2" t="s">
        <v>15</v>
      </c>
      <c r="G937" s="2" t="s">
        <v>2587</v>
      </c>
      <c r="H937" s="2" t="s">
        <v>252</v>
      </c>
      <c r="I937" s="2" t="str">
        <f>IFERROR(__xludf.DUMMYFUNCTION("GOOGLETRANSLATE(C937,""fr"",""en"")"),"The prices are correct, the guarantees are good, especially assistance. Loyalty is rewarded in particular with the reduction of franchises each year. (-50% after 3 years). The strong point is customer service: already a number in France, a quick response."&amp;" The advisers are always friendly, polite and know what they are talking about. They do the maximum so that we are satisfied. They take their time so that everything is adjusted when you hang up.")</f>
        <v>The prices are correct, the guarantees are good, especially assistance. Loyalty is rewarded in particular with the reduction of franchises each year. (-50% after 3 years). The strong point is customer service: already a number in France, a quick response. The advisers are always friendly, polite and know what they are talking about. They do the maximum so that we are satisfied. They take their time so that everything is adjusted when you hang up.</v>
      </c>
    </row>
    <row r="938" ht="15.75" customHeight="1">
      <c r="A938" s="2">
        <v>2.0</v>
      </c>
      <c r="B938" s="2" t="s">
        <v>2588</v>
      </c>
      <c r="C938" s="2" t="s">
        <v>2589</v>
      </c>
      <c r="D938" s="2" t="s">
        <v>250</v>
      </c>
      <c r="E938" s="2" t="s">
        <v>104</v>
      </c>
      <c r="F938" s="2" t="s">
        <v>15</v>
      </c>
      <c r="G938" s="2" t="s">
        <v>2590</v>
      </c>
      <c r="H938" s="2" t="s">
        <v>271</v>
      </c>
      <c r="I938" s="2" t="str">
        <f>IFERROR(__xludf.DUMMYFUNCTION("GOOGLETRANSLATE(C938,""fr"",""en"")"),"No accompaniment during a large claim (crushed by a 38T truck), we totally despise you.
If you want to call me, do not hesitate, on the contrary, because I expect answers from you.
")</f>
        <v>No accompaniment during a large claim (crushed by a 38T truck), we totally despise you.
If you want to call me, do not hesitate, on the contrary, because I expect answers from you.
</v>
      </c>
    </row>
    <row r="939" ht="15.75" customHeight="1">
      <c r="A939" s="2">
        <v>4.0</v>
      </c>
      <c r="B939" s="2" t="s">
        <v>2591</v>
      </c>
      <c r="C939" s="2" t="s">
        <v>2592</v>
      </c>
      <c r="D939" s="2" t="s">
        <v>42</v>
      </c>
      <c r="E939" s="2" t="s">
        <v>21</v>
      </c>
      <c r="F939" s="2" t="s">
        <v>15</v>
      </c>
      <c r="G939" s="2" t="s">
        <v>486</v>
      </c>
      <c r="H939" s="2" t="s">
        <v>59</v>
      </c>
      <c r="I939" s="2" t="str">
        <f>IFERROR(__xludf.DUMMYFUNCTION("GOOGLETRANSLATE(C939,""fr"",""en"")"),"Very satisfied with the subscription route.
The monthly net rate does not include taxes and charges that inflate the bill by +15%.
Seeing side and coverage on the side.")</f>
        <v>Very satisfied with the subscription route.
The monthly net rate does not include taxes and charges that inflate the bill by +15%.
Seeing side and coverage on the side.</v>
      </c>
    </row>
    <row r="940" ht="15.75" customHeight="1">
      <c r="A940" s="2">
        <v>4.0</v>
      </c>
      <c r="B940" s="2" t="s">
        <v>2593</v>
      </c>
      <c r="C940" s="2" t="s">
        <v>2594</v>
      </c>
      <c r="D940" s="2" t="s">
        <v>89</v>
      </c>
      <c r="E940" s="2" t="s">
        <v>90</v>
      </c>
      <c r="F940" s="2" t="s">
        <v>15</v>
      </c>
      <c r="G940" s="2" t="s">
        <v>2595</v>
      </c>
      <c r="H940" s="2" t="s">
        <v>429</v>
      </c>
      <c r="I940" s="2" t="str">
        <f>IFERROR(__xludf.DUMMYFUNCTION("GOOGLETRANSLATE(C940,""fr"",""en"")"),"I am surprised by all these comments. I came to this forum to consult the opinions of my home insurance and I fall out of curiosity on AFER. For 12 years that I have been a member, I have been able to have my savings last December within 15 days without p"&amp;"roblem ...")</f>
        <v>I am surprised by all these comments. I came to this forum to consult the opinions of my home insurance and I fall out of curiosity on AFER. For 12 years that I have been a member, I have been able to have my savings last December within 15 days without problem ...</v>
      </c>
    </row>
    <row r="941" ht="15.75" customHeight="1">
      <c r="A941" s="2">
        <v>1.0</v>
      </c>
      <c r="B941" s="2" t="s">
        <v>2596</v>
      </c>
      <c r="C941" s="2" t="s">
        <v>2597</v>
      </c>
      <c r="D941" s="2" t="s">
        <v>47</v>
      </c>
      <c r="E941" s="2" t="s">
        <v>21</v>
      </c>
      <c r="F941" s="2" t="s">
        <v>15</v>
      </c>
      <c r="G941" s="2" t="s">
        <v>2598</v>
      </c>
      <c r="H941" s="2" t="s">
        <v>429</v>
      </c>
      <c r="I941" s="2" t="str">
        <f>IFERROR(__xludf.DUMMYFUNCTION("GOOGLETRANSLATE(C941,""fr"",""en"")"),"Loading...")</f>
        <v>Loading...</v>
      </c>
    </row>
    <row r="942" ht="15.75" customHeight="1">
      <c r="A942" s="2">
        <v>5.0</v>
      </c>
      <c r="B942" s="2" t="s">
        <v>2599</v>
      </c>
      <c r="C942" s="2" t="s">
        <v>2600</v>
      </c>
      <c r="D942" s="2" t="s">
        <v>250</v>
      </c>
      <c r="E942" s="2" t="s">
        <v>129</v>
      </c>
      <c r="F942" s="2" t="s">
        <v>15</v>
      </c>
      <c r="G942" s="2" t="s">
        <v>1715</v>
      </c>
      <c r="H942" s="2" t="s">
        <v>39</v>
      </c>
      <c r="I942" s="2" t="str">
        <f>IFERROR(__xludf.DUMMYFUNCTION("GOOGLETRANSLATE(C942,""fr"",""en"")"),"50 years of car and home insurance at the Macif, almost a lifetime and I put 5 stars without any hesitation. The biggest advantages of this mutual is the dialogue and a desire to find the best solution in the event of a disaster. Lately, my wife and I wer"&amp;"e delighted to be contacted by the management center about a small damage from the storm. The person of the Macif, by his words, managed to brighten up a sad day of All Saints' Day. We thank her warmly.")</f>
        <v>50 years of car and home insurance at the Macif, almost a lifetime and I put 5 stars without any hesitation. The biggest advantages of this mutual is the dialogue and a desire to find the best solution in the event of a disaster. Lately, my wife and I were delighted to be contacted by the management center about a small damage from the storm. The person of the Macif, by his words, managed to brighten up a sad day of All Saints' Day. We thank her warmly.</v>
      </c>
    </row>
    <row r="943" ht="15.75" customHeight="1">
      <c r="A943" s="2">
        <v>4.0</v>
      </c>
      <c r="B943" s="2" t="s">
        <v>2601</v>
      </c>
      <c r="C943" s="2" t="s">
        <v>2602</v>
      </c>
      <c r="D943" s="2" t="s">
        <v>62</v>
      </c>
      <c r="E943" s="2" t="s">
        <v>21</v>
      </c>
      <c r="F943" s="2" t="s">
        <v>15</v>
      </c>
      <c r="G943" s="2" t="s">
        <v>343</v>
      </c>
      <c r="H943" s="2" t="s">
        <v>64</v>
      </c>
      <c r="I943" s="2" t="str">
        <f>IFERROR(__xludf.DUMMYFUNCTION("GOOGLETRANSLATE(C943,""fr"",""en"")"),"Loading...")</f>
        <v>Loading...</v>
      </c>
    </row>
    <row r="944" ht="15.75" customHeight="1">
      <c r="A944" s="2">
        <v>2.0</v>
      </c>
      <c r="B944" s="2" t="s">
        <v>2603</v>
      </c>
      <c r="C944" s="2" t="s">
        <v>2604</v>
      </c>
      <c r="D944" s="2" t="s">
        <v>137</v>
      </c>
      <c r="E944" s="2" t="s">
        <v>21</v>
      </c>
      <c r="F944" s="2" t="s">
        <v>15</v>
      </c>
      <c r="G944" s="2" t="s">
        <v>489</v>
      </c>
      <c r="H944" s="2" t="s">
        <v>106</v>
      </c>
      <c r="I944" s="2" t="str">
        <f>IFERROR(__xludf.DUMMYFUNCTION("GOOGLETRANSLATE(C944,""fr"",""en"")"),"Following a sinister, I had a wing that took off before arriving at the bodybuilder. The expertise firm had however declared that the vehicle was rolling. Maaf experts said the same thing.
50% bonus for over 5 years ... bye bye la maaf")</f>
        <v>Following a sinister, I had a wing that took off before arriving at the bodybuilder. The expertise firm had however declared that the vehicle was rolling. Maaf experts said the same thing.
50% bonus for over 5 years ... bye bye la maaf</v>
      </c>
    </row>
    <row r="945" ht="15.75" customHeight="1">
      <c r="A945" s="2">
        <v>5.0</v>
      </c>
      <c r="B945" s="2" t="s">
        <v>2605</v>
      </c>
      <c r="C945" s="2" t="s">
        <v>2606</v>
      </c>
      <c r="D945" s="2" t="s">
        <v>183</v>
      </c>
      <c r="E945" s="2" t="s">
        <v>14</v>
      </c>
      <c r="F945" s="2" t="s">
        <v>15</v>
      </c>
      <c r="G945" s="2" t="s">
        <v>975</v>
      </c>
      <c r="H945" s="2" t="s">
        <v>64</v>
      </c>
      <c r="I945" s="2" t="str">
        <f>IFERROR(__xludf.DUMMYFUNCTION("GOOGLETRANSLATE(C945,""fr"",""en"")"),"Loading...")</f>
        <v>Loading...</v>
      </c>
    </row>
    <row r="946" ht="15.75" customHeight="1">
      <c r="A946" s="2">
        <v>1.0</v>
      </c>
      <c r="B946" s="2" t="s">
        <v>2607</v>
      </c>
      <c r="C946" s="2" t="s">
        <v>2608</v>
      </c>
      <c r="D946" s="2" t="s">
        <v>99</v>
      </c>
      <c r="E946" s="2" t="s">
        <v>21</v>
      </c>
      <c r="F946" s="2" t="s">
        <v>15</v>
      </c>
      <c r="G946" s="2" t="s">
        <v>2609</v>
      </c>
      <c r="H946" s="2" t="s">
        <v>39</v>
      </c>
      <c r="I946" s="2" t="str">
        <f>IFERROR(__xludf.DUMMYFUNCTION("GOOGLETRANSLATE(C946,""fr"",""en"")"),"I have already formulated an opinion (mail on today), by reporting the big ""indelicacy"" that I suffered from the maif, and concerning the opacity of their processes")</f>
        <v>I have already formulated an opinion (mail on today), by reporting the big "indelicacy" that I suffered from the maif, and concerning the opacity of their processes</v>
      </c>
    </row>
    <row r="947" ht="15.75" customHeight="1">
      <c r="A947" s="2">
        <v>3.0</v>
      </c>
      <c r="B947" s="2" t="s">
        <v>2610</v>
      </c>
      <c r="C947" s="2" t="s">
        <v>2611</v>
      </c>
      <c r="D947" s="2" t="s">
        <v>31</v>
      </c>
      <c r="E947" s="2" t="s">
        <v>32</v>
      </c>
      <c r="F947" s="2" t="s">
        <v>15</v>
      </c>
      <c r="G947" s="2" t="s">
        <v>957</v>
      </c>
      <c r="H947" s="2" t="s">
        <v>957</v>
      </c>
      <c r="I947" s="2" t="str">
        <f>IFERROR(__xludf.DUMMYFUNCTION("GOOGLETRANSLATE(C947,""fr"",""en"")"),"Loading...")</f>
        <v>Loading...</v>
      </c>
    </row>
    <row r="948" ht="15.75" customHeight="1">
      <c r="A948" s="2">
        <v>4.0</v>
      </c>
      <c r="B948" s="2" t="s">
        <v>2612</v>
      </c>
      <c r="C948" s="2" t="s">
        <v>2613</v>
      </c>
      <c r="D948" s="2" t="s">
        <v>62</v>
      </c>
      <c r="E948" s="2" t="s">
        <v>21</v>
      </c>
      <c r="F948" s="2" t="s">
        <v>15</v>
      </c>
      <c r="G948" s="2" t="s">
        <v>2499</v>
      </c>
      <c r="H948" s="2" t="s">
        <v>44</v>
      </c>
      <c r="I948" s="2" t="str">
        <f>IFERROR(__xludf.DUMMYFUNCTION("GOOGLETRANSLATE(C948,""fr"",""en"")"),"Super price for the guarantees now to see if all the guarantees will be respected in the event of a problem ... by wishing that it happens of course .... ??")</f>
        <v>Super price for the guarantees now to see if all the guarantees will be respected in the event of a problem ... by wishing that it happens of course .... ??</v>
      </c>
    </row>
    <row r="949" ht="15.75" customHeight="1">
      <c r="A949" s="2">
        <v>2.0</v>
      </c>
      <c r="B949" s="2" t="s">
        <v>2614</v>
      </c>
      <c r="C949" s="2" t="s">
        <v>2615</v>
      </c>
      <c r="D949" s="2" t="s">
        <v>196</v>
      </c>
      <c r="E949" s="2" t="s">
        <v>129</v>
      </c>
      <c r="F949" s="2" t="s">
        <v>15</v>
      </c>
      <c r="G949" s="2" t="s">
        <v>2616</v>
      </c>
      <c r="H949" s="2" t="s">
        <v>78</v>
      </c>
      <c r="I949" s="2" t="str">
        <f>IFERROR(__xludf.DUMMYFUNCTION("GOOGLETRANSLATE(C949,""fr"",""en"")"),"Owner of an apartment whose tenant committed suicide by leaving open all the valves degrading the apartment after 1 year of non -payment of rent.")</f>
        <v>Owner of an apartment whose tenant committed suicide by leaving open all the valves degrading the apartment after 1 year of non -payment of rent.</v>
      </c>
    </row>
    <row r="950" ht="15.75" customHeight="1">
      <c r="A950" s="2">
        <v>1.0</v>
      </c>
      <c r="B950" s="2" t="s">
        <v>2617</v>
      </c>
      <c r="C950" s="2" t="s">
        <v>2618</v>
      </c>
      <c r="D950" s="2" t="s">
        <v>42</v>
      </c>
      <c r="E950" s="2" t="s">
        <v>21</v>
      </c>
      <c r="F950" s="2" t="s">
        <v>15</v>
      </c>
      <c r="G950" s="2" t="s">
        <v>2619</v>
      </c>
      <c r="H950" s="2" t="s">
        <v>252</v>
      </c>
      <c r="I950" s="2" t="str">
        <f>IFERROR(__xludf.DUMMYFUNCTION("GOOGLETRANSLATE(C950,""fr"",""en"")"),"To avoid absolutely. He makes you believe with attractive prices that you do a good deal but once you have paid the tone will change and they will take you for idiots.
They dare to say that I had made a false statement when there was an illness. Result, "&amp;"I terminate the insurance and I leave with my 43% bonus.")</f>
        <v>To avoid absolutely. He makes you believe with attractive prices that you do a good deal but once you have paid the tone will change and they will take you for idiots.
They dare to say that I had made a false statement when there was an illness. Result, I terminate the insurance and I leave with my 43% bonus.</v>
      </c>
    </row>
    <row r="951" ht="15.75" customHeight="1">
      <c r="A951" s="2">
        <v>4.0</v>
      </c>
      <c r="B951" s="2" t="s">
        <v>2620</v>
      </c>
      <c r="C951" s="2" t="s">
        <v>2621</v>
      </c>
      <c r="D951" s="2" t="s">
        <v>62</v>
      </c>
      <c r="E951" s="2" t="s">
        <v>21</v>
      </c>
      <c r="F951" s="2" t="s">
        <v>15</v>
      </c>
      <c r="G951" s="2" t="s">
        <v>1507</v>
      </c>
      <c r="H951" s="2" t="s">
        <v>54</v>
      </c>
      <c r="I951" s="2" t="str">
        <f>IFERROR(__xludf.DUMMYFUNCTION("GOOGLETRANSLATE(C951,""fr"",""en"")"),"Loading...")</f>
        <v>Loading...</v>
      </c>
    </row>
    <row r="952" ht="15.75" customHeight="1">
      <c r="A952" s="2">
        <v>5.0</v>
      </c>
      <c r="B952" s="2" t="s">
        <v>2622</v>
      </c>
      <c r="C952" s="2" t="s">
        <v>2623</v>
      </c>
      <c r="D952" s="2" t="s">
        <v>42</v>
      </c>
      <c r="E952" s="2" t="s">
        <v>21</v>
      </c>
      <c r="F952" s="2" t="s">
        <v>15</v>
      </c>
      <c r="G952" s="2" t="s">
        <v>783</v>
      </c>
      <c r="H952" s="2" t="s">
        <v>123</v>
      </c>
      <c r="I952" s="2" t="str">
        <f>IFERROR(__xludf.DUMMYFUNCTION("GOOGLETRANSLATE(C952,""fr"",""en"")"),"Competitive prices, responsive customer service and listening to its customers
Find solutions and hyper kind
To recommend and make it lasts like that!")</f>
        <v>Competitive prices, responsive customer service and listening to its customers
Find solutions and hyper kind
To recommend and make it lasts like that!</v>
      </c>
    </row>
    <row r="953" ht="15.75" customHeight="1">
      <c r="A953" s="2">
        <v>5.0</v>
      </c>
      <c r="B953" s="2" t="s">
        <v>2624</v>
      </c>
      <c r="C953" s="2" t="s">
        <v>2625</v>
      </c>
      <c r="D953" s="2" t="s">
        <v>31</v>
      </c>
      <c r="E953" s="2" t="s">
        <v>32</v>
      </c>
      <c r="F953" s="2" t="s">
        <v>15</v>
      </c>
      <c r="G953" s="2" t="s">
        <v>1118</v>
      </c>
      <c r="H953" s="2" t="s">
        <v>72</v>
      </c>
      <c r="I953" s="2" t="str">
        <f>IFERROR(__xludf.DUMMYFUNCTION("GOOGLETRANSLATE(C953,""fr"",""en"")"),"The site is very practical, the quote has been fast and the price is very competitive, I recommend it and am very satisfied. This insurance suits me perfectly.")</f>
        <v>The site is very practical, the quote has been fast and the price is very competitive, I recommend it and am very satisfied. This insurance suits me perfectly.</v>
      </c>
    </row>
    <row r="954" ht="15.75" customHeight="1">
      <c r="A954" s="2">
        <v>5.0</v>
      </c>
      <c r="B954" s="2" t="s">
        <v>2626</v>
      </c>
      <c r="C954" s="2" t="s">
        <v>2627</v>
      </c>
      <c r="D954" s="2" t="s">
        <v>62</v>
      </c>
      <c r="E954" s="2" t="s">
        <v>21</v>
      </c>
      <c r="F954" s="2" t="s">
        <v>15</v>
      </c>
      <c r="G954" s="2" t="s">
        <v>2628</v>
      </c>
      <c r="H954" s="2" t="s">
        <v>904</v>
      </c>
      <c r="I954" s="2" t="str">
        <f>IFERROR(__xludf.DUMMYFUNCTION("GOOGLETRANSLATE(C954,""fr"",""en"")"),"Insured for a while at home and for the moment RAS.
The subscription is fast and well explained.
I had a disaster and it went very well.")</f>
        <v>Insured for a while at home and for the moment RAS.
The subscription is fast and well explained.
I had a disaster and it went very well.</v>
      </c>
    </row>
    <row r="955" ht="15.75" customHeight="1">
      <c r="A955" s="2">
        <v>4.0</v>
      </c>
      <c r="B955" s="2" t="s">
        <v>2629</v>
      </c>
      <c r="C955" s="2" t="s">
        <v>2630</v>
      </c>
      <c r="D955" s="2" t="s">
        <v>210</v>
      </c>
      <c r="E955" s="2" t="s">
        <v>14</v>
      </c>
      <c r="F955" s="2" t="s">
        <v>15</v>
      </c>
      <c r="G955" s="2" t="s">
        <v>2631</v>
      </c>
      <c r="H955" s="2" t="s">
        <v>287</v>
      </c>
      <c r="I955" s="2" t="str">
        <f>IFERROR(__xludf.DUMMYFUNCTION("GOOGLETRANSLATE(C955,""fr"",""en"")"),"Gwendal met all my expectations it was very effective and was able to solve a big problem, very good advisor and very friendly. Thank you Gwendal! If all the advisers were like Gwendal the problems will quickly be paid")</f>
        <v>Gwendal met all my expectations it was very effective and was able to solve a big problem, very good advisor and very friendly. Thank you Gwendal! If all the advisers were like Gwendal the problems will quickly be paid</v>
      </c>
    </row>
    <row r="956" ht="15.75" customHeight="1">
      <c r="A956" s="2">
        <v>4.0</v>
      </c>
      <c r="B956" s="2" t="s">
        <v>2632</v>
      </c>
      <c r="C956" s="2" t="s">
        <v>2633</v>
      </c>
      <c r="D956" s="2" t="s">
        <v>62</v>
      </c>
      <c r="E956" s="2" t="s">
        <v>21</v>
      </c>
      <c r="F956" s="2" t="s">
        <v>15</v>
      </c>
      <c r="G956" s="2" t="s">
        <v>1159</v>
      </c>
      <c r="H956" s="2" t="s">
        <v>72</v>
      </c>
      <c r="I956" s="2" t="str">
        <f>IFERROR(__xludf.DUMMYFUNCTION("GOOGLETRANSLATE(C956,""fr"",""en"")"),"Simple practice for subscription. Competetive price. Good service on the phone. Belong to the AXA group aid. With the hope of not being disappointed with the use.")</f>
        <v>Simple practice for subscription. Competetive price. Good service on the phone. Belong to the AXA group aid. With the hope of not being disappointed with the use.</v>
      </c>
    </row>
    <row r="957" ht="15.75" customHeight="1">
      <c r="A957" s="2">
        <v>1.0</v>
      </c>
      <c r="B957" s="2" t="s">
        <v>2634</v>
      </c>
      <c r="C957" s="2" t="s">
        <v>2635</v>
      </c>
      <c r="D957" s="2" t="s">
        <v>133</v>
      </c>
      <c r="E957" s="2" t="s">
        <v>14</v>
      </c>
      <c r="F957" s="2" t="s">
        <v>15</v>
      </c>
      <c r="G957" s="2" t="s">
        <v>2636</v>
      </c>
      <c r="H957" s="2" t="s">
        <v>413</v>
      </c>
      <c r="I957" s="2" t="str">
        <f>IFERROR(__xludf.DUMMYFUNCTION("GOOGLETRANSLATE(C957,""fr"",""en"")"),"Loading...")</f>
        <v>Loading...</v>
      </c>
    </row>
    <row r="958" ht="15.75" customHeight="1">
      <c r="A958" s="2">
        <v>3.0</v>
      </c>
      <c r="B958" s="2" t="s">
        <v>2637</v>
      </c>
      <c r="C958" s="2" t="s">
        <v>2638</v>
      </c>
      <c r="D958" s="2" t="s">
        <v>62</v>
      </c>
      <c r="E958" s="2" t="s">
        <v>21</v>
      </c>
      <c r="F958" s="2" t="s">
        <v>15</v>
      </c>
      <c r="G958" s="2" t="s">
        <v>33</v>
      </c>
      <c r="H958" s="2" t="s">
        <v>34</v>
      </c>
      <c r="I958" s="2" t="str">
        <f>IFERROR(__xludf.DUMMYFUNCTION("GOOGLETRANSLATE(C958,""fr"",""en"")"),"Not very satisfied because with 4 vehicle insured and client for several years, I had to ask for a commercial gesture! I was not offered to me !!! The price for my Dacia was expensive, fortunately, the person I had made to me a price after asking for a co"&amp;"mmercial gesture !! I'm disappointed")</f>
        <v>Not very satisfied because with 4 vehicle insured and client for several years, I had to ask for a commercial gesture! I was not offered to me !!! The price for my Dacia was expensive, fortunately, the person I had made to me a price after asking for a commercial gesture !! I'm disappointed</v>
      </c>
    </row>
    <row r="959" ht="15.75" customHeight="1">
      <c r="A959" s="2">
        <v>5.0</v>
      </c>
      <c r="B959" s="2" t="s">
        <v>2639</v>
      </c>
      <c r="C959" s="2" t="s">
        <v>2640</v>
      </c>
      <c r="D959" s="2" t="s">
        <v>250</v>
      </c>
      <c r="E959" s="2" t="s">
        <v>21</v>
      </c>
      <c r="F959" s="2" t="s">
        <v>15</v>
      </c>
      <c r="G959" s="2" t="s">
        <v>1752</v>
      </c>
      <c r="H959" s="2" t="s">
        <v>64</v>
      </c>
      <c r="I959" s="2" t="str">
        <f>IFERROR(__xludf.DUMMYFUNCTION("GOOGLETRANSLATE(C959,""fr"",""en"")"),"Nichel for a good driver over 50 like me without the slightest accident .... for young people I have no idea of ​​the considered cost ... I also like the advantage of having an agency nearby")</f>
        <v>Nichel for a good driver over 50 like me without the slightest accident .... for young people I have no idea of ​​the considered cost ... I also like the advantage of having an agency nearby</v>
      </c>
    </row>
    <row r="960" ht="15.75" customHeight="1">
      <c r="A960" s="2">
        <v>2.0</v>
      </c>
      <c r="B960" s="2" t="s">
        <v>2641</v>
      </c>
      <c r="C960" s="2" t="s">
        <v>2642</v>
      </c>
      <c r="D960" s="2" t="s">
        <v>62</v>
      </c>
      <c r="E960" s="2" t="s">
        <v>21</v>
      </c>
      <c r="F960" s="2" t="s">
        <v>15</v>
      </c>
      <c r="G960" s="2" t="s">
        <v>688</v>
      </c>
      <c r="H960" s="2" t="s">
        <v>34</v>
      </c>
      <c r="I960" s="2" t="str">
        <f>IFERROR(__xludf.DUMMYFUNCTION("GOOGLETRANSLATE(C960,""fr"",""en"")"),"I am not satisfied with the service, no loss follow -up, no link with the expert, total absence of information, no answers on the email sent and unreachable telephone service")</f>
        <v>I am not satisfied with the service, no loss follow -up, no link with the expert, total absence of information, no answers on the email sent and unreachable telephone service</v>
      </c>
    </row>
    <row r="961" ht="15.75" customHeight="1">
      <c r="A961" s="2">
        <v>4.0</v>
      </c>
      <c r="B961" s="2" t="s">
        <v>2643</v>
      </c>
      <c r="C961" s="2" t="s">
        <v>2644</v>
      </c>
      <c r="D961" s="2" t="s">
        <v>62</v>
      </c>
      <c r="E961" s="2" t="s">
        <v>21</v>
      </c>
      <c r="F961" s="2" t="s">
        <v>15</v>
      </c>
      <c r="G961" s="2" t="s">
        <v>1633</v>
      </c>
      <c r="H961" s="2" t="s">
        <v>123</v>
      </c>
      <c r="I961" s="2" t="str">
        <f>IFERROR(__xludf.DUMMYFUNCTION("GOOGLETRANSLATE(C961,""fr"",""en"")"),"Loading...")</f>
        <v>Loading...</v>
      </c>
    </row>
    <row r="962" ht="15.75" customHeight="1">
      <c r="A962" s="2">
        <v>2.0</v>
      </c>
      <c r="B962" s="2" t="s">
        <v>2645</v>
      </c>
      <c r="C962" s="2" t="s">
        <v>2646</v>
      </c>
      <c r="D962" s="2" t="s">
        <v>42</v>
      </c>
      <c r="E962" s="2" t="s">
        <v>21</v>
      </c>
      <c r="F962" s="2" t="s">
        <v>15</v>
      </c>
      <c r="G962" s="2" t="s">
        <v>2647</v>
      </c>
      <c r="H962" s="2" t="s">
        <v>17</v>
      </c>
      <c r="I962" s="2" t="str">
        <f>IFERROR(__xludf.DUMMYFUNCTION("GOOGLETRANSLATE(C962,""fr"",""en"")"),"This insurance does not want to guarantee the working students (declared) with children in addition to their studies.
Young driver (with zero claims) necessarily this is problematic.
")</f>
        <v>This insurance does not want to guarantee the working students (declared) with children in addition to their studies.
Young driver (with zero claims) necessarily this is problematic.
</v>
      </c>
    </row>
    <row r="963" ht="15.75" customHeight="1">
      <c r="A963" s="2">
        <v>3.0</v>
      </c>
      <c r="B963" s="2" t="s">
        <v>2648</v>
      </c>
      <c r="C963" s="2" t="s">
        <v>2649</v>
      </c>
      <c r="D963" s="2" t="s">
        <v>269</v>
      </c>
      <c r="E963" s="2" t="s">
        <v>14</v>
      </c>
      <c r="F963" s="2" t="s">
        <v>15</v>
      </c>
      <c r="G963" s="2" t="s">
        <v>783</v>
      </c>
      <c r="H963" s="2" t="s">
        <v>123</v>
      </c>
      <c r="I963" s="2" t="str">
        <f>IFERROR(__xludf.DUMMYFUNCTION("GOOGLETRANSLATE(C963,""fr"",""en"")"),"Loading...")</f>
        <v>Loading...</v>
      </c>
    </row>
    <row r="964" ht="15.75" customHeight="1">
      <c r="A964" s="2">
        <v>4.0</v>
      </c>
      <c r="B964" s="2" t="s">
        <v>2650</v>
      </c>
      <c r="C964" s="2" t="s">
        <v>2651</v>
      </c>
      <c r="D964" s="2" t="s">
        <v>42</v>
      </c>
      <c r="E964" s="2" t="s">
        <v>21</v>
      </c>
      <c r="F964" s="2" t="s">
        <v>15</v>
      </c>
      <c r="G964" s="2" t="s">
        <v>688</v>
      </c>
      <c r="H964" s="2" t="s">
        <v>34</v>
      </c>
      <c r="I964" s="2" t="str">
        <f>IFERROR(__xludf.DUMMYFUNCTION("GOOGLETRANSLATE(C964,""fr"",""en"")"),"Very fluid and very easy to use. Attractive and competitive price.
Simplicity to register and to terminate my previous contact with a competitor.")</f>
        <v>Very fluid and very easy to use. Attractive and competitive price.
Simplicity to register and to terminate my previous contact with a competitor.</v>
      </c>
    </row>
    <row r="965" ht="15.75" customHeight="1">
      <c r="A965" s="2">
        <v>3.0</v>
      </c>
      <c r="B965" s="2" t="s">
        <v>2652</v>
      </c>
      <c r="C965" s="2" t="s">
        <v>2653</v>
      </c>
      <c r="D965" s="2" t="s">
        <v>62</v>
      </c>
      <c r="E965" s="2" t="s">
        <v>21</v>
      </c>
      <c r="F965" s="2" t="s">
        <v>15</v>
      </c>
      <c r="G965" s="2" t="s">
        <v>437</v>
      </c>
      <c r="H965" s="2" t="s">
        <v>72</v>
      </c>
      <c r="I965" s="2" t="str">
        <f>IFERROR(__xludf.DUMMYFUNCTION("GOOGLETRANSLATE(C965,""fr"",""en"")"),"Prices can be more attractive, and above all a drop to reward loyal customers. But other than that I recommend direct insurance.")</f>
        <v>Prices can be more attractive, and above all a drop to reward loyal customers. But other than that I recommend direct insurance.</v>
      </c>
    </row>
    <row r="966" ht="15.75" customHeight="1">
      <c r="A966" s="2">
        <v>5.0</v>
      </c>
      <c r="B966" s="2" t="s">
        <v>2654</v>
      </c>
      <c r="C966" s="2" t="s">
        <v>2655</v>
      </c>
      <c r="D966" s="2" t="s">
        <v>20</v>
      </c>
      <c r="E966" s="2" t="s">
        <v>21</v>
      </c>
      <c r="F966" s="2" t="s">
        <v>15</v>
      </c>
      <c r="G966" s="2" t="s">
        <v>442</v>
      </c>
      <c r="H966" s="2" t="s">
        <v>54</v>
      </c>
      <c r="I966" s="2" t="str">
        <f>IFERROR(__xludf.DUMMYFUNCTION("GOOGLETRANSLATE(C966,""fr"",""en"")"),"I am very satisfied with the GMF services, in all fronts.
Speed, listening, professional
Very pleasant welcome
For years I have been insured, I do not regret it and I recommend around me
")</f>
        <v>I am very satisfied with the GMF services, in all fronts.
Speed, listening, professional
Very pleasant welcome
For years I have been insured, I do not regret it and I recommend around me
</v>
      </c>
    </row>
    <row r="967" ht="15.75" customHeight="1">
      <c r="A967" s="2">
        <v>3.0</v>
      </c>
      <c r="B967" s="2" t="s">
        <v>2656</v>
      </c>
      <c r="C967" s="2" t="s">
        <v>2657</v>
      </c>
      <c r="D967" s="2" t="s">
        <v>31</v>
      </c>
      <c r="E967" s="2" t="s">
        <v>32</v>
      </c>
      <c r="F967" s="2" t="s">
        <v>15</v>
      </c>
      <c r="G967" s="2" t="s">
        <v>184</v>
      </c>
      <c r="H967" s="2" t="s">
        <v>185</v>
      </c>
      <c r="I967" s="2" t="str">
        <f>IFERROR(__xludf.DUMMYFUNCTION("GOOGLETRANSLATE(C967,""fr"",""en"")"),"I am a April Moto and biker customer and I am regretting being a customer of this company that you are in the presence of the worst insurance existing to date on our territory indeed victim of an accident not wrong I am in the 8th month for reimbursement "&amp;"with reminders supposedly since in reality the only")</f>
        <v>I am a April Moto and biker customer and I am regretting being a customer of this company that you are in the presence of the worst insurance existing to date on our territory indeed victim of an accident not wrong I am in the 8th month for reimbursement with reminders supposedly since in reality the only</v>
      </c>
    </row>
    <row r="968" ht="15.75" customHeight="1">
      <c r="A968" s="2">
        <v>5.0</v>
      </c>
      <c r="B968" s="2" t="s">
        <v>2658</v>
      </c>
      <c r="C968" s="2" t="s">
        <v>2659</v>
      </c>
      <c r="D968" s="2" t="s">
        <v>62</v>
      </c>
      <c r="E968" s="2" t="s">
        <v>21</v>
      </c>
      <c r="F968" s="2" t="s">
        <v>15</v>
      </c>
      <c r="G968" s="2" t="s">
        <v>701</v>
      </c>
      <c r="H968" s="2" t="s">
        <v>44</v>
      </c>
      <c r="I968" s="2" t="str">
        <f>IFERROR(__xludf.DUMMYFUNCTION("GOOGLETRANSLATE(C968,""fr"",""en"")"),"I am satisfied with the price and the advisor who made the transfer to me
Thank you very much for the welcome
All my insurance contracts are with you
Best price")</f>
        <v>I am satisfied with the price and the advisor who made the transfer to me
Thank you very much for the welcome
All my insurance contracts are with you
Best price</v>
      </c>
    </row>
    <row r="969" ht="15.75" customHeight="1">
      <c r="A969" s="2">
        <v>1.0</v>
      </c>
      <c r="B969" s="2" t="s">
        <v>2660</v>
      </c>
      <c r="C969" s="2" t="s">
        <v>2661</v>
      </c>
      <c r="D969" s="2" t="s">
        <v>196</v>
      </c>
      <c r="E969" s="2" t="s">
        <v>129</v>
      </c>
      <c r="F969" s="2" t="s">
        <v>15</v>
      </c>
      <c r="G969" s="2" t="s">
        <v>442</v>
      </c>
      <c r="H969" s="2" t="s">
        <v>54</v>
      </c>
      <c r="I969" s="2" t="str">
        <f>IFERROR(__xludf.DUMMYFUNCTION("GOOGLETRANSLATE(C969,""fr"",""en"")"),"Loading...")</f>
        <v>Loading...</v>
      </c>
    </row>
    <row r="970" ht="15.75" customHeight="1">
      <c r="A970" s="2">
        <v>4.0</v>
      </c>
      <c r="B970" s="2" t="s">
        <v>2662</v>
      </c>
      <c r="C970" s="2" t="s">
        <v>2663</v>
      </c>
      <c r="D970" s="2" t="s">
        <v>42</v>
      </c>
      <c r="E970" s="2" t="s">
        <v>21</v>
      </c>
      <c r="F970" s="2" t="s">
        <v>15</v>
      </c>
      <c r="G970" s="2" t="s">
        <v>719</v>
      </c>
      <c r="H970" s="2" t="s">
        <v>39</v>
      </c>
      <c r="I970" s="2" t="str">
        <f>IFERROR(__xludf.DUMMYFUNCTION("GOOGLETRANSLATE(C970,""fr"",""en"")"),"I am satisfied with the service and level of the price despite my penalty they remain reasonable and in addition to subscribe online it is very fast and very easy to do when we have used")</f>
        <v>I am satisfied with the service and level of the price despite my penalty they remain reasonable and in addition to subscribe online it is very fast and very easy to do when we have used</v>
      </c>
    </row>
    <row r="971" ht="15.75" customHeight="1">
      <c r="A971" s="2">
        <v>3.0</v>
      </c>
      <c r="B971" s="2" t="s">
        <v>2664</v>
      </c>
      <c r="C971" s="2" t="s">
        <v>2665</v>
      </c>
      <c r="D971" s="2" t="s">
        <v>926</v>
      </c>
      <c r="E971" s="2" t="s">
        <v>14</v>
      </c>
      <c r="F971" s="2" t="s">
        <v>15</v>
      </c>
      <c r="G971" s="2" t="s">
        <v>192</v>
      </c>
      <c r="H971" s="2" t="s">
        <v>193</v>
      </c>
      <c r="I971" s="2" t="str">
        <f>IFERROR(__xludf.DUMMYFUNCTION("GOOGLETRANSLATE(C971,""fr"",""en"")"),"Loading...")</f>
        <v>Loading...</v>
      </c>
    </row>
    <row r="972" ht="15.75" customHeight="1">
      <c r="A972" s="2">
        <v>2.0</v>
      </c>
      <c r="B972" s="2" t="s">
        <v>2666</v>
      </c>
      <c r="C972" s="2" t="s">
        <v>2667</v>
      </c>
      <c r="D972" s="2" t="s">
        <v>159</v>
      </c>
      <c r="E972" s="2" t="s">
        <v>21</v>
      </c>
      <c r="F972" s="2" t="s">
        <v>15</v>
      </c>
      <c r="G972" s="2" t="s">
        <v>2668</v>
      </c>
      <c r="H972" s="2" t="s">
        <v>300</v>
      </c>
      <c r="I972" s="2" t="str">
        <f>IFERROR(__xludf.DUMMYFUNCTION("GOOGLETRANSLATE(C972,""fr"",""en"")"),"I had a break of ice and 2 material accidents which I challenged my responsibility by entering the mediator")</f>
        <v>I had a break of ice and 2 material accidents which I challenged my responsibility by entering the mediator</v>
      </c>
    </row>
    <row r="973" ht="15.75" customHeight="1">
      <c r="A973" s="2">
        <v>4.0</v>
      </c>
      <c r="B973" s="2" t="s">
        <v>2669</v>
      </c>
      <c r="C973" s="2" t="s">
        <v>2670</v>
      </c>
      <c r="D973" s="2" t="s">
        <v>62</v>
      </c>
      <c r="E973" s="2" t="s">
        <v>21</v>
      </c>
      <c r="F973" s="2" t="s">
        <v>15</v>
      </c>
      <c r="G973" s="2" t="s">
        <v>126</v>
      </c>
      <c r="H973" s="2" t="s">
        <v>44</v>
      </c>
      <c r="I973" s="2" t="str">
        <f>IFERROR(__xludf.DUMMYFUNCTION("GOOGLETRANSLATE(C973,""fr"",""en"")"),"Loading...")</f>
        <v>Loading...</v>
      </c>
    </row>
    <row r="974" ht="15.75" customHeight="1">
      <c r="A974" s="2">
        <v>5.0</v>
      </c>
      <c r="B974" s="2" t="s">
        <v>2671</v>
      </c>
      <c r="C974" s="2" t="s">
        <v>2672</v>
      </c>
      <c r="D974" s="2" t="s">
        <v>183</v>
      </c>
      <c r="E974" s="2" t="s">
        <v>14</v>
      </c>
      <c r="F974" s="2" t="s">
        <v>15</v>
      </c>
      <c r="G974" s="2" t="s">
        <v>184</v>
      </c>
      <c r="H974" s="2" t="s">
        <v>185</v>
      </c>
      <c r="I974" s="2" t="str">
        <f>IFERROR(__xludf.DUMMYFUNCTION("GOOGLETRANSLATE(C974,""fr"",""en"")"),"Erika was very responsive and answered all my questions without any concern. We were cutting she reminded me immediately.")</f>
        <v>Erika was very responsive and answered all my questions without any concern. We were cutting she reminded me immediately.</v>
      </c>
    </row>
    <row r="975" ht="15.75" customHeight="1">
      <c r="A975" s="2">
        <v>1.0</v>
      </c>
      <c r="B975" s="2" t="s">
        <v>2673</v>
      </c>
      <c r="C975" s="2" t="s">
        <v>2674</v>
      </c>
      <c r="D975" s="2" t="s">
        <v>31</v>
      </c>
      <c r="E975" s="2" t="s">
        <v>32</v>
      </c>
      <c r="F975" s="2" t="s">
        <v>15</v>
      </c>
      <c r="G975" s="2" t="s">
        <v>543</v>
      </c>
      <c r="H975" s="2" t="s">
        <v>544</v>
      </c>
      <c r="I975" s="2" t="str">
        <f>IFERROR(__xludf.DUMMYFUNCTION("GOOGLETRANSLATE(C975,""fr"",""en"")")," 
Big error on my part of having wanted to insure my motorcycle at April Moto, to be avoided absolutely.
45 days to receive the final green card is long too long. I have not used my motorcycle since July 4 day of the subscription of the fear of fear o"&amp;"f not being properly assured and above all do not take any risk.
I hope to be able to terminate my contract as soon as possible and be reimbursed in full.
It is very complicated to have someone competent on the phone and it's been a week since I wai"&amp;"t to be reminded to explain to me. Not very serious all that.")</f>
        <v> 
Big error on my part of having wanted to insure my motorcycle at April Moto, to be avoided absolutely.
45 days to receive the final green card is long too long. I have not used my motorcycle since July 4 day of the subscription of the fear of fear of not being properly assured and above all do not take any risk.
I hope to be able to terminate my contract as soon as possible and be reimbursed in full.
It is very complicated to have someone competent on the phone and it's been a week since I wait to be reminded to explain to me. Not very serious all that.</v>
      </c>
    </row>
    <row r="976" ht="15.75" customHeight="1">
      <c r="A976" s="2">
        <v>2.0</v>
      </c>
      <c r="B976" s="2" t="s">
        <v>2675</v>
      </c>
      <c r="C976" s="2" t="s">
        <v>2676</v>
      </c>
      <c r="D976" s="2" t="s">
        <v>183</v>
      </c>
      <c r="E976" s="2" t="s">
        <v>14</v>
      </c>
      <c r="F976" s="2" t="s">
        <v>15</v>
      </c>
      <c r="G976" s="2" t="s">
        <v>2677</v>
      </c>
      <c r="H976" s="2" t="s">
        <v>429</v>
      </c>
      <c r="I976" s="2" t="str">
        <f>IFERROR(__xludf.DUMMYFUNCTION("GOOGLETRANSLATE(C976,""fr"",""en"")"),"I do not understand. Several brokers and never the good interlocutor. Neoliane customer service never responds, neither on the phone or messages transmitted via the form. Refunds following CPAM counts transmitted via the site are very long ... lack of cla"&amp;"rity and transparency. Patience!")</f>
        <v>I do not understand. Several brokers and never the good interlocutor. Neoliane customer service never responds, neither on the phone or messages transmitted via the form. Refunds following CPAM counts transmitted via the site are very long ... lack of clarity and transparency. Patience!</v>
      </c>
    </row>
    <row r="977" ht="15.75" customHeight="1">
      <c r="A977" s="2">
        <v>5.0</v>
      </c>
      <c r="B977" s="2" t="s">
        <v>2678</v>
      </c>
      <c r="C977" s="2" t="s">
        <v>2679</v>
      </c>
      <c r="D977" s="2" t="s">
        <v>42</v>
      </c>
      <c r="E977" s="2" t="s">
        <v>21</v>
      </c>
      <c r="F977" s="2" t="s">
        <v>15</v>
      </c>
      <c r="G977" s="2" t="s">
        <v>2375</v>
      </c>
      <c r="H977" s="2" t="s">
        <v>39</v>
      </c>
      <c r="I977" s="2" t="str">
        <f>IFERROR(__xludf.DUMMYFUNCTION("GOOGLETRANSLATE(C977,""fr"",""en"")"),"Loading...")</f>
        <v>Loading...</v>
      </c>
    </row>
    <row r="978" ht="15.75" customHeight="1">
      <c r="A978" s="2">
        <v>5.0</v>
      </c>
      <c r="B978" s="2" t="s">
        <v>2680</v>
      </c>
      <c r="C978" s="2" t="s">
        <v>2681</v>
      </c>
      <c r="D978" s="2" t="s">
        <v>42</v>
      </c>
      <c r="E978" s="2" t="s">
        <v>21</v>
      </c>
      <c r="F978" s="2" t="s">
        <v>15</v>
      </c>
      <c r="G978" s="2" t="s">
        <v>1633</v>
      </c>
      <c r="H978" s="2" t="s">
        <v>123</v>
      </c>
      <c r="I978" s="2" t="str">
        <f>IFERROR(__xludf.DUMMYFUNCTION("GOOGLETRANSLATE(C978,""fr"",""en"")"),"Very happy for the moment (start of our contract); It remains to be seen if we arrive at a disaster the responsiveness of the teams of the Insurance Olivier :)
So at the moment, at the top!")</f>
        <v>Very happy for the moment (start of our contract); It remains to be seen if we arrive at a disaster the responsiveness of the teams of the Insurance Olivier :)
So at the moment, at the top!</v>
      </c>
    </row>
    <row r="979" ht="15.75" customHeight="1">
      <c r="A979" s="2">
        <v>5.0</v>
      </c>
      <c r="B979" s="2" t="s">
        <v>2682</v>
      </c>
      <c r="C979" s="2" t="s">
        <v>2683</v>
      </c>
      <c r="D979" s="2" t="s">
        <v>62</v>
      </c>
      <c r="E979" s="2" t="s">
        <v>21</v>
      </c>
      <c r="F979" s="2" t="s">
        <v>15</v>
      </c>
      <c r="G979" s="2" t="s">
        <v>307</v>
      </c>
      <c r="H979" s="2" t="s">
        <v>64</v>
      </c>
      <c r="I979" s="2" t="str">
        <f>IFERROR(__xludf.DUMMYFUNCTION("GOOGLETRANSLATE(C979,""fr"",""en"")"),"I am satisfied with the information and the result I would recommend you to friends to take insurance at home in addition at the price is correct")</f>
        <v>I am satisfied with the information and the result I would recommend you to friends to take insurance at home in addition at the price is correct</v>
      </c>
    </row>
    <row r="980" ht="15.75" customHeight="1">
      <c r="A980" s="2">
        <v>5.0</v>
      </c>
      <c r="B980" s="2" t="s">
        <v>2684</v>
      </c>
      <c r="C980" s="2" t="s">
        <v>2685</v>
      </c>
      <c r="D980" s="2" t="s">
        <v>62</v>
      </c>
      <c r="E980" s="2" t="s">
        <v>21</v>
      </c>
      <c r="F980" s="2" t="s">
        <v>15</v>
      </c>
      <c r="G980" s="2" t="s">
        <v>2415</v>
      </c>
      <c r="H980" s="2" t="s">
        <v>44</v>
      </c>
      <c r="I980" s="2" t="str">
        <f>IFERROR(__xludf.DUMMYFUNCTION("GOOGLETRANSLATE(C980,""fr"",""en"")"),"I am satisfied with the speed of the service, the price is very interesting, I am really happy. I recommend 1000% direct insurance. Top Service")</f>
        <v>I am satisfied with the speed of the service, the price is very interesting, I am really happy. I recommend 1000% direct insurance. Top Service</v>
      </c>
    </row>
    <row r="981" ht="15.75" customHeight="1">
      <c r="A981" s="2">
        <v>5.0</v>
      </c>
      <c r="B981" s="2" t="s">
        <v>2686</v>
      </c>
      <c r="C981" s="2" t="s">
        <v>2687</v>
      </c>
      <c r="D981" s="2" t="s">
        <v>274</v>
      </c>
      <c r="E981" s="2" t="s">
        <v>104</v>
      </c>
      <c r="F981" s="2" t="s">
        <v>15</v>
      </c>
      <c r="G981" s="2" t="s">
        <v>72</v>
      </c>
      <c r="H981" s="2" t="s">
        <v>72</v>
      </c>
      <c r="I981" s="2" t="str">
        <f>IFERROR(__xludf.DUMMYFUNCTION("GOOGLETRANSLATE(C981,""fr"",""en"")"),"Loading...")</f>
        <v>Loading...</v>
      </c>
    </row>
    <row r="982" ht="15.75" customHeight="1">
      <c r="A982" s="2">
        <v>2.0</v>
      </c>
      <c r="B982" s="2" t="s">
        <v>2688</v>
      </c>
      <c r="C982" s="2" t="s">
        <v>2689</v>
      </c>
      <c r="D982" s="2" t="s">
        <v>42</v>
      </c>
      <c r="E982" s="2" t="s">
        <v>21</v>
      </c>
      <c r="F982" s="2" t="s">
        <v>15</v>
      </c>
      <c r="G982" s="2" t="s">
        <v>2690</v>
      </c>
      <c r="H982" s="2" t="s">
        <v>106</v>
      </c>
      <c r="I982" s="2" t="str">
        <f>IFERROR(__xludf.DUMMYFUNCTION("GOOGLETRANSLATE(C982,""fr"",""en"")")," They asked me to pay them a deposit when I subscribed to their service to ensure a possible automotive purchase which was to be a reality within 6 days, excluding the purchase of the vehicle in question did not take place And they kept 1/3 of the deposit"&amp;" that I had placed on them on the pretext that their contract had taken effect before the purchase of the vehicle.
It is absurd they price me money for a vehicle that does not belong to me and that I do not have!")</f>
        <v> They asked me to pay them a deposit when I subscribed to their service to ensure a possible automotive purchase which was to be a reality within 6 days, excluding the purchase of the vehicle in question did not take place And they kept 1/3 of the deposit that I had placed on them on the pretext that their contract had taken effect before the purchase of the vehicle.
It is absurd they price me money for a vehicle that does not belong to me and that I do not have!</v>
      </c>
    </row>
    <row r="983" ht="15.75" customHeight="1">
      <c r="A983" s="2">
        <v>3.0</v>
      </c>
      <c r="B983" s="2" t="s">
        <v>2691</v>
      </c>
      <c r="C983" s="2" t="s">
        <v>2692</v>
      </c>
      <c r="D983" s="2" t="s">
        <v>31</v>
      </c>
      <c r="E983" s="2" t="s">
        <v>32</v>
      </c>
      <c r="F983" s="2" t="s">
        <v>15</v>
      </c>
      <c r="G983" s="2" t="s">
        <v>1180</v>
      </c>
      <c r="H983" s="2" t="s">
        <v>39</v>
      </c>
      <c r="I983" s="2" t="str">
        <f>IFERROR(__xludf.DUMMYFUNCTION("GOOGLETRANSLATE(C983,""fr"",""en"")"),"Ok it goes we will see in the long term, watch out for your scooter on Marseille it's not lol, protect you when you are on two wheels it's super important")</f>
        <v>Ok it goes we will see in the long term, watch out for your scooter on Marseille it's not lol, protect you when you are on two wheels it's super important</v>
      </c>
    </row>
    <row r="984" ht="15.75" customHeight="1">
      <c r="A984" s="2">
        <v>1.0</v>
      </c>
      <c r="B984" s="2" t="s">
        <v>2693</v>
      </c>
      <c r="C984" s="2" t="s">
        <v>2694</v>
      </c>
      <c r="D984" s="2" t="s">
        <v>42</v>
      </c>
      <c r="E984" s="2" t="s">
        <v>21</v>
      </c>
      <c r="F984" s="2" t="s">
        <v>15</v>
      </c>
      <c r="G984" s="2" t="s">
        <v>2695</v>
      </c>
      <c r="H984" s="2" t="s">
        <v>59</v>
      </c>
      <c r="I984" s="2" t="str">
        <f>IFERROR(__xludf.DUMMYFUNCTION("GOOGLETRANSLATE(C984,""fr"",""en"")"),"To flee !
Dedicated me 300 euros more, supposedly by mistake,
And I had to fight for a while, without always being able to recover this money,
The rest will end in justice ...
A shame !
")</f>
        <v>To flee !
Dedicated me 300 euros more, supposedly by mistake,
And I had to fight for a while, without always being able to recover this money,
The rest will end in justice ...
A shame !
</v>
      </c>
    </row>
    <row r="985" ht="15.75" customHeight="1">
      <c r="A985" s="2">
        <v>1.0</v>
      </c>
      <c r="B985" s="2" t="s">
        <v>2696</v>
      </c>
      <c r="C985" s="2" t="s">
        <v>2697</v>
      </c>
      <c r="D985" s="2" t="s">
        <v>37</v>
      </c>
      <c r="E985" s="2" t="s">
        <v>14</v>
      </c>
      <c r="F985" s="2" t="s">
        <v>15</v>
      </c>
      <c r="G985" s="2" t="s">
        <v>2698</v>
      </c>
      <c r="H985" s="2" t="s">
        <v>716</v>
      </c>
      <c r="I985" s="2" t="str">
        <f>IFERROR(__xludf.DUMMYFUNCTION("GOOGLETRANSLATE(C985,""fr"",""en"")"),"To flee very quickly. They tell you by phone that your care is well taken care of and once they have passed they refuse to take care of.
And for the care supported you are waiting for more than 2 months for the reimbursement finally I am still waiting")</f>
        <v>To flee very quickly. They tell you by phone that your care is well taken care of and once they have passed they refuse to take care of.
And for the care supported you are waiting for more than 2 months for the reimbursement finally I am still waiting</v>
      </c>
    </row>
    <row r="986" ht="15.75" customHeight="1">
      <c r="A986" s="2">
        <v>2.0</v>
      </c>
      <c r="B986" s="2" t="s">
        <v>2699</v>
      </c>
      <c r="C986" s="2" t="s">
        <v>2700</v>
      </c>
      <c r="D986" s="2" t="s">
        <v>137</v>
      </c>
      <c r="E986" s="2" t="s">
        <v>21</v>
      </c>
      <c r="F986" s="2" t="s">
        <v>15</v>
      </c>
      <c r="G986" s="2" t="s">
        <v>1763</v>
      </c>
      <c r="H986" s="2" t="s">
        <v>304</v>
      </c>
      <c r="I986" s="2" t="str">
        <f>IFERROR(__xludf.DUMMYFUNCTION("GOOGLETRANSLATE(C986,""fr"",""en"")"),"Very badly received during a request for a breakdown 0 km included in my contract by the claim service by accusing me of having taken a repairer 30 km from my home (my mechanic for years) and that next time I pay attention to 1st times I have been using m"&amp;"y insurance for two years")</f>
        <v>Very badly received during a request for a breakdown 0 km included in my contract by the claim service by accusing me of having taken a repairer 30 km from my home (my mechanic for years) and that next time I pay attention to 1st times I have been using my insurance for two years</v>
      </c>
    </row>
    <row r="987" ht="15.75" customHeight="1">
      <c r="A987" s="2">
        <v>3.0</v>
      </c>
      <c r="B987" s="2" t="s">
        <v>2701</v>
      </c>
      <c r="C987" s="2" t="s">
        <v>2702</v>
      </c>
      <c r="D987" s="2" t="s">
        <v>37</v>
      </c>
      <c r="E987" s="2" t="s">
        <v>14</v>
      </c>
      <c r="F987" s="2" t="s">
        <v>15</v>
      </c>
      <c r="G987" s="2" t="s">
        <v>1888</v>
      </c>
      <c r="H987" s="2" t="s">
        <v>957</v>
      </c>
      <c r="I987" s="2" t="str">
        <f>IFERROR(__xludf.DUMMYFUNCTION("GOOGLETRANSLATE(C987,""fr"",""en"")"),"Loading...")</f>
        <v>Loading...</v>
      </c>
    </row>
    <row r="988" ht="15.75" customHeight="1">
      <c r="A988" s="2">
        <v>4.0</v>
      </c>
      <c r="B988" s="2" t="s">
        <v>2703</v>
      </c>
      <c r="C988" s="2" t="s">
        <v>2704</v>
      </c>
      <c r="D988" s="2" t="s">
        <v>210</v>
      </c>
      <c r="E988" s="2" t="s">
        <v>14</v>
      </c>
      <c r="F988" s="2" t="s">
        <v>15</v>
      </c>
      <c r="G988" s="2" t="s">
        <v>1743</v>
      </c>
      <c r="H988" s="2" t="s">
        <v>266</v>
      </c>
      <c r="I988" s="2" t="str">
        <f>IFERROR(__xludf.DUMMYFUNCTION("GOOGLETRANSLATE(C988,""fr"",""en"")"),"I am retired not to complain about these understandable service and do are possible to satisfy customers on their friendly personal requests and reactive on the phone")</f>
        <v>I am retired not to complain about these understandable service and do are possible to satisfy customers on their friendly personal requests and reactive on the phone</v>
      </c>
    </row>
    <row r="989" ht="15.75" customHeight="1">
      <c r="A989" s="2">
        <v>1.0</v>
      </c>
      <c r="B989" s="2" t="s">
        <v>2705</v>
      </c>
      <c r="C989" s="2" t="s">
        <v>2706</v>
      </c>
      <c r="D989" s="2" t="s">
        <v>250</v>
      </c>
      <c r="E989" s="2" t="s">
        <v>21</v>
      </c>
      <c r="F989" s="2" t="s">
        <v>15</v>
      </c>
      <c r="G989" s="2" t="s">
        <v>22</v>
      </c>
      <c r="H989" s="2" t="s">
        <v>23</v>
      </c>
      <c r="I989" s="2" t="str">
        <f>IFERROR(__xludf.DUMMYFUNCTION("GOOGLETRANSLATE(C989,""fr"",""en"")"),"I am not the type to write a comment, but the quality of customer service really leaves something to be desired. As much as we can come across a qualified person who knows his job and who seeks to help you as much today when declaring a non -responsible s"&amp;"elf -listed I came across a very unpleasant person: who is not trying to solve the problem. I first went to an agency to make my declaration as a claim, but the reception informed me that I had to make my declaration by phone. I call and I fall on the wor"&amp;"st advisor. Already this person complains of not having the amicable observation that I obviously filed in agency, then records the disaster with bad will. I have already had problems with car insurance but I never thought of changing the company. But it'"&amp;"s over, I change my auto insurance company. Again you should not put people in the same bag but the way I was treated with this advisor will have helped me take the plunge.
I do not advise to take this insurance")</f>
        <v>I am not the type to write a comment, but the quality of customer service really leaves something to be desired. As much as we can come across a qualified person who knows his job and who seeks to help you as much today when declaring a non -responsible self -listed I came across a very unpleasant person: who is not trying to solve the problem. I first went to an agency to make my declaration as a claim, but the reception informed me that I had to make my declaration by phone. I call and I fall on the worst advisor. Already this person complains of not having the amicable observation that I obviously filed in agency, then records the disaster with bad will. I have already had problems with car insurance but I never thought of changing the company. But it's over, I change my auto insurance company. Again you should not put people in the same bag but the way I was treated with this advisor will have helped me take the plunge.
I do not advise to take this insurance</v>
      </c>
    </row>
    <row r="990" ht="15.75" customHeight="1">
      <c r="A990" s="2">
        <v>4.0</v>
      </c>
      <c r="B990" s="2" t="s">
        <v>2707</v>
      </c>
      <c r="C990" s="2" t="s">
        <v>2708</v>
      </c>
      <c r="D990" s="2" t="s">
        <v>42</v>
      </c>
      <c r="E990" s="2" t="s">
        <v>21</v>
      </c>
      <c r="F990" s="2" t="s">
        <v>15</v>
      </c>
      <c r="G990" s="2" t="s">
        <v>44</v>
      </c>
      <c r="H990" s="2" t="s">
        <v>44</v>
      </c>
      <c r="I990" s="2" t="str">
        <f>IFERROR(__xludf.DUMMYFUNCTION("GOOGLETRANSLATE(C990,""fr"",""en"")"),"I am satisfied with this service which is fast, reliable and affordable.
Everything was done correctly without the slightest major concern to note.
I recommend")</f>
        <v>I am satisfied with this service which is fast, reliable and affordable.
Everything was done correctly without the slightest major concern to note.
I recommend</v>
      </c>
    </row>
    <row r="991" ht="15.75" customHeight="1">
      <c r="A991" s="2">
        <v>5.0</v>
      </c>
      <c r="B991" s="2" t="s">
        <v>2709</v>
      </c>
      <c r="C991" s="2" t="s">
        <v>2710</v>
      </c>
      <c r="D991" s="2" t="s">
        <v>42</v>
      </c>
      <c r="E991" s="2" t="s">
        <v>21</v>
      </c>
      <c r="F991" s="2" t="s">
        <v>15</v>
      </c>
      <c r="G991" s="2" t="s">
        <v>1043</v>
      </c>
      <c r="H991" s="2" t="s">
        <v>44</v>
      </c>
      <c r="I991" s="2" t="str">
        <f>IFERROR(__xludf.DUMMYFUNCTION("GOOGLETRANSLATE(C991,""fr"",""en"")"),"I am satisfied and I will be going to my family colleagues work colleagues my new sisters my children my brothers niece cousin because I am very satisfied")</f>
        <v>I am satisfied and I will be going to my family colleagues work colleagues my new sisters my children my brothers niece cousin because I am very satisfied</v>
      </c>
    </row>
    <row r="992" ht="15.75" customHeight="1">
      <c r="A992" s="2">
        <v>3.0</v>
      </c>
      <c r="B992" s="2" t="s">
        <v>2711</v>
      </c>
      <c r="C992" s="2" t="s">
        <v>2712</v>
      </c>
      <c r="D992" s="2" t="s">
        <v>62</v>
      </c>
      <c r="E992" s="2" t="s">
        <v>129</v>
      </c>
      <c r="F992" s="2" t="s">
        <v>15</v>
      </c>
      <c r="G992" s="2" t="s">
        <v>2713</v>
      </c>
      <c r="H992" s="2" t="s">
        <v>252</v>
      </c>
      <c r="I992" s="2" t="str">
        <f>IFERROR(__xludf.DUMMYFUNCTION("GOOGLETRANSLATE(C992,""fr"",""en"")"),"Satisfied. The price is slightly lower than my current contact. I was thinking of getting better given that I am already a customer of car insurance at home.")</f>
        <v>Satisfied. The price is slightly lower than my current contact. I was thinking of getting better given that I am already a customer of car insurance at home.</v>
      </c>
    </row>
    <row r="993" ht="15.75" customHeight="1">
      <c r="A993" s="2">
        <v>4.0</v>
      </c>
      <c r="B993" s="2" t="s">
        <v>2714</v>
      </c>
      <c r="C993" s="2" t="s">
        <v>2715</v>
      </c>
      <c r="D993" s="2" t="s">
        <v>42</v>
      </c>
      <c r="E993" s="2" t="s">
        <v>21</v>
      </c>
      <c r="F993" s="2" t="s">
        <v>15</v>
      </c>
      <c r="G993" s="2" t="s">
        <v>1972</v>
      </c>
      <c r="H993" s="2" t="s">
        <v>72</v>
      </c>
      <c r="I993" s="2" t="str">
        <f>IFERROR(__xludf.DUMMYFUNCTION("GOOGLETRANSLATE(C993,""fr"",""en"")"),"Loading...")</f>
        <v>Loading...</v>
      </c>
    </row>
    <row r="994" ht="15.75" customHeight="1">
      <c r="A994" s="2">
        <v>1.0</v>
      </c>
      <c r="B994" s="2" t="s">
        <v>2716</v>
      </c>
      <c r="C994" s="2" t="s">
        <v>2717</v>
      </c>
      <c r="D994" s="2" t="s">
        <v>42</v>
      </c>
      <c r="E994" s="2" t="s">
        <v>21</v>
      </c>
      <c r="F994" s="2" t="s">
        <v>15</v>
      </c>
      <c r="G994" s="2" t="s">
        <v>2718</v>
      </c>
      <c r="H994" s="2" t="s">
        <v>50</v>
      </c>
      <c r="I994" s="2" t="str">
        <f>IFERROR(__xludf.DUMMYFUNCTION("GOOGLETRANSLATE(C994,""fr"",""en"")"),"I do not recommend this insurance
They are good in speech my does not ensure the continuation I do not recommend having a claim no follow -up lack of professionalism, incompetence, file not followed by seriousness.
I have no more cases that we have to c"&amp;"arry your incompetence before the Commercial Court I will also fail to file a complaint for false advertising lead the competent authorities
")</f>
        <v>I do not recommend this insurance
They are good in speech my does not ensure the continuation I do not recommend having a claim no follow -up lack of professionalism, incompetence, file not followed by seriousness.
I have no more cases that we have to carry your incompetence before the Commercial Court I will also fail to file a complaint for false advertising lead the competent authorities
</v>
      </c>
    </row>
    <row r="995" ht="15.75" customHeight="1">
      <c r="A995" s="2">
        <v>1.0</v>
      </c>
      <c r="B995" s="2" t="s">
        <v>2719</v>
      </c>
      <c r="C995" s="2" t="s">
        <v>2720</v>
      </c>
      <c r="D995" s="2" t="s">
        <v>37</v>
      </c>
      <c r="E995" s="2" t="s">
        <v>14</v>
      </c>
      <c r="F995" s="2" t="s">
        <v>15</v>
      </c>
      <c r="G995" s="2" t="s">
        <v>2721</v>
      </c>
      <c r="H995" s="2" t="s">
        <v>50</v>
      </c>
      <c r="I995" s="2" t="str">
        <f>IFERROR(__xludf.DUMMYFUNCTION("GOOGLETRANSLATE(C995,""fr"",""en"")"),"Chere, is like many insurance, no way of knowing the reimbursements to which we have rights?
bcp of explanations where we do not understand anything at all!
Example: I went to Ophtalmo I pay € 45, padding with security and April in the € 39, from my poc"&amp;"ket € 6?
In addition for the year 2021 increase of more than € 45, thank you for these gifts.")</f>
        <v>Chere, is like many insurance, no way of knowing the reimbursements to which we have rights?
bcp of explanations where we do not understand anything at all!
Example: I went to Ophtalmo I pay € 45, padding with security and April in the € 39, from my pocket € 6?
In addition for the year 2021 increase of more than € 45, thank you for these gifts.</v>
      </c>
    </row>
    <row r="996" ht="15.75" customHeight="1">
      <c r="A996" s="2">
        <v>1.0</v>
      </c>
      <c r="B996" s="2" t="s">
        <v>2722</v>
      </c>
      <c r="C996" s="2" t="s">
        <v>2723</v>
      </c>
      <c r="D996" s="2" t="s">
        <v>183</v>
      </c>
      <c r="E996" s="2" t="s">
        <v>14</v>
      </c>
      <c r="F996" s="2" t="s">
        <v>15</v>
      </c>
      <c r="G996" s="2" t="s">
        <v>2724</v>
      </c>
      <c r="H996" s="2" t="s">
        <v>300</v>
      </c>
      <c r="I996" s="2" t="str">
        <f>IFERROR(__xludf.DUMMYFUNCTION("GOOGLETRANSLATE(C996,""fr"",""en"")"),"Very unhappy! The guarantees are not kept, contract made by phone, telephone pole of no level! Where are the ""real"" advised who know their job ?? We have subscribed to daily compensation insurance in the event of hospitalizations, my husband is made on "&amp;"28/11/2017, we provided all the documents ""3"" times, we are 9/04/2018 and still nothing Despite our daily reminders !! We therefore contact the defense of the consumer!")</f>
        <v>Very unhappy! The guarantees are not kept, contract made by phone, telephone pole of no level! Where are the "real" advised who know their job ?? We have subscribed to daily compensation insurance in the event of hospitalizations, my husband is made on 28/11/2017, we provided all the documents "3" times, we are 9/04/2018 and still nothing Despite our daily reminders !! We therefore contact the defense of the consumer!</v>
      </c>
    </row>
    <row r="997" ht="15.75" customHeight="1">
      <c r="A997" s="2">
        <v>2.0</v>
      </c>
      <c r="B997" s="2" t="s">
        <v>2725</v>
      </c>
      <c r="C997" s="2" t="s">
        <v>2726</v>
      </c>
      <c r="D997" s="2" t="s">
        <v>89</v>
      </c>
      <c r="E997" s="2" t="s">
        <v>90</v>
      </c>
      <c r="F997" s="2" t="s">
        <v>15</v>
      </c>
      <c r="G997" s="2" t="s">
        <v>2727</v>
      </c>
      <c r="H997" s="2" t="s">
        <v>276</v>
      </c>
      <c r="I997" s="2" t="str">
        <f>IFERROR(__xludf.DUMMYFUNCTION("GOOGLETRANSLATE(C997,""fr"",""en"")"),"Loading...")</f>
        <v>Loading...</v>
      </c>
    </row>
    <row r="998" ht="15.75" customHeight="1">
      <c r="A998" s="2">
        <v>3.0</v>
      </c>
      <c r="B998" s="2" t="s">
        <v>2728</v>
      </c>
      <c r="C998" s="2" t="s">
        <v>2729</v>
      </c>
      <c r="D998" s="2" t="s">
        <v>42</v>
      </c>
      <c r="E998" s="2" t="s">
        <v>21</v>
      </c>
      <c r="F998" s="2" t="s">
        <v>15</v>
      </c>
      <c r="G998" s="2" t="s">
        <v>2378</v>
      </c>
      <c r="H998" s="2" t="s">
        <v>957</v>
      </c>
      <c r="I998" s="2" t="str">
        <f>IFERROR(__xludf.DUMMYFUNCTION("GOOGLETRANSLATE(C998,""fr"",""en"")"),"I am very satisfied, you are fast and efficient and always listening to your customers and very responsive on the phone I recommend you without problem")</f>
        <v>I am very satisfied, you are fast and efficient and always listening to your customers and very responsive on the phone I recommend you without problem</v>
      </c>
    </row>
    <row r="999" ht="15.75" customHeight="1">
      <c r="A999" s="2">
        <v>1.0</v>
      </c>
      <c r="B999" s="2" t="s">
        <v>2730</v>
      </c>
      <c r="C999" s="2" t="s">
        <v>2731</v>
      </c>
      <c r="D999" s="2" t="s">
        <v>81</v>
      </c>
      <c r="E999" s="2" t="s">
        <v>14</v>
      </c>
      <c r="F999" s="2" t="s">
        <v>15</v>
      </c>
      <c r="G999" s="2" t="s">
        <v>704</v>
      </c>
      <c r="H999" s="2" t="s">
        <v>34</v>
      </c>
      <c r="I999" s="2" t="str">
        <f>IFERROR(__xludf.DUMMYFUNCTION("GOOGLETRANSLATE(C999,""fr"",""en"")"),"More than 4 months that I fight to liquidate my additional retirement.
No way to reach the service by phone. Treatment time for long complaints ...
Ping pong of emails without having seen a sub -of my retirement savings")</f>
        <v>More than 4 months that I fight to liquidate my additional retirement.
No way to reach the service by phone. Treatment time for long complaints ...
Ping pong of emails without having seen a sub -of my retirement savings</v>
      </c>
    </row>
    <row r="1000" ht="15.75" customHeight="1">
      <c r="A1000" s="2">
        <v>3.0</v>
      </c>
      <c r="B1000" s="2" t="s">
        <v>2732</v>
      </c>
      <c r="C1000" s="2" t="s">
        <v>2733</v>
      </c>
      <c r="D1000" s="2" t="s">
        <v>183</v>
      </c>
      <c r="E1000" s="2" t="s">
        <v>14</v>
      </c>
      <c r="F1000" s="2" t="s">
        <v>15</v>
      </c>
      <c r="G1000" s="2" t="s">
        <v>2734</v>
      </c>
      <c r="H1000" s="2" t="s">
        <v>824</v>
      </c>
      <c r="I1000" s="2" t="str">
        <f>IFERROR(__xludf.DUMMYFUNCTION("GOOGLETRANSLATE(C1000,""fr"",""en"")"),"Revision of prices without needing to ask, understandable explanations, sympathy of stakeholders")</f>
        <v>Revision of prices without needing to ask, understandable explanations, sympathy of stakeholders</v>
      </c>
    </row>
    <row r="1001" ht="15.75" customHeight="1">
      <c r="A1001" s="2">
        <v>5.0</v>
      </c>
      <c r="B1001" s="2" t="s">
        <v>2735</v>
      </c>
      <c r="C1001" s="2" t="s">
        <v>2736</v>
      </c>
      <c r="D1001" s="2" t="s">
        <v>62</v>
      </c>
      <c r="E1001" s="2" t="s">
        <v>21</v>
      </c>
      <c r="F1001" s="2" t="s">
        <v>15</v>
      </c>
      <c r="G1001" s="2" t="s">
        <v>1113</v>
      </c>
      <c r="H1001" s="2" t="s">
        <v>59</v>
      </c>
      <c r="I1001" s="2" t="str">
        <f>IFERROR(__xludf.DUMMYFUNCTION("GOOGLETRANSLATE(C1001,""fr"",""en"")"),"Loading...")</f>
        <v>Loading...</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2022-12-16T15:48:26Z</dcterms:created>
</cp:coreProperties>
</file>