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hu4Cv6qdEGXm9W4VMsK6eDZ8J3og=="/>
    </ext>
  </extLst>
</workbook>
</file>

<file path=xl/sharedStrings.xml><?xml version="1.0" encoding="utf-8"?>
<sst xmlns="http://schemas.openxmlformats.org/spreadsheetml/2006/main" count="7011" uniqueCount="2746">
  <si>
    <t>note</t>
  </si>
  <si>
    <t>auteur</t>
  </si>
  <si>
    <t>avis</t>
  </si>
  <si>
    <t>assureur</t>
  </si>
  <si>
    <t>produit</t>
  </si>
  <si>
    <t>type</t>
  </si>
  <si>
    <t>date_publication</t>
  </si>
  <si>
    <t>date_exp</t>
  </si>
  <si>
    <t>avis_en</t>
  </si>
  <si>
    <t>avis_cor</t>
  </si>
  <si>
    <t>avis_cor_en</t>
  </si>
  <si>
    <t>robtap-97752</t>
  </si>
  <si>
    <t>Assuré depuis décembre 2019, j’ai sollicité 3 fois cette assurance, cela s’est bien passé, à l’intérieur des conditions contractuelles.
Je recommande.</t>
  </si>
  <si>
    <t>Assur O'Poil</t>
  </si>
  <si>
    <t>animaux</t>
  </si>
  <si>
    <t>train</t>
  </si>
  <si>
    <t>23/09/2020</t>
  </si>
  <si>
    <t>01/09/2020</t>
  </si>
  <si>
    <t>guy-agostini-52035</t>
  </si>
  <si>
    <t>Aucun problème avec cette assurance mais peu de renseignements sur certains produit ou si seulement ils existent</t>
  </si>
  <si>
    <t>MAIF</t>
  </si>
  <si>
    <t>auto</t>
  </si>
  <si>
    <t>04/02/2017</t>
  </si>
  <si>
    <t>01/02/2017</t>
  </si>
  <si>
    <t>guillaume-s-127508</t>
  </si>
  <si>
    <t>Tres bon service d'Imane, très professionnelle et disponible. Je recommande.
Tres bon service d'Imane, très professionnelle et disponible. Je recommande.
Tres bon service d'Imane, très professionnelle et disponible. Je recommande</t>
  </si>
  <si>
    <t>Zen'Up</t>
  </si>
  <si>
    <t>credit</t>
  </si>
  <si>
    <t>11/08/2021</t>
  </si>
  <si>
    <t>01/08/2021</t>
  </si>
  <si>
    <t>hamza-59367</t>
  </si>
  <si>
    <t xml:space="preserve">ce qui m'a attiré chez direct assurance au départ c’était surtout le prix, je m'attendais bien qu'en cas de sinistre ça va être un parcours de combattant pour les indemnités, en effet, suite à mon sinistre (cambriolage) j'étais surpris de la qualité de prise en charge très rapide (c'est eux qui m'appellent pour faire suivre mon dossier !) , finalement j’étais remboursé à 50% que je trouve pas aussi mal vu l’erreur que j'ai faite (j'ai laissé la porte ouverte) </t>
  </si>
  <si>
    <t>Direct Assurance</t>
  </si>
  <si>
    <t>habitation</t>
  </si>
  <si>
    <t>04/12/2017</t>
  </si>
  <si>
    <t>01/12/2017</t>
  </si>
  <si>
    <t>melodie-c-113934</t>
  </si>
  <si>
    <t xml:space="preserve">Assurance prise pour ma première voiture et tout se passe très bien. 
Le service client est très réactif que ça soit par téléphone ou par mail donc je recommande vivement. </t>
  </si>
  <si>
    <t>17/05/2021</t>
  </si>
  <si>
    <t>01/05/2021</t>
  </si>
  <si>
    <t>capucine31-82008</t>
  </si>
  <si>
    <t>Ca fait 6 mois que l'olivier me laisse miroiter un gain 60e sous pretexte que je me fais parrainer. Puis on m'annonce ce soir que c'est mort, parceque mon parrain n'étant pas passé par eux directement il y a un an et demi, il n'est pas eligible au parrainage. Et à chaque fois que j'ai un conseiller au téléphone jai une version différente. Vivement que je puisse aller voir ailleurs</t>
  </si>
  <si>
    <t>L'olivier Assurance</t>
  </si>
  <si>
    <t>17/12/2019</t>
  </si>
  <si>
    <t>01/12/2019</t>
  </si>
  <si>
    <t>lefevre-p-111556</t>
  </si>
  <si>
    <t>Procédure d'adhésion via internet simple et rapide.
Bon contact téléphonique via la plate forme située à Lille.
Renseignements clairs et précis. A recommander</t>
  </si>
  <si>
    <t>24/04/2021</t>
  </si>
  <si>
    <t>01/04/2021</t>
  </si>
  <si>
    <t>cortes-c-117192</t>
  </si>
  <si>
    <t xml:space="preserve">très bien service client impeccable bonne explication rien à redire conseillère adorable et très accueillante je recommande olivier assurance que ce soit pour l’accueil ou autre </t>
  </si>
  <si>
    <t>16/06/2021</t>
  </si>
  <si>
    <t>01/06/2021</t>
  </si>
  <si>
    <t>david-m-132801</t>
  </si>
  <si>
    <t xml:space="preserve">Je suis satisfait de mon contrat d’assurance , bien conseillé , qualité prix très bien ?? pour assurer sa voiture . Je content du service client en ligne </t>
  </si>
  <si>
    <t>14/09/2021</t>
  </si>
  <si>
    <t>01/09/2021</t>
  </si>
  <si>
    <t>josette-123843</t>
  </si>
  <si>
    <t>intervention pour l,assistance :je donne mon avis ,intervention très rapide ,prise du remorquage,très sérieusement,soins du dépanneur très qualitatifs,merci infiniment du service rendu</t>
  </si>
  <si>
    <t>AXA</t>
  </si>
  <si>
    <t>moto</t>
  </si>
  <si>
    <t>19/07/2021</t>
  </si>
  <si>
    <t>01/07/2021</t>
  </si>
  <si>
    <t>hamza-k-123976</t>
  </si>
  <si>
    <t>Je suis très très satisfaite du service en ligne les prix sont super intéressant comparé aux autres assurances très facile à souscrire en ligne en plus je recommande merci à vous.</t>
  </si>
  <si>
    <t>APRIL Moto</t>
  </si>
  <si>
    <t>20/07/2021</t>
  </si>
  <si>
    <t>pailhas-x-111117</t>
  </si>
  <si>
    <t xml:space="preserve">Le prix n'est pas le même que sur le devis que j'avais reçu le 8 avril 2021 de 495.39€/an, c'est quand même un peu abusé de changer les prix alors que mon devis était encore valide !!! </t>
  </si>
  <si>
    <t>21/04/2021</t>
  </si>
  <si>
    <t>siana-99143</t>
  </si>
  <si>
    <t>Service clientèle terrible.
J´ai mis 2 mois avant d´avoir une réponse pour la résiliation de mon contrat.
Ils ont finit par l´annuler sans remboursement et en supprimant mon espace personnel directement sans aucune possibilité de communication.
Je n´ai jamais vu un service aussi incompétent.</t>
  </si>
  <si>
    <t>Matmut</t>
  </si>
  <si>
    <t>23/10/2020</t>
  </si>
  <si>
    <t>01/10/2020</t>
  </si>
  <si>
    <t>paiis-72310</t>
  </si>
  <si>
    <t>tres competent rapide au niveau des depannages.page web simple et efficace</t>
  </si>
  <si>
    <t>20/03/2019</t>
  </si>
  <si>
    <t>01/03/2019</t>
  </si>
  <si>
    <t>julien74300-62314</t>
  </si>
  <si>
    <t>Une mutuelle à l'écoute des besoins de ses adhérents</t>
  </si>
  <si>
    <t>Santiane</t>
  </si>
  <si>
    <t>sante</t>
  </si>
  <si>
    <t>14/03/2018</t>
  </si>
  <si>
    <t>01/03/2018</t>
  </si>
  <si>
    <t>emmananas-85290</t>
  </si>
  <si>
    <t xml:space="preserve">Si on pouvait ne mettre aucune étoile, je n'en mettrais aucune. Je n'ai jamais vu une telle supercherie. 2 ans que je cherche à résilier, en vain. Je n'ai jamais été remboursée de mes frais médicaux ainsi que de ma pilule. C'est scandaleux. J'ai du bloquer leurs prélèvements après avoir fait de nombreuses lettres recommandées et ils me menacent. Attention, A FUIR VERITABLEMENT. Ce n'est ni plus ni moins que du démarchage téléphonique mensonger. </t>
  </si>
  <si>
    <t>27/12/2019</t>
  </si>
  <si>
    <t>amonavis-90035</t>
  </si>
  <si>
    <t>Bonjour, je  paie 100€:mois (le max) et voilà 5 mois que j'attends le remboursement de mes frais dentaires, toujours retardé pour n'importe quelle raison. J'ai eu également droit à un conseiller particulièrement arrogant qui s'est permis de me raccrocher au nez.Ce n'est pas subjectif, c'est un fait: j'attends toujours le remboursement de ces frais. Ce remboursement trop long à venir m'a mise en difficulté financière et met ma santé en danger car je ne peux pas poursuivre les soins. 
Je reconnais que lorsqu'il s'agit d'un remboursement de 7,50€ (ça doit être dans leurs moyens), c'est fait assez rapidement mais en tant que cliente, je ne me sens ni respectée, ni écoutée.</t>
  </si>
  <si>
    <t>Harmonie Mutuelle</t>
  </si>
  <si>
    <t>29/05/2020</t>
  </si>
  <si>
    <t>01/05/2020</t>
  </si>
  <si>
    <t>mariepointdecroix-103487</t>
  </si>
  <si>
    <t>très bonne mutuelle lorsqu'il s'agissait de la  mutuelle du Loiret. Depuis l'affiliation à Harmonie Mutuelle, c'est une catastrophe. Je rejoins les personnes qui mentionnent qu'on ne peut pas les joindre. Les rendez vous pris ne sont pas respectés et elle détourne les lois pour ne pas les appliquer.  Mutuelle chère et pas satisfaisante du tout. A éviter dans la mesure du possible.</t>
  </si>
  <si>
    <t>01/02/2021</t>
  </si>
  <si>
    <t>vietvedao-60974</t>
  </si>
  <si>
    <t xml:space="preserve">J'ai souscrit chez active assurance mentionné dans un comparateur de prix proposant un tarif préférentiel. Depuis ils ne cessent de me réclamer les documents que j'ai envoyé sur leur interface. ils me prennent la tête avec Des relevés d'informations qui ne leur conviennent pas. ils me trouvent tjs des prétextes pour ne pas me les valider.  En plein milieu de la nuit Je reçois un message me disant que c la dernière relance et que je dois impérativement leur envoyer les documents demandés. Pourtant Il est stipulé qu'on a un mois pour s’acquitter des demandes. Je suis   tous les jours harcelé. ils adoptent une  politique  a faire fuire du client. j'ai donc décidé d'envoyer une lettre R/AR profitant  du contrat conclus à distance et hors établissements  régissant par l’article L121-20-12 du Code de la consommation. Aux termes de cet article, « le consommateur dispose d’un délai de 14 jours calendaires révolus pour exercer son droit de rétractation, sans avoir à justifier de motif ni à supporter des pénalités ». . Je ne veux plus avoir affaire à cette assurance qui prennent les nouveaux clients pour des..........
Le prix est peu être attractif mais dorénavant je ferai le choix  de payez un peu plus chers chez des concurrents beaucoup plus professionnel. </t>
  </si>
  <si>
    <t>Active Assurances</t>
  </si>
  <si>
    <t>30/01/2018</t>
  </si>
  <si>
    <t>01/01/2018</t>
  </si>
  <si>
    <t>philippe-x-106891</t>
  </si>
  <si>
    <t>simple et pratique a suivre dans le temps si cela continue.
par contre obligation de remplir ce formulaire me parait pas satisfaisant et même contraignant</t>
  </si>
  <si>
    <t>17/03/2021</t>
  </si>
  <si>
    <t>01/03/2021</t>
  </si>
  <si>
    <t>houfay-58079</t>
  </si>
  <si>
    <t>Une assurance qui ne récompense pas les anciens , malgré mon Bonus 51%, elle arrive a augmenter les tarifs, et ne rembourse jamais la prime pour véhicule supplémentaire. même en ayant un contrat assurance habitation en sus</t>
  </si>
  <si>
    <t>14/10/2017</t>
  </si>
  <si>
    <t>01/10/2017</t>
  </si>
  <si>
    <t>sed-117159</t>
  </si>
  <si>
    <t>Une honte, ne surtout pas payer par CB, suivant le cas, direct assurance encaisse le montant annuel puis vous résilie sans raison sans que puissiez intervenir et vous rembourse qu une partie du montant, truc de ouf</t>
  </si>
  <si>
    <t>15/06/2021</t>
  </si>
  <si>
    <t>sardaigne-55955</t>
  </si>
  <si>
    <t xml:space="preserve">ne rappelle pas ses clients. Aucun suivi sur les nouveaux contrats malgré les nombreux mail et appels. Une responsable Charlotte devait me rappeler pour tenir au courant de l'évolution de mon dossier j'attends encore..... </t>
  </si>
  <si>
    <t>11/07/2017</t>
  </si>
  <si>
    <t>01/07/2017</t>
  </si>
  <si>
    <t>vincbarr-59789</t>
  </si>
  <si>
    <t>J'ai acheté une voiture en allemagne. compte tenu du nouveau systeme de carte grise par internet je n'ai pu fournir le document à DA dans le delai de 60 jours. J'ai ete résilié sans discussion possible. Finalement en rediscutant avec AXA, ils ont été compréhensifs de la situation et ont trouvé un tarif intéressant.</t>
  </si>
  <si>
    <t>19/12/2017</t>
  </si>
  <si>
    <t>jerome-a-106094</t>
  </si>
  <si>
    <t>Je suis Très satisfait de mon contrat d'habitation
Le tarif est  très compétitif et l'entreprise est très réactive. Je recommande vraiment cette assurance à tous..</t>
  </si>
  <si>
    <t>10/03/2021</t>
  </si>
  <si>
    <t>bibidusud-95249</t>
  </si>
  <si>
    <t>un bonne ami m'a conseiller cette assurance et je suis content d'avoir suivi. Ils m'ont bien aidé lors de mon premier sinistre après le confinement j'avais perdu mes habitudes. 
merci à monsieur Silvin de sa patience à répondre à mes questions.</t>
  </si>
  <si>
    <t>Assur Bon Plan</t>
  </si>
  <si>
    <t>26/07/2020</t>
  </si>
  <si>
    <t>01/07/2020</t>
  </si>
  <si>
    <t>annick-92915</t>
  </si>
  <si>
    <t>Malgré un contrat full option, pas de réponse suite à expertise (grêle et neige), par de prise en charge et en plus suite à résiliation pas de remboursement du trop perçu, à éviter totalement</t>
  </si>
  <si>
    <t>GMF</t>
  </si>
  <si>
    <t>hadji-m-107867</t>
  </si>
  <si>
    <t>Je suis entièrement satisfait des services de l'olivier assurance, le prix appliqué par votre établissement répond parfaitement à mes besoins, je recommande.</t>
  </si>
  <si>
    <t>24/03/2021</t>
  </si>
  <si>
    <t>cedric-f-135284</t>
  </si>
  <si>
    <t xml:space="preserve">Très satisfait Bon site très compréhensible facile d utilisation simple assurance et garantie lisible ont sais où ont va et ce que l ont veux merci bonne continuation </t>
  </si>
  <si>
    <t>AMV</t>
  </si>
  <si>
    <t>30/09/2021</t>
  </si>
  <si>
    <t>louise-c-127899</t>
  </si>
  <si>
    <t>Je suis satisfaite du prix
Je suis satisfaite de la rapidité à laquelle j'ai pu m'assurer
Je suis satisfaite de la protection de mes données sur le site</t>
  </si>
  <si>
    <t>13/08/2021</t>
  </si>
  <si>
    <t>chuck-66141</t>
  </si>
  <si>
    <t>La pire de toutes les assurances car en y adhérant on a l'impression d'être à l'abri. Cet assureur est soi-disant un assureur militant. Ceci est faux. Ils veulent avoir un bénéfice net le plus élevé possible à la fin de l'exercice. Alors moins ils remboursent, plus ils capitalisent.
La pire de toutes.</t>
  </si>
  <si>
    <t>14/03/2019</t>
  </si>
  <si>
    <t>cyril-66474</t>
  </si>
  <si>
    <t xml:space="preserve">Ayant plusieurs produits assurances à la MAAF et sans incidents majeurs depuis prés de 15 ans, nous avons pu constater à la suite d'un accident non responsable ayant rendu économiquement irréparable notre véhicule la qualité de la prise en charge par le service dédié de notre sinistre. Conseillère à l'écoute et disponible, indemnisation rapide. La conseillère chargé de notre dossier a même rappelé pour prendre des nouvelles de notre enfant présent au moment de l'accident. </t>
  </si>
  <si>
    <t>MAAF</t>
  </si>
  <si>
    <t>29/08/2018</t>
  </si>
  <si>
    <t>01/08/2018</t>
  </si>
  <si>
    <t>titouan-m-139688</t>
  </si>
  <si>
    <t xml:space="preserve">Satisfait du service bonne réactivité moins chère que le concurrence je recommande cette assurance surtout pour les jeunes permis sa permet de ne pas payer trop chère en assurance </t>
  </si>
  <si>
    <t>15/11/2021</t>
  </si>
  <si>
    <t>01/11/2021</t>
  </si>
  <si>
    <t>kevin-93662</t>
  </si>
  <si>
    <t xml:space="preserve">Satisfait très facile A la souscription très bon prix bravo à l’équipe personne n’est meilleur en prix en tout cas vraiment étonner une bonne continuation merci </t>
  </si>
  <si>
    <t>09/07/2020</t>
  </si>
  <si>
    <t>sofuelle-101328</t>
  </si>
  <si>
    <t>Infirmière libérale, je me suis vue diagnostiquer un cancer du sein métastatique en avril 2019. J'ai informé mon agent bordelais qui s'est investi pleinement à mes cotes. Les formalités ont été gérées dans les délais impartis, et mes indemnités versées sans retard.La prise en charge de mon crédit immobilier n'a également pas posé de problème et est toujours active aujourd'hui.
Je pense que l'image de la société AXA dépend des prestations de ses agents sur le terrain. Le mien, ancien joueur de rugby, est un super professionnel très disponible et personnellement investi auprès de ses clients. Je n'ai que des recommandations à émettre pour ma part.</t>
  </si>
  <si>
    <t>prevoyance</t>
  </si>
  <si>
    <t>11/12/2020</t>
  </si>
  <si>
    <t>01/12/2020</t>
  </si>
  <si>
    <t>christian-b-125169</t>
  </si>
  <si>
    <t>Satisfait du service et de L efficacité du charge du chargé de clientèle pour la clarté des explications et la po'itesse
Pour la rapidité et le sérieux aussi</t>
  </si>
  <si>
    <t>28/07/2021</t>
  </si>
  <si>
    <t>maxleb-63654</t>
  </si>
  <si>
    <t>Je déconseille fortement : 
- deux mois d'attente pour expertiser mon vehicule à le suite d'un accident 
- ne répondent pas aux mails, aucune aide sur les procédures 
- le service sinistre n'est géré que part un standard qui ne vous sera d'aucune aide
Prix attractifs mais en cas d'accident personne pour vous aider. Mon accident remonte à plus de 6 mois et je n'ai toujours pas de verdict final.</t>
  </si>
  <si>
    <t>29/04/2018</t>
  </si>
  <si>
    <t>01/04/2018</t>
  </si>
  <si>
    <t>carmen-fouchard-97605</t>
  </si>
  <si>
    <t>Si je pouvais mettre 0 je le ferai !
Une honte, à fuire.
En accident de travail depuis le 11 mai 2020, AG2R me verse un complément par rapport à ma SECU.
Premier paiement au mois de juin fait par chèque alors que j'avais donné mon RIB en temps et en heure et que j'avais précisé que ayant une banque en ligne je ne pouvais pas encaisser les chèques. Je précise c'est un chèque d'un peu plus de 220€.
Ils me demandent de le renvoyer à leur agence en recommandé chose que j'ai fais. Au bout de 3 semaines aucune nouvelle je décide donc de les rappeler pour savoir à partir de quand ils vont me faire le virement de cet argent. Ils me disent qu'il y a 3 mois de délai d'attente et que soit disant ils ne comprennent pas pourquoi on ne me l'a pas dit lors du premier appel. Bref... Énervée, je me dis que j'aurai du essayer de trouver une autre solution plutôt que de le renvoyer. Mais trop tard je dois attendre. J'attends donc les 3 mois et là, je m'apperçois que sur mon espace client AG2R, ce fameux chèque est passé en cours de traitement. Je me dis super, je vais enfin avoir ce virement. 1 semaine passe, toujours rien. Je décide de les appeler. Les 4 premiers appels fûrent du moquage de tronche littéralement. On m'a fait passé pour folle, me demandant d'attendre, que c'était les délais bancaires qui étaient longs et que j'allais être payée, donc patience. Au bout de 15 jours à se payer ma tronche, je tombe sur une autre conseillère qui elle me dit que c'est totalement faux. Que effectivement il y a un problème, que le paiement aurait dû partir depuis le 10 août 2020, mais qu'il n'est jamais parti. Elle fait donc une réclamation à sa responsable, et me dit que d'ici 1 semaine tout sera arrangé et que j'aurai mon argent. Elle me dit quand même que si ce n'est pas le cas, je dois rappeler. 1 semaine et demie passe et toujours rien. Encore une fois je rappelle au moins 3 fois pour qu'on me dise d'attendre. Un autre conseiller fait une 2ème réclamation et me dit que là c'est sûr en 1 semaine ça devrait être réglé. Mais NON ! Encore rien. Je décide donc, après tous mes mails sans réponses, mon courrier recommandé sans réponse et mes appels sans réponses valables de rappeler une toute dernière fois. Et là on se moque encore de moi en me disant qu'ils ne peuvent rien faire de plus que je dois attendre que la responsable me rappelle. Je finis par péter un cable, en les menaçant de prendre un avocat, chose que je vais devoir faire de toute façon. Je précise que nous sommes le 19 septembre 2020, que ce chèque date de début juin 2020 et que le paiement aurait dû être fait depuis le 10 août 2020 et que bien sûr je n'ai toujours rien, aucun virement.
Je vous conseille de fuir, sinon cela sera à vos risques et périls de ne jamais être payé ! 
Cordialement,
Carmen Fouchard</t>
  </si>
  <si>
    <t>Ag2r La Mondiale</t>
  </si>
  <si>
    <t>19/09/2020</t>
  </si>
  <si>
    <t>loy-72482</t>
  </si>
  <si>
    <t>pere client depuis des annee mais refuse d assurer un jeune conducteur de 40 ans ou alors hors de prix ...pas cool coùmme service clientele ou meme geste commercial..............................................................................................................................................</t>
  </si>
  <si>
    <t>26/03/2019</t>
  </si>
  <si>
    <t>leila42000-100064</t>
  </si>
  <si>
    <t>Service client au top !!! Tellement rare généralement quand on a un souci, les assurances sont injoignables et font traîner les dossiers. Chez l'olivier, le Personnel est super réactif malgré le contexte. Je recommande</t>
  </si>
  <si>
    <t>13/11/2020</t>
  </si>
  <si>
    <t>01/11/2020</t>
  </si>
  <si>
    <t>clairettte-137417</t>
  </si>
  <si>
    <t xml:space="preserve">Je trouve le tarif très correct et j’ai eu des échanges satisfaisant pour la gestion du contrat ; je n’ai toutefois pas eu de sinistre à déplorer donc aucun contact avec le service sinistre. </t>
  </si>
  <si>
    <t>14/10/2021</t>
  </si>
  <si>
    <t>phg44-129792</t>
  </si>
  <si>
    <t>Très chère, pas de négociation possible même en étant client depuis très longtemps sans sinistre.
Point positif : les garanties sont assez intéressantes.</t>
  </si>
  <si>
    <t>Allianz</t>
  </si>
  <si>
    <t>27/08/2021</t>
  </si>
  <si>
    <t>said-k-132093</t>
  </si>
  <si>
    <t xml:space="preserve">service rapide et compétitif.
Explications claires, notamment sur les garanties souscrites. 
Adhésion en toute confiance. A confirmer dans la finalisation de la souscription du contrat. </t>
  </si>
  <si>
    <t>09/09/2021</t>
  </si>
  <si>
    <t>mpl-74501</t>
  </si>
  <si>
    <t xml:space="preserve">on me prend 150 e par mois ( J ai un malus ) pour assurer uniquement une TWINGO 3 ... je trouve ca tres cher alors je fais une simulation sur un comparateur d assurance,  en appliquant mon malus bien entendu.  Vous voulez rire ? Je trouve une assurance à moins de 60 e par mois et pour le bouquet final la compagnie olivier assurance propose un contrat à moins de 80 e par mois .... alors que j en payé 150 .... une blague  ??? Franchement ils m ont juste poussé à la sortie ... </t>
  </si>
  <si>
    <t>27/03/2019</t>
  </si>
  <si>
    <t>victors-j-117306</t>
  </si>
  <si>
    <t>Problème prélèvement sur contrat seat Ibiza avec vrai majoree une honte tout bonnement scandaleux, un problème venant de votre part lorsqu’il s’agit d’élèver un prélèvement first</t>
  </si>
  <si>
    <t>17/06/2021</t>
  </si>
  <si>
    <t>gf06-117465</t>
  </si>
  <si>
    <t xml:space="preserve">
Très bon échange et conseil avec Emeline ce jour le 18 juin et pour les mails pour me guider.
Si besoin d'autres conseils je peux compter sur  eux.
Bonne journée</t>
  </si>
  <si>
    <t>Néoliane Santé</t>
  </si>
  <si>
    <t>18/06/2021</t>
  </si>
  <si>
    <t>eliam1-51334</t>
  </si>
  <si>
    <t>Suite à une résiliation par Loi Chatel en date de novembre 2016,Eurofil arrive à un prélèvement annuel indu le 5 janvier 2017 et compte me rembourser à partir du 25 janvier 2017 donc février 2017.</t>
  </si>
  <si>
    <t>Eurofil</t>
  </si>
  <si>
    <t>16/01/2017</t>
  </si>
  <si>
    <t>01/01/2017</t>
  </si>
  <si>
    <t>rose-67793</t>
  </si>
  <si>
    <t>Contact professionnel me permettant d'obtenir un contrat personnel approprié avec des garanties judicieuses.</t>
  </si>
  <si>
    <t>17/10/2018</t>
  </si>
  <si>
    <t>01/10/2018</t>
  </si>
  <si>
    <t>titolet-52614</t>
  </si>
  <si>
    <t xml:space="preserve">Bonjour
Arrive a la retraite la cotisation Mgen n est plus precomptee automatiquement.
Je me suis donc rendu compte de l'ampleur de cette cotisation. 
Je suis à 200 euros par moi pour un ayant droit.
Malheurésument mon conjoint est en ALS et je doute qu'une autre mutuelle nous accepte. </t>
  </si>
  <si>
    <t>Mgen</t>
  </si>
  <si>
    <t>21/02/2017</t>
  </si>
  <si>
    <t>sacaze-s-116297</t>
  </si>
  <si>
    <t xml:space="preserve">Je suis satisfait des démarches, Il manque une visibilité sur les documents en cours de traitement pour être sur que ceux ci sont bien en cours de traitement. </t>
  </si>
  <si>
    <t>08/06/2021</t>
  </si>
  <si>
    <t>exodia85-58515</t>
  </si>
  <si>
    <t>Je suis satisfait de la qualité de l'échange avec votre conseillère mais je trouve dommage qu'au niveau des garantie il faut que j'attende 15 jours pour souscrire à l'assurance tout risque.</t>
  </si>
  <si>
    <t>10/11/2021</t>
  </si>
  <si>
    <t>gb-54133</t>
  </si>
  <si>
    <t>Suite au décès de ma mère je bénéficie d'une assurance vie dont je n'arrive pas a me faire payer.Aprés 4 envois de pièces, dont le traitement est a chaque fois d'1 mois avant que l'on vous redemande d'autres pièces.Le personnel au téléphone est a peine aimable et ne sait rien.</t>
  </si>
  <si>
    <t>Afer</t>
  </si>
  <si>
    <t>vie</t>
  </si>
  <si>
    <t>27/04/2017</t>
  </si>
  <si>
    <t>01/04/2017</t>
  </si>
  <si>
    <t>e2a-94861</t>
  </si>
  <si>
    <t xml:space="preserve">Impossible d avoir une explication claire sur comment gerer le sinistre etc..
Délai beaucoup trop long tout est fait pour vous décourager
On attend plus d un assureur surtout lors d une étape aussi importante qu un sinistre.
La dernière en date on me dit de faire réparer la fuite chez le voisin. Je subis la fuite et je dois moi régler un plombier pour qu il répare alors que ce n est pas chez moi ? Lorsque j insiste et que je demande plus de précisions plus de réponses..
Vraiment honteux.
Ma famille a des immeubles assurés chez eux nous avons aussi des assurances auto etc mais il ne faut pas avoir de problèmes pour être considéré dommage pour ma part je vais me désengager dès que possible..
</t>
  </si>
  <si>
    <t>22/07/2020</t>
  </si>
  <si>
    <t>laurence-l-111828</t>
  </si>
  <si>
    <t>Je suis satisfaite des services simples et rapides c'est bien car j'ai été contacté directement suite à un devis. Les prix sont trés attractifs que ce soit pour les assurances habitation ou auto</t>
  </si>
  <si>
    <t>27/04/2021</t>
  </si>
  <si>
    <t>retraite34170-51534</t>
  </si>
  <si>
    <t>Je viens d'adhérer pour deux contrats : 1080148448 et 1080151870 au début du mois de janvier. J'ai payé "cash" le montant annuel des deux assurances. Nous sommes fin février je ne dispose pas des cartes vertes définitives. Par ailleurs j'ai signalé une erreur concernant la date de délivrance permis de conduire. Un nouvel avenant a été effectué et il m'est facturé 15 euros. C'est scandaleux d'autant que la date de délivrance (1975 au lieu de 1976) ne peut engendrer un quelconque changement au plan du sinistre ou de la garantie. Aurais je dû ne rien dire ? - Par ailleurs j'ai contracté ces assurances par le biais de la loi Hamon et il vient de m'être encore demandé un relevé d'information que j'ai déjà fourni maintes fois et qui a même été transmis par mon ancienne assurance. Je doute de la qualité administrative de cette assurance.</t>
  </si>
  <si>
    <t>25/02/2017</t>
  </si>
  <si>
    <t>lilian-t-128881</t>
  </si>
  <si>
    <t xml:space="preserve">parfait, rapide j’ai pas assuré mon véhicule a un prix correct en peu de temps ( 10 minutes) le service clientèle est joignable facilement par téléphone </t>
  </si>
  <si>
    <t>20/08/2021</t>
  </si>
  <si>
    <t>bertrand-y-111142</t>
  </si>
  <si>
    <t xml:space="preserve">Service au top toujours quelqu'un pour répondre mais prix un peux excessif , cependant n'ayant pas le choix de choisir l'olivier car ce sont les seuls à vouloir m'assurer </t>
  </si>
  <si>
    <t>jr-57391</t>
  </si>
  <si>
    <t>C'est avec un cynisme consommé que cette soit disant Mutuelle multiplie les tracasseries administratives pour ne pas honorer leur obligation de portabilité de mon contrat santé.
Pitoyable ! Fuyez !!!</t>
  </si>
  <si>
    <t>16/09/2017</t>
  </si>
  <si>
    <t>01/09/2017</t>
  </si>
  <si>
    <t>christopher-g-117666</t>
  </si>
  <si>
    <t>Je suis satisfait du produit, avoir quand j’en aurais vraiment besoin si tout est OK. En ce qui concerne le prix très correct 
Affaire à suivre , bonne route</t>
  </si>
  <si>
    <t>20/06/2021</t>
  </si>
  <si>
    <t>sarah-66153</t>
  </si>
  <si>
    <t>Un service rendu qui met ma sécurité et celle de mes passagers en danger. Des conseillers injoignables qui après avoir perdu ma voiture et pour éviter de la remorquer ont menti à mon garage et à moi même en expliquant qu'elle était non-roulante (j'ai du faire intervenir le dépanneur avec qui on avait fait rouler la voiture). La voiture m'a été rendue une première fois, elle avait bien été réparée... des problèmes de peinture uniquement! La vérification de la mécanique avait été oubliée. Je l'ai récupéré une deuxième fois avec seulement la moitié de la mécanique vérifiée, je constate à la première conduite que... je n'ai plus de frein à main! La GMF refuse de faire le lien entre l'expert, le garage et moi. Cette histoire dure depuis 3 mois, et bien que tous les frais soient payés par l'assurance adverse, la GMF a refusé de me prêter un véhicule de location plus de 3 jours, m'empêchant d'aller travailler. Aujourd'hui je suis coincée, je vais devoir conduire 1h15 ma voiture dangereuse pour aller la déposer au garage - que je n'ai pas le droit de choisir malgré cette garantie (ah si, j'ai le droit de choisir mais à mes frais). Bref, je crois que la GMF essaie aussi de me faire peur pour me vendre une assurance vie.</t>
  </si>
  <si>
    <t>13/08/2018</t>
  </si>
  <si>
    <t>djedje-95936</t>
  </si>
  <si>
    <t>Allianz a considérablement augmenté  les prix depuis le rachat de AGF cest hallucinant cette augmentation. 
Actuellement je fait des devis ailleurs pour partir.</t>
  </si>
  <si>
    <t>05/08/2020</t>
  </si>
  <si>
    <t>01/08/2020</t>
  </si>
  <si>
    <t>forenet-56197</t>
  </si>
  <si>
    <t>Je recommande..tres bonne assurance en ligne.</t>
  </si>
  <si>
    <t>23/07/2017</t>
  </si>
  <si>
    <t>antoinep-59740</t>
  </si>
  <si>
    <t>Un conseiller m'a répondu qu'il "n'avait pas prétention à être expert en matière de sécurité sociale"... En tant que fonctionnaire, la MGEN est pourtant responsable de la part sécurité sociale de l'assurance maladie obligatoire.</t>
  </si>
  <si>
    <t>16/12/2017</t>
  </si>
  <si>
    <t>augustin-79808</t>
  </si>
  <si>
    <t>Je déconseille cet assureur.
Aucun suivi des dossiers, des relances à faire pour faire avancer les dossiers entre les garages, les experts et eux. Ils ont un très mauvais service client.
Une vrai catastrophe.</t>
  </si>
  <si>
    <t>08/10/2019</t>
  </si>
  <si>
    <t>01/10/2019</t>
  </si>
  <si>
    <t>mancicho-67888</t>
  </si>
  <si>
    <t>FUYEZ SWISSLIFE
J'ai fait l'erreur de signer une assurance prévoyance avec eux il y a quelques années, puis les prélèvements ont augmenté sans aucune raison et sans chercher à me contacter  aujourd'hui il m'envoie un huissier pour finir de me presser comme un citron alors que nous étions en négociation à l'amiable...
Vous pouvez prendre Le Gan ou un autre qui sera aussi avantageux mais beaucoup moins cher</t>
  </si>
  <si>
    <t>SwissLife</t>
  </si>
  <si>
    <t>19/10/2018</t>
  </si>
  <si>
    <t>encolere11-62260</t>
  </si>
  <si>
    <t xml:space="preserve">Je mets  une étoile partout car il est impossible d'entre mettre 0 .
Percuté par un sanglier le 1 er décembre  déclaré  immédiatement  l'assistance n'est jamais venue. .Pire pas de nouvelles de L'assurance il m'aura fallu attendre mi février pour voir l'expert.
L'expert donne son accord mais toujours pas de réparation en date du 12 mars, le garage conventionné  n'ayant pas envie de bosser ! J'ai beau les relancé  le personnel de pacifica est désagréable  vous raccroche au nez et vous dit de vous débrouiller !!!pas de prêt de véhicules  pourtant inclu dans le contrat !!!! Personne handicapée  l'agence qui nous a vendu le contrat n'assurez aucun suivi.  </t>
  </si>
  <si>
    <t>Pacifica</t>
  </si>
  <si>
    <t>13/03/2018</t>
  </si>
  <si>
    <t>rouhana-n-132675</t>
  </si>
  <si>
    <t xml:space="preserve">Je suis satisfait du service à présent. l'équipe commercialle est professionnelle. Le prix est aussi avantageux par rapport à la concurrence. j'espère ne pas avoir recourt à vous dans l'année à venir :) </t>
  </si>
  <si>
    <t>13/09/2021</t>
  </si>
  <si>
    <t>pacham201-100885</t>
  </si>
  <si>
    <t>A FUIRE vraiment nulle gentille jusqua souscription puis vous etes a l abandon je sais de quoi je parle  ca ne repond meme plus ni au messages ni au telephones A FUIREEEEE</t>
  </si>
  <si>
    <t>02/12/2020</t>
  </si>
  <si>
    <t>emma-65209</t>
  </si>
  <si>
    <t>Mensualités qui augmentent de plus de 100€ par mois suite à un bris de glace donc je n'étais pas responsable, service client médiocre, un conseiller qui est hautain et irrespectueux.
Je demande s'il est possible d'assurer également des membres de ma famille pour la prochaine année car ils souhaiteraient également conduire le véhicule, le conseiller me répond que les "fausses déclarations" sont illégales. En quoi est-ce une fausse déclaration ? J'ai toujours été seule conductrice jusqu'à présent et je pose la question pour le futur contrat.
Je résilie mon contrat d'assurance chez L'olivier Assurance Auto</t>
  </si>
  <si>
    <t>03/07/2018</t>
  </si>
  <si>
    <t>01/07/2018</t>
  </si>
  <si>
    <t>verovero-95245</t>
  </si>
  <si>
    <t>Merci de votre accompagnement. Responsable du service sinistre super à l'écoute et on voit qu'il est investi dans son travail. Très professionnel.
Je recommande !! Merci encore</t>
  </si>
  <si>
    <t>jean-v-116583</t>
  </si>
  <si>
    <t>je suis pour le moment satisfait du service et le 02 juin 2021 je vous ai envoyé  par la Poste   un constat amiable concernant un léger  accrochage  le 1er juin et  dont je n'ai pas eu de nouvelles !,,?</t>
  </si>
  <si>
    <t>10/06/2021</t>
  </si>
  <si>
    <t>arezki-90847</t>
  </si>
  <si>
    <t>Satisfait du service, site assez ludique et facile d’utilisation. En revanche, prix à comparer auprès d’autres sites d’assureurs avant souscription. 
Cordialement,</t>
  </si>
  <si>
    <t>15/06/2020</t>
  </si>
  <si>
    <t>01/06/2020</t>
  </si>
  <si>
    <t>smart-96277</t>
  </si>
  <si>
    <t>FÉLICITATIONS ,SUPER. sur la route des vacances mon fils a un problème cardiaque, il est au urgence d'Alberville, je téléphone au service assistance?tout de suite une prise en charge médecine est organisé et une prise en charge de l’hôtel pour nous. en partant à l'hôtel la voiture tombe en panne, je retéléphone au service assistance qui ouvre un nouveau dossier mécanique cette fois, un dépanneur emmène le véhicule, la voiture est mobilise à + de 600 km de notre domicile, l'assistance organise notre retour: taxi + train 1° classe de l'hôtel à notre domicile. pour récupérer notre véhicule l'assistance nous offre taxi + train pour une personne.  je conseille à tous de  souscrire sans soucis.</t>
  </si>
  <si>
    <t>13/08/2020</t>
  </si>
  <si>
    <t>lindaass-67817</t>
  </si>
  <si>
    <t xml:space="preserve">Ce n est pas une assurance mais un courtier dassurance ce qui vous garantie une hausse incroyable de prix Je nai aucun sinistre à mon actif et on augmente mon échéancier de 23eu du jour au lendemain bien sur lorsque jappelle pr avoir une explication on me réponds que cest comme ca dun ton agacé! Cest bien sur un courtier dassurance qui est a fuir </t>
  </si>
  <si>
    <t>yassine-a-134627</t>
  </si>
  <si>
    <t>Je suis satisfait  du prix et de la rapidité de mise en place de l assurances..je recommanderai direct assurance a mes proches et merci à vous bonne fin d’année à vous</t>
  </si>
  <si>
    <t>27/09/2021</t>
  </si>
  <si>
    <t>ariane-faux-49707</t>
  </si>
  <si>
    <t xml:space="preserve">indemnités prévoyance versées très tardivement , voire au début du mois suivant pour le maintien de salaire. Les appels téléphoniques ne servent à rien, le personnel est peu professionnel et peu à l'écoute ... pas génial du tout </t>
  </si>
  <si>
    <t>Intériale</t>
  </si>
  <si>
    <t>29/11/2016</t>
  </si>
  <si>
    <t>01/11/2016</t>
  </si>
  <si>
    <t>nina-66824</t>
  </si>
  <si>
    <t xml:space="preserve">Incompétence totale la conseillere au téléphone cherche même pas a comprendre d'où vient le problème et ce permet d'être tous de suite désagréable et juge le client au lieu de trouver une solution elle cherche a justifier leur erreur et pointer du doigt ce que j'aurai du faire Non mais sérieusement c'est incroyable, et me dit clairement que c'est a moi d'assumer les erreurs de ces collègues en payant plus chère que le contrat vue avec mon conseiller !!! Erreur que moi je doit payer !! on t'annonce un prix de départ vue avec un conseiller et on finit par payer une autre somme et il ne peuvent pas assumer les erreur de leur collègue et pour couronner le tous on t'apporte zéro solution et on te dit si vous voulez partir je laisse un commentaire pour que vous puissiez partir avant la fin de votre contrat car incapable de faire quoi que ce soit pour votre dossier. Franchement vous detronner tous les service client qui existe !!!! </t>
  </si>
  <si>
    <t>MACIF</t>
  </si>
  <si>
    <t>13/09/2018</t>
  </si>
  <si>
    <t>01/09/2018</t>
  </si>
  <si>
    <t>caroline-b-126941</t>
  </si>
  <si>
    <t xml:space="preserve">Je suis satisfaite de ce service rapide et efficace rien a ajouter ou à redire 
Pas de difficulté particulière 
Simple a validé 
Merci à direct assurance et bonne continuation </t>
  </si>
  <si>
    <t>07/08/2021</t>
  </si>
  <si>
    <t>armando-108818</t>
  </si>
  <si>
    <t xml:space="preserve">Le rapport service/prix est juste top, je me suis assuré il y a quelques semaines et tout c'est bien passé. Je recommande sans hésitation.              </t>
  </si>
  <si>
    <t>schyna-80969</t>
  </si>
  <si>
    <t>Les prises en charge ne sont pas enregistrés ne réponds pas aux relance de la clinique.ils ne tiennent pas compte des messages que l'on envoie un manque de sérieux et de professionnalisme certains pas de responsable disponible bref une mutuelle que je déconseille.</t>
  </si>
  <si>
    <t>Mercer</t>
  </si>
  <si>
    <t>13/11/2019</t>
  </si>
  <si>
    <t>01/11/2019</t>
  </si>
  <si>
    <t>christian-d-107115</t>
  </si>
  <si>
    <t>Je suis satisfait des services, effectivement,
Je trouve que l'assistance en cas de panne est peu utile et chere.
Je souhaiterais la remplacer.
Bravo pour cette démarche qualité</t>
  </si>
  <si>
    <t>19/03/2021</t>
  </si>
  <si>
    <t>elodie-108288</t>
  </si>
  <si>
    <t xml:space="preserve">Bonjour petite experience personnelle j'ai pris le haut de gamme tous risques intégral et je ne regrette vraiment pas. Après un accident de voiture j'ai pu récupérer la quasi totalité de la somme que j'avais mis il y a 4 ans. En effet je l'avais acheté il y a 4 ans 14 000 et j'en ai récupéré 13 500 euros. J'attends la suite pour le corporel.... </t>
  </si>
  <si>
    <t>27/03/2021</t>
  </si>
  <si>
    <t>guzel-m-107863</t>
  </si>
  <si>
    <t xml:space="preserve">je suis satisfait au service et toute équipe de l'olivier 
c simple et pratique et rapide ,j'ai invité mes amis pour assurer ses voitures chez l'olivier aussi </t>
  </si>
  <si>
    <t>lemaire-l-129489</t>
  </si>
  <si>
    <t xml:space="preserve">Conseillère téléphonique très agréable, site bien fait et tarifs abordables meme pour une personne comme moi avec un malus de 25% ! Je recommande vraiment </t>
  </si>
  <si>
    <t>25/08/2021</t>
  </si>
  <si>
    <t>ladyvengeance45-77696</t>
  </si>
  <si>
    <t>Très bon prix pour une bonne couverture. J'ai reçu ma carte verte très rapidement et l'envoi des document en pièce jointe directement sur le site est très pratique. Je recommande fortement l'Olivier Assurance.</t>
  </si>
  <si>
    <t>17/07/2019</t>
  </si>
  <si>
    <t>01/07/2019</t>
  </si>
  <si>
    <t>bondon-b-111333</t>
  </si>
  <si>
    <t xml:space="preserve">Satisfait des conseil et des explication de mon conseiller, eu quelque doute lors de certain appel sans aucune réponse mais finalement non fondé.
Prix correct, malgré les 270€a payer lors de la souscription qui sont un peux dur a avaler. 
A voir comment ca va se passer en cas de sinistre. </t>
  </si>
  <si>
    <t>22/04/2021</t>
  </si>
  <si>
    <t>nono30-92485</t>
  </si>
  <si>
    <t xml:space="preserve">Service client inexistant, aucun suivis ni aucune information. Résiliation pour défaut de paiement sans délai de prévenance. Et non acceptation du paiement alors que cachet de poste faisant foi. À fuir !!! </t>
  </si>
  <si>
    <t>27/06/2020</t>
  </si>
  <si>
    <t>marc-w-125046</t>
  </si>
  <si>
    <t xml:space="preserve">je suis satisfait de vos services te j'ai bien été renseigné sur les tarifs et les possibilités offertes. Je souhaite aussi avoir confirmation de tout ca par mail bien sur
</t>
  </si>
  <si>
    <t>27/07/2021</t>
  </si>
  <si>
    <t>mlv-126162</t>
  </si>
  <si>
    <t xml:space="preserve">Je déconseille cette mutuelle:
impossible de les joindre
délai de remboursement très très long, au delà de 4 mois
aucune notification de remboursement,
tableau de bord pas tenu à jour
remboursement des honoraires aléatoires
Mutuelle à fuir ….
</t>
  </si>
  <si>
    <t>Cegema Assurances</t>
  </si>
  <si>
    <t>03/08/2021</t>
  </si>
  <si>
    <t>trolzart87654-51028</t>
  </si>
  <si>
    <t>JE SUIS ACTUELLEMENT ASSURE POUR UNE ASSURANCE AUTO CHEZ DIRECT ASSURANCE PLUTOT DIRECT PROBLEMES. JE LAI CONTACTE POUR DECLARER UN SINISTRE LA PERSONNE QUE JAI AU TEL EST DESAGREABLE FROIDE ET AGRESSIVE. LORSQUE IL EST SUJET DE SINISTRE CE SONT DES VAUTOURS QUI NOUS ATTENDENT AU TELEPHONE . BREF ENFAITE MON SINISTRE UNE VOITURE ME FONCER DEDANS SUR MA VOIE EN FACE DE MOI JAI EVITER LE PIRE , EU LE REFLEXE DE DEVIER IL MA HEURTE. LE VEHICULE C ENFUIT SANS CONSTAT NI RIEN. DONC AUCUN DEDOMAGEMENT POSSIBLE. 1 SEMAINE A¨PRES JE RECOIS UN COURRIER DE DIRECT A QUI MINFORME QUE MA RESPONSABILITE EST TOTALEMENT ENGAGEE ET QUE JAURAI DU MALUS . DONC DANS LAFFAIRE IL ONT PROFITE DUN SINISTRE NON RESPONSABLE POUR POUVOIR AUGMENTER MON TARIF . IL SONT JUSTE LA AFIN DE VOUS PRENDRE VOS SOUS SANS PITIE ILS  NOUS PRENNENT  POUR DES IMBECILES. ET DE PLUS CHAQUE ANNEE SANS AUCUN SINISTRE AUPARAVANT  AU LIEU DE ME DIMINUER GRACE O BONUS AUGMENTATION. NE VOUS FAITES PAS AVOIR VOUS LE REGRETERAIS SA SERA TROP TARD</t>
  </si>
  <si>
    <t>06/01/2017</t>
  </si>
  <si>
    <t>founou-m-130892</t>
  </si>
  <si>
    <t xml:space="preserve">Rien à signaler pour l'instant, la souscription c'est bien passer, les tarifs sont correct, et la realisation et validation du devis à distance est très simple à effectuer </t>
  </si>
  <si>
    <t>02/09/2021</t>
  </si>
  <si>
    <t>auchaa-94073</t>
  </si>
  <si>
    <t>Assez intéressant à voir de plus près si le service suit.
Je vais tenter de souscrire dès ce soir pour devenir client chez vous.
En espérant une bonne gestion de mon dossier.</t>
  </si>
  <si>
    <t>14/07/2020</t>
  </si>
  <si>
    <t>esparreguera-j-111990</t>
  </si>
  <si>
    <t>je suis satisfait aussi bien de vos explication que de la réception téléphonique elles sont très claire je pense que nous partons pour un chemin le plus long possible jp</t>
  </si>
  <si>
    <t>28/04/2021</t>
  </si>
  <si>
    <t>jacko-85410</t>
  </si>
  <si>
    <t>pas de sens commercial ne respecte pas le client et n'est pas a l'écoute du client</t>
  </si>
  <si>
    <t>02/01/2020</t>
  </si>
  <si>
    <t>01/01/2020</t>
  </si>
  <si>
    <t>pauline-79687</t>
  </si>
  <si>
    <t>Une augmentation de notre assurance auto de 50%!!!
La cause? 2 accidents NON responsables................
Les explications de notre assureur : c'est notre nouvelle politique. Une honte absolue, assurance à fuir de toute urgence!</t>
  </si>
  <si>
    <t>02/10/2019</t>
  </si>
  <si>
    <t>loulou-47538</t>
  </si>
  <si>
    <t>c'est une catastrophe cette assurance</t>
  </si>
  <si>
    <t>13/12/2017</t>
  </si>
  <si>
    <t>pierreyves-56326</t>
  </si>
  <si>
    <t>ATTENTION ATTENTION ATTENTION
ILS REFUSENT LES REPARTIONS LORS D UN SINISTRE NON RESPONSABLE ÉTANT EN PLUS TOUT RISQUE
ILS NE SE FIENT QU A L AVIS DE LEURS EXPERTS
LES FRANCHISES SONT TRÈS TRÈS CHER
PLUS DE 40 MINUTES D ATTENTE POUR PARLER A UN CONSEILLE EN CAS DE SINISTRE
Il vaut mieux payer quelques euros de plus chez un autre assureur mais avoir la qualité d un suivi lors d un sinistre</t>
  </si>
  <si>
    <t>27/07/2017</t>
  </si>
  <si>
    <t>nana-n-139533</t>
  </si>
  <si>
    <t xml:space="preserve">Je suis satisfait du service les prix  me conviennent simple pratique claire professionnelle je recommande fortement à être chez l'olivier  prix qualité </t>
  </si>
  <si>
    <t>13/11/2021</t>
  </si>
  <si>
    <t>marijune-95934</t>
  </si>
  <si>
    <t>Je peux faire la différence avec d'autres assureurs et il n'y a pas photo !!! Au niveau de la réactivité et bien sûr de la prise en compte de mes demandes. C'est un bonheur par rapport à d'autres plateformes téléphoniques ................ appuyez sur la touche 1 etc ..........</t>
  </si>
  <si>
    <t>sabine-c-106646</t>
  </si>
  <si>
    <t xml:space="preserve">Bonjour, quand on demande une mensualisation on vous répond que c'est impossible or vue la conjoncture actuelle c'est très étonnant ce manque d'effort ! Merci </t>
  </si>
  <si>
    <t>15/03/2021</t>
  </si>
  <si>
    <t>bb94-104841</t>
  </si>
  <si>
    <t>les conseillers sont toujours disponible le prix de l'assurance n'est pas trop élevée par rapport au remboursement qui sont pratiquement de 100%
en cas de sinistre il y a toujours de bons conseils et le remboursement se fait sans problème.</t>
  </si>
  <si>
    <t>MGP</t>
  </si>
  <si>
    <t>26/02/2021</t>
  </si>
  <si>
    <t>sean-66902</t>
  </si>
  <si>
    <t>J'ai envoyé mon dossier à ces personnes il y a 3 semaines et je n'ai toujours pas reçu mon contrat d'assurances automobile. La semaine dernière, j'ai téléphoné. Ils ont répondu rapidement, mais ils m'ont dit que mon dossier avait été retardé car je n'avais pas inclus de copie de mon permis de conduire avec les autres documents. Ce n'était pas vrai. J'ai inclus tous les documents stipulés. En fin, je l'ai envoyé de nouveau, mais par courriel. Je n'ai toujours rien entendu. Je leur ai envoyé un certain nombre de courriels au cours des derniers jours, mais je n'ai pas reçu aucune réponse. Il les ignorent simplement.</t>
  </si>
  <si>
    <t>17/09/2018</t>
  </si>
  <si>
    <t>fio78-116517</t>
  </si>
  <si>
    <t>Habituellement, les gens se plaignent. Je viens ici aujourd hui pou dire "Merci la MACIF". Crevaison en île de france et pneu pas réparable.Enlevement du véhicule qui sera rapatrié chemin concessionnaire demain matin. Un taxi m'a ramené chez moi, Crevaison à 15H, remorquage à 16h et chez moi à 18h. 30 bornes en région parisienne en heures de pointe, c est pas rien. Tout ça pris en charge et programmé par macif assistance. Alors, chapeau bas et encore merci pour l efficacité.
Évidemment, j ai les options de dépannage dans mon contrat et je ne regrette pas!!</t>
  </si>
  <si>
    <t>09/06/2021</t>
  </si>
  <si>
    <t>ggrennes-126988</t>
  </si>
  <si>
    <t>L'assureur AXA de ma belle-mère a augmenté son assurance habitation de 18% en 2 ans, sans sinistre et sans explication, bien entendu, comptant sans doute sur son grand age (86 ans) pour accepter sans broncher.
J'ai demandé une explication (+ 8% en 2020 et + 10% en 2021), et j'attends...</t>
  </si>
  <si>
    <t>jean-philippe-f-128262</t>
  </si>
  <si>
    <t>Tarif très intéressant, après à voir par la suite si les services suivent lorsque l on en aura besoin. Permet d avoir un contrat complet avec assistance 0km a un prix raisonnable.</t>
  </si>
  <si>
    <t>17/08/2021</t>
  </si>
  <si>
    <t>nathy-64315</t>
  </si>
  <si>
    <t>cliente depuis 4 ans et satisfaite des prestations et des tarifs . je vais passer sur une formule moiins chère et plus avantageuse</t>
  </si>
  <si>
    <t>30/05/2018</t>
  </si>
  <si>
    <t>01/05/2018</t>
  </si>
  <si>
    <t>montegut-109609</t>
  </si>
  <si>
    <t>Ma belle mère est titulaire d'un contrat Tellus qui est une véritable catastrophe en termes de rendement. Elle souhaite arbitrer ses supports et n'arrive même pas à obtenir les performances arrêtées au 31/12/20 le 8/04/21 ! Les numéros de téléphone où joindre Allianz sont faux, et après une longue recherche, je suis en ligne avec eux depuis 45 mn avant qu'ils ne m'envoient un document qui n'est pas celui dont j'ai besoin ! Quelle honte devant une telle incompétence.</t>
  </si>
  <si>
    <t>08/04/2021</t>
  </si>
  <si>
    <t>ouafella-f-114463</t>
  </si>
  <si>
    <t>Bonjour,
je suis nouveau en tant que client, et pour le moment je suis assez satisfait des échanges que j'ai pu avoir avec mon interlocutrice. Merci
Bien à vous</t>
  </si>
  <si>
    <t>21/05/2021</t>
  </si>
  <si>
    <t>youyou-78707</t>
  </si>
  <si>
    <t xml:space="preserve">Service Client très moyen et peu efficace. Problèmes informatiques, mauvaises connections, raccrochages intempestifs, ce n'est vraiment pas terrible et cela manque de services </t>
  </si>
  <si>
    <t>26/08/2019</t>
  </si>
  <si>
    <t>01/08/2019</t>
  </si>
  <si>
    <t>billet-105752</t>
  </si>
  <si>
    <t xml:space="preserve">Suite à un sinistre je n'ai pas été indemnisée à la hauteur de ce que je pouvais prétendre...
J'ai fait un recours sans réponse positive. Aucune empathie
Aucun justificatif
Aucun recours
</t>
  </si>
  <si>
    <t>07/03/2021</t>
  </si>
  <si>
    <t>jctol-102634</t>
  </si>
  <si>
    <t>Lors d'une première souscription chez cet assureur, il y a un prix d'appel, inférieur aux autres compagnie. Puis tous les ans, sans qu'il y ait pour autant de sinistre, il augmente ses tarifs d'environ 12 %. A près réclamation, soit il ne répond pas, soit il considère que c'est le lieu d'habitation qui le justifie. Plus tard déménageant et allant en province ses tarifs continuent d'augmenter. Donc sa seule logique quelles que soient les conditions, est d'augmenter ses tarifs, donc je le quitte au bout de 4 ans, sans aucun sinistre déclaré et à 50 % de bonus. Merci la pub</t>
  </si>
  <si>
    <t>14/01/2021</t>
  </si>
  <si>
    <t>01/01/2021</t>
  </si>
  <si>
    <t>sasa-103107</t>
  </si>
  <si>
    <t xml:space="preserve">Premier dégâts des eaux de ma vie.
La Matmut se décharge et s'arrange pour que les travaux soient remboursé par l assurance de mon bailleur.(5000 euros de travaux)
on m a proposé 130 euros de réparation pour les dommages matériels.
deux chambres refaites intégralement peintures, sols et armoires pour 5000 euros et on me rembourse 130 euros.
Presque un an avant que les travaux ne soient réalisés et un an et demi pour recevoir un chèque de 100 euros.je précise que j'ai du retourner chez ma mère avec mon fils et tout racheter dans l'urgence et que je souffre d'asthme sévère. 
</t>
  </si>
  <si>
    <t>22/01/2021</t>
  </si>
  <si>
    <t>rasleboldesnuls-64953</t>
  </si>
  <si>
    <t>Le service sinistre est injoignable par téléphone. Même en passant par les services commerciaux ils ne rappellent pas.</t>
  </si>
  <si>
    <t>21/06/2018</t>
  </si>
  <si>
    <t>01/06/2018</t>
  </si>
  <si>
    <t>talissounette-56102</t>
  </si>
  <si>
    <t>process relation client très étrange, suite à voiture fracturée, après avoir envoyé ma plainte, pas de nouvelles, puis après avoir appeler, je comprends qu'il faut que je prenne RDV avec l'expert. Celui-ci m'explique au final que ce n'est pas à moi de la faire, donc relance AXA pour hâter le RDV ; ensuite une fois les travaux de réparation faits, pas de nouvelles non plus sur la suite du process, l'expert envoit-il le rapport et la facture à AXA ou Est-ce à moi de le faire ? pas de nouvelles, dans le doute je relance encore avec envoi de la facture en copie, pas de nouvelles...normal la dame est partie en vacances sans prévenir. Je relance à nouveau, la remplaçante est occupée, on me rappelle à ce qu'il parait. Pour un assureur qui se vante d'avoir encore un accueil humain, c'est plutôt moyen, ça va nous faire aimer les robots et les hotline. En passant quand on appelle à 17h45 à peine, le répondeur annonce que ça ferme à 18h00 et qu'il faut rappeler plus tard, cherchez l'erreur.</t>
  </si>
  <si>
    <t>19/07/2017</t>
  </si>
  <si>
    <t>flotof77-87244</t>
  </si>
  <si>
    <t xml:space="preserve">Parcours du combattant est un euphémisme!Je devrais etre indemniser depuis le 5décembre dernier en vain! tous les moyens sont bons pour ne pas payer les gens et les laisser dans une détresse financière! Etant atteinte d'un cancer du sein étant actuellement sous traitement et ayant subie une mastectomie et un curage axillaire j'attends toujours mon indemnisation prévue par ma prise en charge assurance emprunteur. J'appelle toutes les semaines et l'on me dit que mon dossier est en cours d'étude car mon médecin traitant n'a pas voulu remplir le questionnaire médical conformément au rapport du conseil de l'ordre des médecins adoptés en 2015.J'ai quand même joint à ce dossier tous mes comptes rendus d'opérations, comptes rendus de mammographies, IRM, Scanner résultats d'anapath. La semaine dernière on m'a signifié que je devrais voir un médecin expert encore un moyen de gagner du temps pour ne pas payer.Quel honte cardif de prendre en otage financière les gens. </t>
  </si>
  <si>
    <t>Cardif</t>
  </si>
  <si>
    <t>19/02/2020</t>
  </si>
  <si>
    <t>01/02/2020</t>
  </si>
  <si>
    <t>romarin-74924</t>
  </si>
  <si>
    <t>Une véritable catastrophe</t>
  </si>
  <si>
    <t>APRIL</t>
  </si>
  <si>
    <t>09/04/2019</t>
  </si>
  <si>
    <t>01/04/2019</t>
  </si>
  <si>
    <t>ben-51560</t>
  </si>
  <si>
    <t>J'ai pris connaissance par hasard que la Maaf avait résilié mon assurance habitation et m'avait averti par lettre recommandée que je n'ai jamais reçue. Après enquête cette lettre a été retournée à la Maaf qui n'a rien fait et ne m'a même pas averti de ce retour. Du coup je n'étais plus assuré si un sinistre ou un drame arrivait. L'"institution" se contente de résilier en grand nombre les contrats qui ne lui rapportent pas assez même si l'on a aucun tort. Faites comme moi, dites au revoir la Maaf !</t>
  </si>
  <si>
    <t>23/01/2017</t>
  </si>
  <si>
    <t>djamel1005-88778</t>
  </si>
  <si>
    <t xml:space="preserve">Impossible de résilié le contrat avec non respect de préavis et caduc , la communication malgré plusieurs échanges téléphonique et par mails très sourdines ils ne veulent rien savoir je suis très déçu franchement </t>
  </si>
  <si>
    <t>22/04/2020</t>
  </si>
  <si>
    <t>01/04/2020</t>
  </si>
  <si>
    <t>sandrarun-114709</t>
  </si>
  <si>
    <t xml:space="preserve">Attention Contrat Avysis Banque Postale : Contrat piège !!! Ils augmentent les cotisations sans vous prévenir et après la date d'échéance : résultat : obligé de payer un an de plus car hors préavis de résiliation ! </t>
  </si>
  <si>
    <t>CNP Assurances</t>
  </si>
  <si>
    <t>25/05/2021</t>
  </si>
  <si>
    <t>williams-m-124327</t>
  </si>
  <si>
    <t xml:space="preserve">Les pris sont ineressants, reste à voir en cas de sinistre comment ça se passe. 
Je souhaite pas le découvrir tt de suite et garder mes véhicules en bon état. </t>
  </si>
  <si>
    <t>23/07/2021</t>
  </si>
  <si>
    <t>cantilene67-61903</t>
  </si>
  <si>
    <t>Mes parents y sont depuis très longtemps et en ont toujours été satisfaits; c'est pourquoi j'y suis moi-même depuis quatre ans et je n'ai que des satisfactions; lors de mes deux sinistres, non-responsables, ils ont toujours été présents, réactifs et même très compatissants, humainement, pour mes dommages personnels subis (notamment corporels), prenant du temps pour s'informer de ma santé, de mon rétablissement au choc psychologique. L'une de mes sœurs, dans un cas similaire, a également été très bien suivie, et rapidement remboursée. Elle en est, elle aussi, enchantée et n'en dit que du bien.</t>
  </si>
  <si>
    <t>mamou-88058</t>
  </si>
  <si>
    <t>Je suis assurée par l'entreprise depuis 6 mois. Je n'ai eu jusqu'à présent aucun souci de télétransmission des données et les remboursements sont très rapides par rapport à certaines autres mutuelles.
je trouve qu'il y a beaucoup de commentaires négatifs et je m'interroge sur la suite de mon contrat  car je suis a la retraite bientôt</t>
  </si>
  <si>
    <t>Génération</t>
  </si>
  <si>
    <t>06/03/2020</t>
  </si>
  <si>
    <t>01/03/2020</t>
  </si>
  <si>
    <t>sb-85892</t>
  </si>
  <si>
    <t>J'étais adhérente à la MATMUT, j'ai tenté un autre assureur et suis revenu à la MATMUT. Dernièrement j'avais besoin de renseignement j'ai été écouté entendu et bien au-delà de mes attentes. Grâce à R.A et ses conseils j'ai pas mal économisé sur mes assurances et diverses couvertures. La MATMUT, elle  assure dans tout le sens du terme.</t>
  </si>
  <si>
    <t>14/01/2020</t>
  </si>
  <si>
    <t>anastasia33530--99981</t>
  </si>
  <si>
    <t xml:space="preserve">Inacceptable j'ai fais aucune demande et j'ai rien signé je me retrouve a payer 35 euros de frais sur sogecap de jour au lendemains ! J'exige un remboursement. </t>
  </si>
  <si>
    <t>Sogecap</t>
  </si>
  <si>
    <t>11/11/2020</t>
  </si>
  <si>
    <t>boitelle-m-136986</t>
  </si>
  <si>
    <t>Ergonomie de l'application, bon tarif par rapport à la concurrence. à voir dans le temps si les services sont facilement joignables. expériences positives.</t>
  </si>
  <si>
    <t>11/10/2021</t>
  </si>
  <si>
    <t>01/10/2021</t>
  </si>
  <si>
    <t>jean-luc-b-105428</t>
  </si>
  <si>
    <t xml:space="preserve">satisfait en attendant la suite voir si pas de surprise !
augmentation prix  pas de prise en charge eventuelle ds certains cas  si vous etes joignable facilement
</t>
  </si>
  <si>
    <t>04/03/2021</t>
  </si>
  <si>
    <t>noemie-d-132151</t>
  </si>
  <si>
    <t>Prix légèrement excessif, cependant l'accueil au téléphone est toujours agréable et le service d'écoute au top ! Service téléphonique rapide et aimable.</t>
  </si>
  <si>
    <t>10/09/2021</t>
  </si>
  <si>
    <t>caltu-70562</t>
  </si>
  <si>
    <t>Globalement, je suis très satisfait par cette assurance, avec son tarif, son bonus à vie et la baisse de la franchise (sous condition de continuité du contrat). Etant en LOA, j'aurais apprécié une garantie perte financière en cas de vol ou véhicule irréparable.</t>
  </si>
  <si>
    <t>24/01/2019</t>
  </si>
  <si>
    <t>01/01/2019</t>
  </si>
  <si>
    <t>odile-60380</t>
  </si>
  <si>
    <t>Propriétaire d'une femelle Rottweiler, j'ai adhéré en juin 2006 jusqu'au décès de ma chienne en décembre 2017. Au total, mes prélèvements par SantéVet s'élèvent depuis 2006 à 5.380,14 €. Jamais malade la finalité de la vie de ma chienne s'est révélée onéreuse puisque j'ai présenté 1.213.82 € de factures à Santé Vet aux fins de remboursement. 
Au prétexte que j'avais dépassé le plafond des remboursements, ces sommes n'ont pas été remboursées.
Professionnelle du chien, je conseillerai dorénavant à ma chère clientèle de ne pas adhérer à une assurance, quelqu'elle soit, mais d'ouvrir un livret sur lequel il pourrait être versé une somme mensuelle, somme qui rapporterait des intérêts.
En effet, il est rare d'avoir besoin d'un vétérinaire lors des jeunes années de nos chiens. Par contre, leur finalité de vie fait que les frais peuvent être important. N'oubliez jamais cela et tournez vous plutôt sur un livret d'épargne dans lequel vous pourrez puiser les sommes vous permettant de faire soigner au mieux vos compagnons.</t>
  </si>
  <si>
    <t>SantéVet</t>
  </si>
  <si>
    <t>11/01/2018</t>
  </si>
  <si>
    <t>mahjouba-n-133911</t>
  </si>
  <si>
    <t xml:space="preserve">NICKEL TOUT EST CLAIR ET RAPIDE MERCI 
PRIX COVENABLE AVEC PLUSIEURS GARANTIES INCLUSES TOP POUR LE TOUT RISQUES ET PAS CHERS LASSURANCE DU TOUT MERCI </t>
  </si>
  <si>
    <t>22/09/2021</t>
  </si>
  <si>
    <t>gillou85-54804</t>
  </si>
  <si>
    <t>en arrêt de travail depuis le 6/12/2016 suite infarctus rénal et péricardite,j'ai envoyé ma demande le 04/04/2017 ,toujours en attente d'acceptation</t>
  </si>
  <si>
    <t>19/05/2017</t>
  </si>
  <si>
    <t>01/05/2017</t>
  </si>
  <si>
    <t>zorro-80934</t>
  </si>
  <si>
    <t>J'ai un véhicule assuré tous risques.
En juin 2018, suite un début d'incendie d'origine électrique, je fais une déclaration de sinistre.
L'expert évalue les dégâts à 1700 Euros, mais le garage me fait un devis de 6000 Euros et m'explique qu'il est impossible de réparer le véhicule en suivant le rapport de l'expert.
Le véhicule ne vaut pas 6000 euros. L'expert m'explique alors que l'assurance doit le mandater pour faire estimer la valeur du véhicule.
Après au moins 20 mails et 10 appels à l'expert et à l'assurance, Direct Assurance n'a toujours pas mandaté l'expert pour qu'il corrige son expertise.
Il n'y a aucun suivi de la part de Direct Assurance. Je n'ai droit qu'a des réponses types.
Absolument personne ne prend en charge les demandes et ne gère le sinistre.
Un an après, alors que le véhicule ne roule pas depuis, ils n'hésitent pas à me relancer pour payer ma cotisation annuelle plein pot.</t>
  </si>
  <si>
    <t>12/11/2019</t>
  </si>
  <si>
    <t>claude-j-114223</t>
  </si>
  <si>
    <t>Je suis très satisfait de vos services même en ces temps de covid. Tout le monde ne réagit pas pareil:
- carossier 2 mois de délai
- 2 expertises ( photos et présenciel)
La covid a bon dos !</t>
  </si>
  <si>
    <t>19/05/2021</t>
  </si>
  <si>
    <t>jojo-87756</t>
  </si>
  <si>
    <t>je suis allé deux fois cette semaine, très bon accueil, très bonne compréhension du pb ainsi que de sa prise en compte. Comme j'y suis allé deux fois, je mets deux fois 5 étoiles</t>
  </si>
  <si>
    <t>28/02/2020</t>
  </si>
  <si>
    <t>moly-70401</t>
  </si>
  <si>
    <t>Je suis abonné depuis le 1  janvier a NEOLIANE ,dèja de gros souci ,on est le 21 toujours pas fait le nécessaire avec la CPAM.Démarchage au téléphone très insistant ,mutuelle qui n'est pas tres chère  mais attention ,beaucoup de choses pas pris en cause</t>
  </si>
  <si>
    <t>21/01/2019</t>
  </si>
  <si>
    <t>juliezlt-123349</t>
  </si>
  <si>
    <t xml:space="preserve">Il est actuellement 19h45, j'ai appelé la MAAF a exactement 18h17, et je suis toujours en attente. Je souhaitais avoir un devis pour une assurance voiture ET moto. Impossible d'avoir quelqu'un c'est une honte. 
Avec tout l'argent que les assurance se font, je pense qu'embaucher du personnel pour répondre au téléphone ne va pas les ruiner. C'est inadmissible, je n'irais jamais chez eux, peut importe le prix. </t>
  </si>
  <si>
    <t>13/07/2021</t>
  </si>
  <si>
    <t>morel-c-117319</t>
  </si>
  <si>
    <t>Satisfaite du service en ligne. Bons renseignements par le conseiller. Signature du contrat rapide. 
Point négatif du contrat : la franchise est élevée</t>
  </si>
  <si>
    <t>philippe-k-134937</t>
  </si>
  <si>
    <t>Je suis tres satisfait de mon interlocuteur M. Mekki depuis le debut de la prise en charge de mon dossier.
Personne tres professionnelle et agreable a chaque echange telephonique.</t>
  </si>
  <si>
    <t>28/09/2021</t>
  </si>
  <si>
    <t>meharzi-s-109695</t>
  </si>
  <si>
    <t xml:space="preserve">Je suis satisfait du prix oui c'est pas cher ,mais pas de l'espèce perso il voulait pas marché sur mon ordinateur et en plus il manque une application </t>
  </si>
  <si>
    <t>lothaire-d-126530</t>
  </si>
  <si>
    <t>Très satisfait de ma souscription, tarifs vraiment compétitifs, conseillés réactifs par téléphone et par mail, les seuls à m'avoir fait une proposition d'assurance pour mon véhicule.</t>
  </si>
  <si>
    <t>04/08/2021</t>
  </si>
  <si>
    <t>agnes-54768</t>
  </si>
  <si>
    <t xml:space="preserve">lamentable escroqueriefaites par telephone aux personnes agees .ils se font passe pour leur mutuelle complementaire et prennent comme cela des news clients et des news contrats........faites bien attention </t>
  </si>
  <si>
    <t>18/05/2017</t>
  </si>
  <si>
    <t>jean-marie--m-134900</t>
  </si>
  <si>
    <t>Je suis tres satisfait de l application permettant la souscription rapide et complète, des prestations et des tarifs de l assurance. Je recommande vivement.</t>
  </si>
  <si>
    <t>trk502-89341</t>
  </si>
  <si>
    <t>Je suis satisfait de cette mutuelle conseiller par les membres la FFMC ,j'ai eu un sinistre non responsable après passage de l'expert remboursement sous 10 jours ce qui est plutôt correcte. Prix également correcte pour le service fournie .
Merci la mutuelle.</t>
  </si>
  <si>
    <t>Mutuelle des Motards</t>
  </si>
  <si>
    <t>04/05/2020</t>
  </si>
  <si>
    <t>marie-solange-i-123831</t>
  </si>
  <si>
    <t>Le service est au top! Les démarches en lignes sont simples. Par ailleurs, les tarifs qui augmentent alors que le malus diminue sont de mauvais goût! Le bonus devrait se traduire à une baisse de cotisation!</t>
  </si>
  <si>
    <t>alain-81540</t>
  </si>
  <si>
    <t>Renversé en tant que piéton sur un passage protégé .l'assurance direct assurance n'a JAMAIS répondu aux demandes de mon assurance qui a été obligé de l'assigner au tribunal et de se retourner contre la conductrice du véhicule .... CE N'EST PAS UN ASSUREUR !!!!</t>
  </si>
  <si>
    <t>02/12/2019</t>
  </si>
  <si>
    <t>theophile-d-128530</t>
  </si>
  <si>
    <t>A niveau de prestations équivalent cette assurance permet de revenir moins cher grâce au boîtier.
Une éco-conduite responsable permet jusqu'à 120€ e réduction remboursée dans l'année.
Pour un jeune permis sans bonus ni malus,  c'est motivant</t>
  </si>
  <si>
    <t>19/08/2021</t>
  </si>
  <si>
    <t>dge73-61682</t>
  </si>
  <si>
    <t xml:space="preserve">Je ne peux témoigner de leur niveau de garantie, j'ai eu seulement 2 bris de glace en 4ou5 ans. J'ai quitté cette assurance (voiture) car chaque année, l'augmentation du tarif était importante, arrivée à plus de 650€ annuels, l'augmentation a été de 150€ en 4ou5 ans!!! Ils étaient donc bien placés la première année mais sont dorénavant devenus plus chers que les autres assurances avec agences. J'ai reçu une confirmation de ma rupture du contrat le 25 janvier, valable à compter du 31 janvier. Or, le 5 février, ils m'ont tout de même prélevé le montant annuel pour l'année suivante : donc 650€ !! Après 2 appels, et étant le 23 février, je n'ai toujours pas été remboursée, et ils prétendent que c'est normal. Je ne recommande absolument pas cet assureur.
</t>
  </si>
  <si>
    <t>23/02/2018</t>
  </si>
  <si>
    <t>01/02/2018</t>
  </si>
  <si>
    <t>arnault-i-121843</t>
  </si>
  <si>
    <t>Satisfaite du service.
Bel échange avec les conseillers.
Des prix à abordables.
Une facilité de communication et joignable très rapidement.
Je recommande.</t>
  </si>
  <si>
    <t>30/06/2021</t>
  </si>
  <si>
    <t>dom-122833</t>
  </si>
  <si>
    <t xml:space="preserve">Depuis  début Mai j 'ai adressé un dossier complet  de transfert de PERE  il n'est toujours pas traité  et pourtant c'est de Cardif à Cardif , Le service téléphonique vous renvoie de service en service, idem pour le service réclamation qui vous explique qu ils sont en attente de l'autre service de Cardif, les mails restent sans réponse idem pour les recommandés avec AR 
Je ne sais plus ce qu'il faut en penser c'est de l incompétence ou de la mauvaise volonté </t>
  </si>
  <si>
    <t>08/07/2021</t>
  </si>
  <si>
    <t>marie87-116627</t>
  </si>
  <si>
    <t xml:space="preserve">Très mécontente, ne mérite même pas 1 étoile... à chaque consultation il faut envoyer le relevé sécurité sociale et la facture même pour une consultation chez votre généraliste ! La télétransmission ne se fait pas automatiquement donc si vous n'êtes pas vigilant sur vos comptes ou que vous avez oublié de demander une facture vous passez à côtés de vos remboursements !! La plupart des autres mutuelles font la télétransmission automatiquement. Je regrette beaucoup mon ancienne mutuelle. </t>
  </si>
  <si>
    <t>melanie-74710</t>
  </si>
  <si>
    <t xml:space="preserve">J ai mis quatre jours pour avoir une personne en ligne pour me faire une prise en charge rentrant en clinique . 
Enfin ce matin j ai eu Erika qui m a fait ma demande car j en aie besoin pour demain. cordialement
</t>
  </si>
  <si>
    <t>03/04/2019</t>
  </si>
  <si>
    <t>domingos-g-129593</t>
  </si>
  <si>
    <t xml:space="preserve">je suis satisfaite et les prix sont intéressants je compte faire de la publicité pour votre assurance qui est facile à contracter.
cordialement, Domingos                         
</t>
  </si>
  <si>
    <t>26/08/2021</t>
  </si>
  <si>
    <t>michel-b-112424</t>
  </si>
  <si>
    <t>Il faut voire en cas de sinistre comment vous réagissez . Les franchises en cas d'accidents sont trop élevées . Une interlocutrice avec qui j'ai un entretien était  difficilement compréhencible</t>
  </si>
  <si>
    <t>03/05/2021</t>
  </si>
  <si>
    <t>olive11-33095</t>
  </si>
  <si>
    <t>C'est la mutuelle à éviter.</t>
  </si>
  <si>
    <t>19/03/2018</t>
  </si>
  <si>
    <t>israel-meir--h-114924</t>
  </si>
  <si>
    <t xml:space="preserve">Les prix sont tres abordables, tres rapide , tres simple , facilitation de paiment , je recommande vivement Direct Assurance. 
Pour un 1er achats de vehicules ce sont les moins chere. </t>
  </si>
  <si>
    <t>26/05/2021</t>
  </si>
  <si>
    <t>lau-77393</t>
  </si>
  <si>
    <t xml:space="preserve">Ne rattache pas à la sécu remboursement en attente depuis presque 1an et demi et voilà que je résilie et on me rattache à la sécu sauf que jai perdu mes enfants.  Wahou !!!! 2 opérations avec soit disant une prise en charge résultats j ai tt payé.  Super. </t>
  </si>
  <si>
    <t>06/07/2019</t>
  </si>
  <si>
    <t>lepere-49781</t>
  </si>
  <si>
    <t>Le CM est une banque pas une assurance</t>
  </si>
  <si>
    <t>Crédit Mutuel</t>
  </si>
  <si>
    <t>01/12/2016</t>
  </si>
  <si>
    <t>moh-98789</t>
  </si>
  <si>
    <t>Je vous déconseille vivement cette assurance : publicité mensongère, foutage de gueule et service client zéro (5 PIÈGES À ÉVITER LORS DE LA SOUSCRIPTION D'UNE ASSURANCE AUTO) c'est L'oliver.</t>
  </si>
  <si>
    <t>15/10/2020</t>
  </si>
  <si>
    <t>nida-122120</t>
  </si>
  <si>
    <t>TRès bonne prise en charge téléphonique de Widad réponse claire, amabilité et très bonne écoute.
Les réponses apportées répondaient tout à fait à mes questions.</t>
  </si>
  <si>
    <t>valrens-61742</t>
  </si>
  <si>
    <t>Fidèle depuis 30 ans et au premier souci (cambriolage) nous sommes traités comme des menteurs, cafouillage dans les devis et RV, service minimum pour les travaux (maquillage de l'effraction, serrure de base, porte laissée en l'état). Nous quittons la MACIF de bon coeur !</t>
  </si>
  <si>
    <t>25/02/2018</t>
  </si>
  <si>
    <t>lc13-107626</t>
  </si>
  <si>
    <t xml:space="preserve">Prix intéressant la première année et au lieu de baisser quand le bonus évolue le prix grimpe en flèche...Déçu de cette hausse alors que je n'ai pas eu e sinistre. 
</t>
  </si>
  <si>
    <t>23/03/2021</t>
  </si>
  <si>
    <t>jmh-51476</t>
  </si>
  <si>
    <t>Suite à un sinistre vélo contre vélo sur piste cyclable sans responsabilité de ma part autre que celle d'être présent un nombre impressionnante de courrier a été nécessaire pour enfin arriver au bouclement de ce dossier. J'ai donc signé le document présenté indiquant le montant à recevoir. Sans aucune information préalable des frais bancaires de la société générale (banque de la Macif) puis de sa filiale intermédiaire ont été tout simplement déduits du montant convenu.
Par tous les moyens la direction Macif incite ses fonctionnaires à tricher, à voler. 
Quelle honte ce mode de faire détestable. C'est malheureusement ce dont souffre la France actuelle avec des assurances comme la Macif non certifiée et sans scrupule.</t>
  </si>
  <si>
    <t>19/01/2017</t>
  </si>
  <si>
    <t>marjorie--92953</t>
  </si>
  <si>
    <t xml:space="preserve">Je suis satisfaite du devis et des informations donner sur le site tout à été claire pour moi bien expliquer et niveau prix je trouve très abordable pour jeune conducteur </t>
  </si>
  <si>
    <t>mic68-61345</t>
  </si>
  <si>
    <t>Je n'en suis pas du tout satisfaite. J'ai eu des problèmes pour résilier le contrat malgré un divorce; ensuite ils continuent à me prélever 18.64€ tous les mois. Depuis la résiliation, ils ne m'ont pas remboursé le dentiste dont la date entrait encore dans la période de cotisation.</t>
  </si>
  <si>
    <t>12/02/2018</t>
  </si>
  <si>
    <t>eva-l-105410</t>
  </si>
  <si>
    <t>Satisfaite du service pour une première assurance de premier logement... Prix assez correct, je suis satisfaite du service proposé par Direct ASSURANCE</t>
  </si>
  <si>
    <t>draeni-58258</t>
  </si>
  <si>
    <t>Je n'ai rien à dire, si ce n'est qu'à mon avis, avoir un assureur, c'est avant tout avoir une personne connue devant soi, toutes mes expériences (à part chez Axa) sont positives, très positive pour allianz car j'ai de très bons contacts avec mon assureur, à condition toutefois de bien comprendre que les assurances ne font ni de cadeau ni de miracle et qu'une assurance ne veut pas dire qu'on vous rembourse la chose, mais juste qu'on vous dédommage... donc il vaut mieux se protéger soi-même que d'avoir une assurance très chère ^^.</t>
  </si>
  <si>
    <t>29/12/2020</t>
  </si>
  <si>
    <t>achile39-78037</t>
  </si>
  <si>
    <t>AMV est un courtier de Generali,donc intermédiaire en plus, résultat, plus de 40 jours que j'attend l'aval de cette assurance pour les réparations de ma moto alors que l'assurance adverse a reconnu les tord de son client 100% il y a 40j, l'autre vehicule est refait depuis 1  mois et moi je dois appeler tous les 2 jours car on ne me dit rien à part on n'a pas le papier. J'aurais donc peut être ma moto en hiver, toujours sympa de payer une assurance pour rien à l'année étant donne que la bonne saison ne dur que 2 mois en montagne...</t>
  </si>
  <si>
    <t>30/07/2019</t>
  </si>
  <si>
    <t>valentin-p-118044</t>
  </si>
  <si>
    <t>Les tarifs sont attractifs même si les deux premier mois sont plus élevés je ne sais pas pourquoi, pour un svs de 2007, 95€ les deux premier puis 47€ !!</t>
  </si>
  <si>
    <t>23/06/2021</t>
  </si>
  <si>
    <t>samah-f-98028</t>
  </si>
  <si>
    <t xml:space="preserve">Excellent service en ligne, le prix est très bon marche sans lésiner sur la qualité et les prestations, l’offre est personnalisée et s’adapte à tous les besoins </t>
  </si>
  <si>
    <t>29/09/2020</t>
  </si>
  <si>
    <t>hass-68298</t>
  </si>
  <si>
    <t>Bonjour suite à un devis assurance habitation dans une agence a moissac 82200 on a ma souscrit sans mon accord a un contrat sans l'avoir signé au préalable 6 mois après l'agence me dit que j'ai un 2 ième contrat habitation je lui explique que je n'est rien signer elle me dit c'est ça parole contre la mienne elle voit mon mécontentement elle annule le contrat sans rien(ni lettre ,ni mail....) bref je décide de résilier mes contrats on me préleve 200euros de plus. Je vais la voir elle me dit que c'est le contrat qu'elle ma fais souscrire et que jetais de mauvaise fois je lui dit ok !!!!
donc Je lui demande mon ou est mon contrat ? Ou est mon échéancier ? Ou est ma lettre recomander pour resiliation ?
Elle n'a pas su me répondre cette semaine je vois mon avocats je porte plainte pour abus de confiance et aucune autorisation de prélèvement pour un contrat imaginaire ALLIANZ  VOUS prélève ce qui    veulent vous augmente quand il veulent!!!</t>
  </si>
  <si>
    <t>03/11/2018</t>
  </si>
  <si>
    <t>01/11/2018</t>
  </si>
  <si>
    <t>citesdor-130468</t>
  </si>
  <si>
    <t>Cela fait plusieurs années que je paye un contrat prévoyance chez SwissLife. Aujourd'hui ça fait 2 ans qu'un dossier est ouvert pour une rente invalidité... ils font tout pour me décourager et utiliser toutes les techniques pour ne pas payer. Une galère et de vraie mauvaise foi ! Des délais de réponse de parfois plusieurs mois pour une seule question. Des comptes rendus médicaux de médecins experts quasiment impossible à obtenir.
Bref, n'allez jamais chez eux, vous n'aurez jamais votre rente invalidité. 
Mais je ne les lâcherai pas et j'irai jusqu'en justice s'il le faut même si cela doit prendre 10 ans</t>
  </si>
  <si>
    <t>31/08/2021</t>
  </si>
  <si>
    <t>leger-a-122843</t>
  </si>
  <si>
    <t>Service très rapide Je trouve que le tarif est très bien on verra par la suite si les services suivent  bien  En cas de problème ou autres.
Merci pour votre rapidité</t>
  </si>
  <si>
    <t>david-r-112951</t>
  </si>
  <si>
    <t xml:space="preserve">satisfait merci
facilité d'axxès au service d'assurance en ligne,et  problème d'attestation pour achat de véhicule d'occasion à assurer rapidement résolu.reste l'attestation papier pour conduire qui est un peu encore npn rassurant.
</t>
  </si>
  <si>
    <t>07/05/2021</t>
  </si>
  <si>
    <t>chris83-62921</t>
  </si>
  <si>
    <t>De Bons conseils. Les remboursements sont fait rapidement. Les conseillés disent la même choses. Bon suivi de dossier. Prix raisonnable. Il y à des conseils sur le site.</t>
  </si>
  <si>
    <t>04/04/2018</t>
  </si>
  <si>
    <t>mai-anh-h-126503</t>
  </si>
  <si>
    <t xml:space="preserve">Un peu cher l'assurance en étant jeune conducteur mais démarches faciles et efficaces. Cela reste malgré tout l'assurance la moins chère par rapport aux autres. </t>
  </si>
  <si>
    <t>yangtse-117882</t>
  </si>
  <si>
    <t>A propos d'une erreur concernant la transmission de la carte de tiers payant, Maria par téléphone au service clients, m'a résolu le problème avec efficacité . Très satisfait de son intervention et de son amabilité.</t>
  </si>
  <si>
    <t>22/06/2021</t>
  </si>
  <si>
    <t>laurearc-77166</t>
  </si>
  <si>
    <t>Tres bon accueil et réponses  d Erika.</t>
  </si>
  <si>
    <t>27/06/2019</t>
  </si>
  <si>
    <t>01/06/2019</t>
  </si>
  <si>
    <t>sichman-petrovsky-p-123108</t>
  </si>
  <si>
    <t>Satisfaite, bien accompagnée lors de l'échange téléphonique, la personne était très professionnelle et donnait des explications très claires. Lecture et signature du contrat très simple. Merci à vous</t>
  </si>
  <si>
    <t>11/07/2021</t>
  </si>
  <si>
    <t>marie-line-b-128781</t>
  </si>
  <si>
    <t>Prix trop classique rapport aux autres et avec moins d'avantage que les devis fait dans les autres agences mais l'avantage est la rapidité de mise en place</t>
  </si>
  <si>
    <t>manboy-71507</t>
  </si>
  <si>
    <t>Si vous pensiez avoir trouvé un rapport qualité /prix en choisissant eurofil , vous êtes dans l'erreur !!!
Vous découvrez , malheureusement et tardivement , qu'il s'agit d'une assurance low cost .
En effet , pour proposer une tarification , qui a première vue , pourrait paraître avantageuse , la qualité de service est moindre.
Pour ma part , je decouvre qu'à la suite d'un accident sur autoroute pour lequel je ne suis pas responsable , je suis obligée de me démener pour me faire rapatier depuis le lieu d'accident , que je n'ai pas de prêt de voiture , et que je ne bénéficie même pas d'un taxi qui pourrait me déposer sur un centre de location de véhicule. De plus les garages agrées vers lesquels vous dirige l'assureur , ne disposent pas de véhicules de coutoisie. Vous devez jongler par téléphone , entre les differents services. Il n'existe pas de fluidité, ni même de coordination entre les services.Il ne s'agit que de la première étape de cet accident . Je n'ose imaginer la  suivante!!
Un conseil ?.... FUYEZ !!! 
A tarif quasi égal et à prestations bien supérieures , je vous invite , pour ceux qui y sont , à ne pas quitter GMF
Forte de ce début d'expérience , pour ma part , je retournerai dans quelques mois.
Les quelques euros gagnés ne justifient pas une telle aberration</t>
  </si>
  <si>
    <t>02/03/2019</t>
  </si>
  <si>
    <t>thierry-m-123264</t>
  </si>
  <si>
    <t xml:space="preserve">Prix et garanties très bien d ou ma reprise d assurance chez vous des que j ai rachete ma moto comparaison avec de gros groupe moto vous êtes bien placés continuez </t>
  </si>
  <si>
    <t>vega-53534</t>
  </si>
  <si>
    <t xml:space="preserve">Suite à un accident nous avons découvert qu'un membre de ma famille est epilleptique (elle a tout oublié de cet accident). Elle a tout d'abord déposé une plainte a la gendarmerie comme quoi qqn lui avait abimé sa voiture sur un parking, suite à une enquete de gendarmerie il s'avere qu'elle était responsable d'un accident (ou il n'y a eu que des dommage matériel), et suite au harcelement de l'assurance de l'autre personne elle a modifé sa déclaration à la gendarmerie. Depuis cette personne ne conduit plus, suite au conseil du médecin, et la maif a demandé le remboursement des frais de réparation du véhicule. le fils de cette personne a monté un dossier aupres de la maif, puis le dossier était clos selon les agent de la maif. Quelques mois plus tard, la maif demande a nouveau le remboursement (le dossier a-t-il été réouvert? nous a-t-on menti en nous disant que le dossier était clos?) et depuis ce temps la personne respect ce que lui a préconisé le médecin, elle ne conduit pas... </t>
  </si>
  <si>
    <t>24/03/2017</t>
  </si>
  <si>
    <t>01/03/2017</t>
  </si>
  <si>
    <t>ulrich-b-124637</t>
  </si>
  <si>
    <t>Direct Assurance très facile d'inscription montant un peu élevé rapide rapide à voir pour la suite en cas de sinistre sinon le site très bien ça va moi aussi</t>
  </si>
  <si>
    <t>25/07/2021</t>
  </si>
  <si>
    <t>lea140495-85296</t>
  </si>
  <si>
    <t xml:space="preserve">2 mois de dossiers non traité mais prélèvement mensuel pas oublié et non rembourser. J'ai appelé 10 fois en ayant la même réponse non abouti.
Et la cerise sur le gâteau, une conseillère m'a carrément raccroché au téléphone, aucune embrouille de ma part, juste une explication de ma situation et mon envie d'être remboursé comme harmonie me l'avait si bien fait espérer qui d'après les dires de la dernière conseillère "aucune trace de cette demande, elle sera donc pas aboutie".
Je suis choquée de cette conseillère. Les appelles étant enregistré, faites en sorte d'avoir des conseiller compétent qui n'agresse pas au téléphone pour au final raccrocher sans que le client ai dit quoi que ce soit. </t>
  </si>
  <si>
    <t>28/12/2019</t>
  </si>
  <si>
    <t>neguzel-130589</t>
  </si>
  <si>
    <t>Bonjour
Sur l'assurance elle-même je n'ai rien à reprocher mais l'accueil à Châteauroux est déplorable : vous rentrez dans un hall, 6 bureaux vitrés autour de vous personne ne vous regarde vous restez là en ne sachant que faire.
Au minimum 20 minutes après quelqu'un daigne vous dire bonjour et qu'une personne s'occupera de vous.
Lorsque fatigué d'attendre vous finissez par partir, vous avez, au bas mot perdu 1 heure de votre vie, vous avez dépassé l'heure de parking pour votre voiture et vous cherchez un autre assureur en espérant que le client sera traité dignement.</t>
  </si>
  <si>
    <t>Groupama</t>
  </si>
  <si>
    <t>franz-88955</t>
  </si>
  <si>
    <t>Assuré chez April moto depuis maintenant plusieurs années. Et suite à un prix très attractif lors de mon inscription il y a maintenant presque 10 ans le prix ne cesse d'augmenter et ayant fait une petite recherche sur Internet me rends compte que si je serai de nouveaux clients je payerai 50 % moins cher.</t>
  </si>
  <si>
    <t>17/04/2020</t>
  </si>
  <si>
    <t>gb56-61596</t>
  </si>
  <si>
    <t>aucunes nouvelles depuis le declration de sinistre le 9 janvier et apres le passage de l'expert le 13 janvier,depuis aucun contact téléphonique</t>
  </si>
  <si>
    <t>20/02/2018</t>
  </si>
  <si>
    <t>severine-65517</t>
  </si>
  <si>
    <t>Écœurée on me renvois sur 36 numéros différents pour aucune garantie derrière au final je paye pour au final être assuré sur des critères quasi improbables ou très rare J'ai souscrit à l'aveugle je ferai bien plus attention à qui je ferai confiance dans une prochaine assurance Changement très bientôt Adieu Sogessur Aucune compassion pour les clients</t>
  </si>
  <si>
    <t>Sogessur</t>
  </si>
  <si>
    <t>16/07/2018</t>
  </si>
  <si>
    <t>unau-m-107840</t>
  </si>
  <si>
    <t xml:space="preserve">L'assistante que j'ai eu au téléphone est très compétente et sympathique. Les renseignements demandés sont fait de manière efficace et précis. C'est très bien !
</t>
  </si>
  <si>
    <t>cl45-52944</t>
  </si>
  <si>
    <t>assurance qui ne sait que prendre l'argent des personnes qui souscrit chez eux en pensant avoir à faire une assurance honnête mais qui est loin de l'être J'attends un remboursement pour une visite vétérinaire et ça va faire bientôt un mois que j'ai toujours rien à coté de ça il me prenne pour une menteuse et trouve tous les pretextes pour ne pas prendre en charge les frais quand l'animal a des soucis. quand on leur demande de me rappeler bien sûr madame il va vous rappeler mais je ne sais pas quand en fait ça veut dire jamais ça se cache derrière les email  je ne vais pas leur faire de la bonne pub!!!!</t>
  </si>
  <si>
    <t>Eca Assurances</t>
  </si>
  <si>
    <t>03/03/2017</t>
  </si>
  <si>
    <t>keystone-58895</t>
  </si>
  <si>
    <t>Mon contrat Raqvam de 1997 stipulait une protection juridique avec des exclusions. La protection des droits d'auteur ne faisait pas partie des ces exclusions. Je n'ai jamais autorisé de modification de mon de mon contrat initial. Un cabinet d'avocat me dit que avec un ancien contrat assure ce type de risque. Je n'arrive pas à faire valoir mes droits, ils essaient de me refiler leur nouveau contrat qui prend en charge les droits d'auteur mais bien moins avantageux pour la protection de l'habitation !! ils essaient de casser les anciens contrats. Je suis très inquiet sur ce que je suis sensé être protégé. je dépense 2800 euros d'assurances par an chez eux. Je vais reprendre mes contrats,  un par un et migrer vers une autre assurance. Je n'ai plus confiance quelque chose à changer assurément à la Maif !!</t>
  </si>
  <si>
    <t>16/11/2017</t>
  </si>
  <si>
    <t>01/11/2017</t>
  </si>
  <si>
    <t>digital-107016</t>
  </si>
  <si>
    <t>Je suis assuré chez la mutuelle des motards, je viens de recevoir mon échéancier  Quand j'ai vu le montant j'ai cru que c'était une erreur du coup j'ai appelé l'assurance, ils m'ont expliquer la raison de l'augmentation qui est d'environ 20%.je trouve que c'est abusé, je veux bien payer un peu plus mais petite une augmentation de 20% ça sera certainement sans moi.</t>
  </si>
  <si>
    <t>18/03/2021</t>
  </si>
  <si>
    <t>mayacoutouzis-52834</t>
  </si>
  <si>
    <t xml:space="preserve">C'est un scandale! Cela fait deux mois et demie que je ne peux pas récupérer mon véhicule qui est a été reparé au garage suite à un dommage causé par un dépanneur mandaté par Eurofil eux meme et qui a défoncé ma voiture sur le trajet. C'est scandaleux, Eurofil n'assume absolument pas sa responsabilité dans ce dossier et me prive de mon véhicule. Aucune communication possible avec un responsable! Je n'ai jamais vu ça! </t>
  </si>
  <si>
    <t>28/02/2017</t>
  </si>
  <si>
    <t>marie-106739</t>
  </si>
  <si>
    <t>J'ai souscrit une assurance auto.. transmis les documents depuis 10 jours.. je reçois des mails me demandant les documents, j'appelle et me disent qu'il ont bien tout mes sont en retard.. résultat toujours pas de carte verte, et impossible de savoir où en est mon dossier.   Pas sérieux du tout, pas d'information,  personne ne sait rien.. ??</t>
  </si>
  <si>
    <t>16/03/2021</t>
  </si>
  <si>
    <t>wiwidu973-66459</t>
  </si>
  <si>
    <t>Je pense que c'est ce qu'on peut appeler les moustiques des temps modernes !!!</t>
  </si>
  <si>
    <t>mess-55277</t>
  </si>
  <si>
    <t xml:space="preserve">Assurance qui encaisse tous les mois, mais dès qu'il s'agit de rembourser un sinistre ils font tous pour ne pas payer... en insinuant que j'ai fait une fausse déclaration pour un vandalisme et on me colle une responsabilité à 100% alors que mon véhicule était stationné ! Je me sent humilié quand on me dit que j'ai fait une fausse déclaration ! Après 6 années chez vous, c'est mes derniers véhicule que j'assure chez axa ! Très déçu que l'on me traite ainsi...
</t>
  </si>
  <si>
    <t>11/06/2017</t>
  </si>
  <si>
    <t>01/06/2017</t>
  </si>
  <si>
    <t>lalec59-74901</t>
  </si>
  <si>
    <t>Plusieurs mois (8) pour toucher le capital, avec un jeu consistant à se tromper d'adresse, changer un document,... et à chaque fois, alors que le dossier est complet, faire valoir qu'il y a un délai d'un mois de traitement. Tout cela pour gagner quelques dizaines d'euros d'intérêts ?! ou bien ils sont en peine de libérer la trésorerie ? (c'est comme cela qu'est tombé Madoff..)</t>
  </si>
  <si>
    <t>sidier-59888</t>
  </si>
  <si>
    <t>Je suis adhérent Intériale depuis plusieurs années. Il y a un an j'ai été hospitalisé et ai découvert les services de la mutuelle pendant cette période d'hospitalisation.</t>
  </si>
  <si>
    <t>22/12/2017</t>
  </si>
  <si>
    <t>halit-a-111222</t>
  </si>
  <si>
    <t xml:space="preserve">- Je suis globalement satisfait de la prestation et des conditions du contrat.
- Les prix me conviennent également, ainsi que la réactivité du service. 
</t>
  </si>
  <si>
    <t>jouvencel-c-107323</t>
  </si>
  <si>
    <t xml:space="preserve">En attente pour pouvoir donner un vrai avis, pour l'instant au téléphone j'ai bien était conseillé. Les prix sont attirants  reste à voir si tout ceci sera toujours d'actualité dans les prochaines années.
</t>
  </si>
  <si>
    <t>20/03/2021</t>
  </si>
  <si>
    <t>gege22-59120</t>
  </si>
  <si>
    <t>Quand il s'agit de payer les cotisations pas de soucis, tout se passe bien .</t>
  </si>
  <si>
    <t>25/11/2017</t>
  </si>
  <si>
    <t>cyp-128788</t>
  </si>
  <si>
    <t xml:space="preserve">Bonjour
Après un an d assurance pour mon Jetski, une fois la vente établie, AMV m’annonce que sur 25€ mensuel je continuerai à payer 8€ mensuel pendant un an..
Terrible est mon ressenti…
Je n’ai aucun recourt, je dois juste patienter le renouvellement de mon contrat et ne pas répondre 
Je déconseille Amv pour les Jetski
</t>
  </si>
  <si>
    <t>lili20-67351</t>
  </si>
  <si>
    <t xml:space="preserve">Gros problèmes avec nos contrats auto :
1. Confusions de noms sur nos contrats : je me suis retrouvée propriétaire de la voiture de mon conjoint, or carte grise à son nom.
2. Mauvaise plaque d'immatriculation rentrée dans leur système.
3. Perte de bonus inexpliqué : lors de ma résiliation chez eux je me suis rendue compte que je payais pour un bonus de 0,90 au lieu de 0,80. Bonus perdu sans aucune explication. Au jour d'aujourd'hui, ils ne font aucun geste alors que mon mari est encore assuré la bas quand au remboursement du trop payé.
4. Relevé d'information avec des informations erronées, impossible selon de le changer...
NE RECOMMANDE PAS DU TOUT.
</t>
  </si>
  <si>
    <t>04/10/2018</t>
  </si>
  <si>
    <t>martel-f-122751</t>
  </si>
  <si>
    <t>Pour transférer une assurance d'une voiture vers une nouvelle voiture, quelle galère! Plus de 30' avec service vente hier et je dois maintenant appeler le service client pour annuler l'ancienne auto.
Retour à la préhistoire.... Un seul agentétait nécessaire et il n'y avait pas besoin de redonner tous les renseignements de a à z ville du j'étais un nouveau client! Catastrophique!</t>
  </si>
  <si>
    <t>papillon-63153</t>
  </si>
  <si>
    <t>Garanties satisfaisantes. Problème réponse au courrier et au téléphone. prise en charge dentaire et auditive mal pris en charge.</t>
  </si>
  <si>
    <t>11/04/2018</t>
  </si>
  <si>
    <t>telor-78259</t>
  </si>
  <si>
    <t>Refus de l assureur de résilier mon contrat auto suite a la vente de mon véhicule en garage. 
Photocopie de la carte grise rayer et signé avec la date de la vente envoyer. On me répond que cela ne suffit pas. J envoie un justificatif de cession du véhicule signer par le garage et moi même envoyer par mail ont me répond que cela ne suffit pas car je n’apparaît pas dans leur base de donnée (accessible via la préfecture) de véhicule vendu. 
Hors la préfecture au moi de juin/juillet/août ne peut pas traiter les demandes si vite. 
Résultat ont continue de me prélever le montant de l'assurance alors que je n'ai plus le véhicule impossible de résilier. 
Je suis en attente du médiateur d'assurance pour trouvé une solution ....</t>
  </si>
  <si>
    <t>07/08/2019</t>
  </si>
  <si>
    <t>ravera-j-126089</t>
  </si>
  <si>
    <t>Entièrement satisfait du service, j'avais besoin d'une assurance rapidement et a a moindre coût et l'olivier assurance a répondu à toutes mes attentes.</t>
  </si>
  <si>
    <t>02/08/2021</t>
  </si>
  <si>
    <t>ctk-91958</t>
  </si>
  <si>
    <t>C''est assez simple, pratique 
Je regrette qu'il n'y est pas fait mention des franchises 
Cependant les tarifs sont difficilement evaluable car ils sont tres proches de la concurences sauf avec la box que je demande a voir les avantages et les inconvenients</t>
  </si>
  <si>
    <t>23/06/2020</t>
  </si>
  <si>
    <t>anouck-139701</t>
  </si>
  <si>
    <t xml:space="preserve">Si vous n'avez pas besoin d'eux c'est la bonne assurance. 
En panne à 20h un soir d'hiver dans la nuit, la voiture ne redémarré plus à un feu. Une file de voiture derrière qui klaxonne. J'appelle l'olivier assurance, personne au bout du fil.. Taper 1,taper 3 etc. Tout ça pour qu'on m'envoie un lien par SMS. Trop peu de réseau Internet, je met 10 mn à remplir leur formulaire. Un m'informe qu'un dépanneur sera la dans 45 mn ( voiture tjrs au milieu de la voie), au bout d'une heure personne j'ai du me débrouiller seule. 
Impossible de résilier mon contrat car engagée pour un an. Un contrat c'est un engagement RÉCIPROQUE, je paye, vous me dépannez. Si je ne respecte pas mes engagements vous coupez le contrat, comment faisons nous lorsque c'est vous qui ne RESPECTEZ PAS VOS ENGAGEMENTS? </t>
  </si>
  <si>
    <t>16/11/2021</t>
  </si>
  <si>
    <t>sirot-m-114004</t>
  </si>
  <si>
    <t>satisfait car j'ai reçu un très bon accueil. Le cout de l'assurance est assez élevé mais normal au vue de ma situation. Tout a été très clair et ma demande a été prise en compte rapidement</t>
  </si>
  <si>
    <t>merely-77271</t>
  </si>
  <si>
    <t xml:space="preserve">je suis actuellement assuré par cete assurance et j'en suis ravis.
</t>
  </si>
  <si>
    <t>02/07/2019</t>
  </si>
  <si>
    <t>deux-103248</t>
  </si>
  <si>
    <t>Cotisations + élevées que la majorité des autres compagnies pour les mêmes couvertures ...
Pas de réelle prise en compte des "petits rouleurs" ni du bonus réellement acquis qui plafonné à 50°/°  ne remettant  pas la cotisation au niveau des assurances en ligne.. .
Cette Sté ne perdure que par le peu de goût des ANCIENS assurés pour le changement et des démarches à faire avec les assurances en ligne ...</t>
  </si>
  <si>
    <t>26/01/2021</t>
  </si>
  <si>
    <t>maria-p-122313</t>
  </si>
  <si>
    <t>Le téléconseiller a été aimable et parfait dans ses explications.
Les prix sont corrects, me permettent de faire des économies mais sont plus élevés que ce que je pensais.</t>
  </si>
  <si>
    <t>04/07/2021</t>
  </si>
  <si>
    <t>mamie0662-134863</t>
  </si>
  <si>
    <t xml:space="preserve">Je viens de recevoir un recommandé m'informant que mon contrat d'assurance n'est pas reconduit . J'ai eu une personne ne pouvant pas me dire pourquoi.
</t>
  </si>
  <si>
    <t>lebaillif-o-116515</t>
  </si>
  <si>
    <t xml:space="preserve">Personnes en ligne a l écoute et très compréhensive , prise en charge rapide 
Très bon retour pour notre premier contrat chez lolivier
Pour les jeunes conducteurs , prix corrects </t>
  </si>
  <si>
    <t>mickael-g-105185</t>
  </si>
  <si>
    <t xml:space="preserve">Tres satisfait du site en ligne et des tarifs appliqués. Merci pour la simplicité. Je recommanderai vos services sans hésiter. c'est clair et précis  </t>
  </si>
  <si>
    <t>02/03/2021</t>
  </si>
  <si>
    <t>ho--137322</t>
  </si>
  <si>
    <t xml:space="preserve">Nous sommes vraiment satisfaits de collaborer avec APRIL dans le sujet d'assurances (décennale, RC, etc...) pour un bureau d'études technique. A conseiller pour les BET notamment ce qui commencent à démarrer leurs activités </t>
  </si>
  <si>
    <t>garantie-decennale</t>
  </si>
  <si>
    <t>13/10/2021</t>
  </si>
  <si>
    <t>vazahabe-71947</t>
  </si>
  <si>
    <t>Allianz a été condamné par un Tribunal d Instance après de nombreux refus de remboursement à rembourser des frais causés lors d un sinistre.Ils ont du rembourser ces frais majorés du préjudice mais pour l instant n ont toujours pas remboursé les frais d'huissier après deux mois de signification du jugement.Allons devoir refaire  injonction de payer par huissier.  Utilisent tous les moyens pour lasser les gens.A fuir impérativement.</t>
  </si>
  <si>
    <t>11/03/2019</t>
  </si>
  <si>
    <t>belmas-m-110994</t>
  </si>
  <si>
    <t xml:space="preserve">Je suis satisfaite du service. Bonne proposition pour un jeune conducteur. Rapidité et clarté des réponses des conseillers. Souscription du contrat rapide. </t>
  </si>
  <si>
    <t>20/04/2021</t>
  </si>
  <si>
    <t>mallo-88220</t>
  </si>
  <si>
    <t xml:space="preserve">Résiliation envoyer en recommander , on me dit qu'on va étudier mon dossier . Je n'ai toujours pas était rembourser du mois ainsi que de l'ouverture du dossier et en plus le mois d'après on me prélève une nouvelle fois !!! A éviter complètement !!! </t>
  </si>
  <si>
    <t>11/03/2020</t>
  </si>
  <si>
    <t>michel-b-125321</t>
  </si>
  <si>
    <t>Avec un bonus maximum les prix me conviennent, intervention très rapide il y a deux ans pour un pneu éclaté sur camping car en Espagne , réparation complémentaire prise en charge à mon retour en France.</t>
  </si>
  <si>
    <t>mj-102565</t>
  </si>
  <si>
    <t>Super commerciaux.
Tout est clair et transparent.
Réactivité, offres adaptées et suivi même si interlocuteurs différents sont parfaits.
Je suis très satisfaite.</t>
  </si>
  <si>
    <t>13/01/2021</t>
  </si>
  <si>
    <t>iha-88095</t>
  </si>
  <si>
    <t>La BNP me renvoie sur Cardif pour la gestion des contrats assurance vie mais Cardif ne me répond pas au courrier ni à mes 3 appels ...Donc pas de prise en compte de ma demande. En plus complexité entre les contrats ouverts à la BNP mais gérés (hum) par Cardif !...</t>
  </si>
  <si>
    <t>07/03/2020</t>
  </si>
  <si>
    <t>mamou131-49488</t>
  </si>
  <si>
    <t xml:space="preserve"> Je suis infirmière libérale J'ai un contrat IDJ chez Allianz en arrêt de travail depuis juin 2016 pour une PAR. J' ai 
   tente une reprise a mi-temps thérapeutique .Mais impossibilité de reprendre de mon activité.Allianz me dit que le  mi-temps n'est pas prit en charge par mon contrat alors qu'une autre compagnie le fait car il s'agit d'une maladie en ALD. D'autre part j'ai depuis 1991  un contrat invalidité-décés . Lorsque j'ai une conseillère au téléphone pour avoirs des renseignements sur ce contrat celle-ci me dit qu'il faut que je fasse une demande de prise en charge des garanties et qu'a ce moment là on me renseignera sur la prise en charge de l'invalidité {allocation allouée]'{allianz ne tient pas compte de l'avis du médecin du régime obligatoire} La seule chose que je retienne c'est qu'une fois le taux d'invalidité accordé il  y aura 1 an de carence pour percevoir ces indemnités et  qu'il faudra repasser une expertise qui statuera a nouveau..Je suis vraiment déçue car je me suis rendue compte que la couverture de ce type de contrat n'est valable qu'en cas de décès.Mes héritiers toucheraient une belle somme mais moi qui est besoin de vivre je ne ferais que survivre.   </t>
  </si>
  <si>
    <t>23/11/2016</t>
  </si>
  <si>
    <t>benjamin-m-106077</t>
  </si>
  <si>
    <t>Le prix augmente chaque année malgré que mon bonus lui reste a 50.
Encore une fois on va nous dire que les conditions climatique et les catastrophe de l'année passée ont joué un rôle sur le prix. Sauf que la moitié de l'année, il y avait personne sur les routes avec les confinements...</t>
  </si>
  <si>
    <t>honteux-55257</t>
  </si>
  <si>
    <t xml:space="preserve">Une honte  
L'olivier assurance m'a radié 1 an après mon inscription car 
J'ai eu un accrochage non responsable sur un parking et un accident non responsable où une personne m'est rentrée dedans. Suite à ca j'ai eu des séquelles... A ce jour toujours pas pris en charge par l'assurance... Depuis mars j'attend de voir leur médecin pour une expertise.... Ils ne répondent plus à mes mails.... Obligé d'appeler et d'attendre 15min... Pour me dire qu'on me re contactera.... L'accident date d'octobre et j'ai l'impression qu'ils repoussent la chose... Quasiment 7 mois apres mon dernier accident non responsable je reçois une lettre de résiliation. C'est une honte </t>
  </si>
  <si>
    <t>09/06/2017</t>
  </si>
  <si>
    <t>53printemps-30064</t>
  </si>
  <si>
    <t xml:space="preserve">je n'ai pas actuellement les moyens d'entretenir un véhicule.pour raison de chômage et vivant seul mes moyens sont limités
et vivant seul avec un véhicule pas vraiment fiable :je préfère stopper mon assurance auto.
</t>
  </si>
  <si>
    <t>06/07/2021</t>
  </si>
  <si>
    <t>bachir2-70555</t>
  </si>
  <si>
    <t>bonjour , je suis en arrêt depuis 11/05/2018 j'ai reçu mon paiement le 13/12/2018 très long .</t>
  </si>
  <si>
    <t>hackminator-40512</t>
  </si>
  <si>
    <t>Je recommande sans hésiter !
J'ai fait souscrire mon père à cet assurance santé qui a couvert tous ses frais médicaux jusqu'à son décès. Quand je leur ai demander des infos pour la résiliation le jour du décès, ils ont été tout à fait humain et tout s'est très bien passé. C'était fin 2017 mais je tenais à partager cette expérience positive.
Je n'ai jamais eu affaire à un assureur aussi professionnel !</t>
  </si>
  <si>
    <t>06/10/2020</t>
  </si>
  <si>
    <t>tiphtiph-54270</t>
  </si>
  <si>
    <t>A éviter ! Je payais plus cher pour mon chien que pour moi, et quand il y a des examens pour un montant de 100 euros par exemple, on nous rembourse dans les 18 euros environ... Bravo! Et quand on veut les appeler, ils sont bien sur soit injoignable, soit ils nous parlent très mal.</t>
  </si>
  <si>
    <t>25/04/2017</t>
  </si>
  <si>
    <t>elie-n-121160</t>
  </si>
  <si>
    <t>Prix trés cher et service nul,  le service de remboursement est inexistant je ne renouvellerais pas mon assurance, on nous fais attendre des mois pour envoyer l expert, et on conteste toujour nos devis et on nous impose une entreprise a eux qui font du mauvais travail</t>
  </si>
  <si>
    <t>25/06/2021</t>
  </si>
  <si>
    <t>jocelyn-p-129613</t>
  </si>
  <si>
    <t>Je satisfais du service, même le mode de paiement m’a parue très complexe, à revoir de plus j’espère que par la suite vos services me combleront d’avantage  !! Merci encore</t>
  </si>
  <si>
    <t>bouijoux-d-122914</t>
  </si>
  <si>
    <t>satisfait de l'accueil et du professionnalisme. Je recommande cette compagnie. Cependant pour évaluer une assurance, il faut avoir subi un sinistre.....</t>
  </si>
  <si>
    <t>09/07/2021</t>
  </si>
  <si>
    <t>paul-w-109137</t>
  </si>
  <si>
    <t xml:space="preserve">je suis ravie c'était le moins chère des assurance que j'ai trouver qui me voulais , site assez facile devis rapide , juste parce que vous êtes jeune est que vous avez une voiture avec un peut de CV c'est compliquer a trouver une assurance. 
merci a Directe assurance . 
</t>
  </si>
  <si>
    <t>04/04/2021</t>
  </si>
  <si>
    <t>frelon-asia-99160</t>
  </si>
  <si>
    <t xml:space="preserve">On  me fracture mon garage vol de matériels la maff ne rembourse pas car pour eu un garage c’est fait pour garer un véhicule on mon pour mettre du matériel 
J’avais oublier  mais ou avege la tête Un karcher ou tronçonneuse sa doit être dans une chambre ou un 
salon  Sur eu les voler de la maff il mette sa en deco meme dans la chambre de leur enfant </t>
  </si>
  <si>
    <t>wilfried-c-138692</t>
  </si>
  <si>
    <t xml:space="preserve">Bon tarif mais dommage que certaines options ne fassent pas parti automatiquement du tarif. Bonne assurance qui nous conseille par telephone, espérons qu'elle soit bonne en cas de problème. </t>
  </si>
  <si>
    <t>dimitri-c-128191</t>
  </si>
  <si>
    <t xml:space="preserve">Je suis satisfait par le prix proposé, j'espère pouvoir compter sur les meilleurs agents afin de me soutenir en cas de problème, tout en espérant que je n'en ai jamais besoins merci
</t>
  </si>
  <si>
    <t>16/08/2021</t>
  </si>
  <si>
    <t>jeanrat-l-113250</t>
  </si>
  <si>
    <t xml:space="preserve">totalement satisfaite du service
personne agréable et professionnelle au téléphone
je recommande pour les gens intéressés et envisage de faire un devis pour un autre véhicule que j'ai </t>
  </si>
  <si>
    <t>10/05/2021</t>
  </si>
  <si>
    <t>albert-s-107124</t>
  </si>
  <si>
    <t>Conseiller à l'écoute, qui a pris le temps de répondre à toutes mes questions.
Grande disponibilité pour convenir d'un rendez-vous.
Je recommande à mon entourage.</t>
  </si>
  <si>
    <t>gibeaud-c-130463</t>
  </si>
  <si>
    <t>TRES BIEN, prix correct, personne agréable au téléphone, pas de soucis pour faire les papiers sur internet, je suis contente de mon choix , je ne voudrai pas changer</t>
  </si>
  <si>
    <t>polo-77732</t>
  </si>
  <si>
    <t>bonjour moi je vient de souscrire depuis avril 2019 jai u des soins dentaire de stomato et prothèse dentaire provisoire assez élever la sécurité sociale a déjà rembourser que très peu et cela fait jours que j attend le remboursement de la mutuelles  alors que la télétransmission est passer vu que j'ai pu avoir une opératrice qui me la certifier je me demande si cela est pas une mutuelle est sérieuse</t>
  </si>
  <si>
    <t>18/07/2019</t>
  </si>
  <si>
    <t>titus75-40591</t>
  </si>
  <si>
    <t>Après avoir comparé à d'autres banques, leur taux est élevé. On peut donc facilement trouver mieux ailleurs. Je conseille d'utiliser le comparateur de Que Choisir pour ça.</t>
  </si>
  <si>
    <t>marc-c-105460</t>
  </si>
  <si>
    <t>les garanties et les services proposés me conviennent, le prix est compétitif par rapport à tous les comparateurs utilisés, le service client est accessible et agréable</t>
  </si>
  <si>
    <t>r-127221</t>
  </si>
  <si>
    <t xml:space="preserve">Facile et rapide cela a été très simple de remplir les formulaires et j'ai eu la réponse dans les plus bref delais , je vous conseille cela car très bien </t>
  </si>
  <si>
    <t>09/08/2021</t>
  </si>
  <si>
    <t>farid-66934</t>
  </si>
  <si>
    <t xml:space="preserve">assurance qui vous fait rêvé après un sinistre non responsable pas de renouvellement  indemnisation 4 mois apres l'accident apres plusieurs reclamation vivement deconseille payer un peu plus chere de preference que etre chez eurofil </t>
  </si>
  <si>
    <t>18/09/2018</t>
  </si>
  <si>
    <t>el-hadji-abdoul-aziz--d-133110</t>
  </si>
  <si>
    <t xml:space="preserve">J' ai beaucoup aimé la simplicité du service et la clarté des informations pour souscrire rapidement son assurance et être tranquille... je plébiscite vivement April Moto ... </t>
  </si>
  <si>
    <t>16/09/2021</t>
  </si>
  <si>
    <t>djo-zy-96042</t>
  </si>
  <si>
    <t xml:space="preserve">Très satisfait , je vous recommande, le service client est au top et le prix est attractif. J’ai vendue la voiture et j’ai facilement pût arrêter mon assurance </t>
  </si>
  <si>
    <t>07/08/2020</t>
  </si>
  <si>
    <t>sevrdo--121883</t>
  </si>
  <si>
    <t xml:space="preserve">Aucune considération de l'adhérent, en plus des soucis de santé, Intériale nous entraîne des problèmes financiers. Ma situation est catastrophique, toujours en attente de mon maintien des primes de février, mars, avril, mai, et de mon maintien de salaire de mai, alors que nous sommes presque au mois de juillet i!! Pourtant ma cotisation est bien prélevée tous les mois. Je pense qu'une procédure en justice va être nécessaire !!! </t>
  </si>
  <si>
    <t>majid-h-131793</t>
  </si>
  <si>
    <t>Je suis satisfait du service, des tarifs et des prestations.
Je recommande cette assurance à mes proches.
Toute ma famille est assurée  chez vous, voyez sa avec vous.</t>
  </si>
  <si>
    <t>08/09/2021</t>
  </si>
  <si>
    <t>sebastien--102231</t>
  </si>
  <si>
    <t>Les relations clients ont toujours été cordiales. 
Les échanges directes ou téléphoniques sont traités immédiatement. 
Les remboursements sont raisonnables et conformes aux cotisations.
Je recommande cette mutuelle.</t>
  </si>
  <si>
    <t>06/01/2021</t>
  </si>
  <si>
    <t>nadi-64396</t>
  </si>
  <si>
    <t>Bonjour j ai eu un sinistre catastrophe naturelle l expert et passé désagréable qui ne n arrêté pas de me coupé la parole et pour finir me dire que ma maison état pourris et que mon sinistre venez de la vétusté.allor que le vent a arraché les tuiles de l avant toit d ou l infiltration d eau sur une partie de l avant toit.il n avez qu a juste comparé l avant toit qui n avez pas été touché pour voire qu il était impeccable avant le sinistre.j ai appelé l assurance il mon dit qu ils ont reçu le rapport mais qu il traite en ce moment les dossier des sinistre du week-end dernier allor que moi j attend depuis deux mois et que le toit c et une urgence he suis vraiment decus de cette assurance il ne sont pas sérieux .je ne dort plus a causse de sa j attend leur reponse je reviendrais sonné mon avis pour la suite de cette histoire.</t>
  </si>
  <si>
    <t>frederic-g-131652</t>
  </si>
  <si>
    <t xml:space="preserve">les prix correctes et souscription en ligne facile, tout est toujours très clair, facile à comprendre
Je recommande vivement AMV assurance à mes amis motards !! 
</t>
  </si>
  <si>
    <t>07/09/2021</t>
  </si>
  <si>
    <t>tornabene-p-112487</t>
  </si>
  <si>
    <t>Très satisfait du tarif.
La conseillère clientèle qui nous a répondu est très professionnelle et agréable.
Très content du service en général, je recommande cette assurance.</t>
  </si>
  <si>
    <t>rakotonirina-o-122543</t>
  </si>
  <si>
    <t xml:space="preserve">je suis satisfaite du service, rapide et facile                           
Envoie rapide de la carte verte provisoire, le prix imbattable
je recommande vivement </t>
  </si>
  <si>
    <t>eli-138437</t>
  </si>
  <si>
    <t>Bonjour,
49 ans de cotisation et aucun dégât responsable. 2 dégâts des eaux consécutifs (3 jours d'intervalle, 4 pièces endommagées) suite à travaux chez mon voisin du dessus (SDB), celui-ci très correct (désolé de la situation) et l'entrepreneur reconnait sa responsabilité, donc apparemment un cas simple. 
La somme proposée sur les 2 expertises consécutives d'Elex dont l'une hier (les 2 sinistres n'avait pas été lié sur immédiatement alors qu'une des pièces endommagée l'est par les 2) ne correspond pas au devis fait par artisan de ma connaissance qui travaille vite, bien et dont les prix sont corrects (l'expert chiffre à moitié moins, 1ère expertise 75% de moins).
Questions : 
-pourquoi l'expert ne défend pas son client alors qu'il ne va payer puisque nous ne sommes pas responsables ?
-comment arrive-t-il a être si concurrentiel sans dégrader la qualité du travail ?
J'attends le devis détaillé de l'expert pour voir d'où vient la différence (l'artisan a pu faire une erreur) mais doute qu'il me soit transmis, il ne l'a pas été la première fois .
Par ailleurs, il m'a été reproché de ne pas être plus agréable (le propriétaire de l'appartement du dessus était aussi choqué, il avait été convoqué par Elex malgré la présence de son expert mais ça ma fait au moins un témoin), peut-être des méthodes éprouvées pour baisser les prix ?
J'espère que cela va s'arranger, en tout cas j'ai été vraiment stupide :
-&gt; Client GMF dans le même cas que moi, un conseil, ENREGISTREZ L'ENTREVUE au moins pour éviter les 'malentendus'.
Cordialement</t>
  </si>
  <si>
    <t>28/10/2021</t>
  </si>
  <si>
    <t>koestel-v-110654</t>
  </si>
  <si>
    <t xml:space="preserve">J'avais un gros problème pour envoyer mes documents, l'accès à l'espace personnel était problématique, mais une solution a été trouvé... Donc ça devrait bien se passer. </t>
  </si>
  <si>
    <t>16/04/2021</t>
  </si>
  <si>
    <t>jmi-70227</t>
  </si>
  <si>
    <t>Une compagnie à fuir , j'ai passé 1 mois 1/2 sous coup de message , courrier pour débloquer une assurance vie arrivée à terme après avoir respecter le délai et le courrier recommande avec AR . Ils font se qu'il veulent et joue avec votre argent . Aucun sens du client . Il faut des ménaces vers des services de médiation pour que çà bouge . Quand au courtier bien formé par Générali à part ramasser sa commission il ne fait rien .</t>
  </si>
  <si>
    <t>Generali</t>
  </si>
  <si>
    <t>15/01/2019</t>
  </si>
  <si>
    <t>hamza-b-105267</t>
  </si>
  <si>
    <t>C 'est mon 3éme année que je suis affilié avec direct assurance  et jusqu'a maintenant le prix dde l'assurance n'a pas baissé pourtant j'ai déménagé et maintenant j'ai un parking privée.</t>
  </si>
  <si>
    <t>03/03/2021</t>
  </si>
  <si>
    <t>prignet-j-90050</t>
  </si>
  <si>
    <t>Pire assurance ! Aucun soutient lors d'accident ! Ils prennent votre argent et c'est tout ! à fuir !!!!! Après un accrochage avec un piéton, reconnu en tord par lui même et la police, l'assurance n'a pas fait son travail de prendre le temps en considération les papier et témoignage apporter.</t>
  </si>
  <si>
    <t>jovo90-67479</t>
  </si>
  <si>
    <t>Futur client, j'ai été très bien renseigné par Géraldine personne agréable et calme.</t>
  </si>
  <si>
    <t>09/10/2018</t>
  </si>
  <si>
    <t>fan-81004</t>
  </si>
  <si>
    <t xml:space="preserve">Juste pour complimenter l'interlocuteur par tél, il y a quelques jours. Efficace, patient et aimable. On râle assez quand on 'tombe' sur des 'incapables' alors je dis ma satisfaction pour ce monsieur, il mérite de ne pas végéter :-) </t>
  </si>
  <si>
    <t>14/11/2019</t>
  </si>
  <si>
    <t>sebastien-d-132496</t>
  </si>
  <si>
    <t>Je suis très satisfait du service, par contre je pense qu'il y a un effort niveau tarif concernant les enfants des assurés, car mes enfants assuré chez vous par le biais de mon contrat on des tarifs nettement supérieur à vos concurrents
Cordialement
Mr DUPONT</t>
  </si>
  <si>
    <t>12/09/2021</t>
  </si>
  <si>
    <t>jo27-77823</t>
  </si>
  <si>
    <t>bon accueil et rapide - renseignements obtenus parfaits
reste à juger la suite lorsque le contrat sera en place</t>
  </si>
  <si>
    <t>22/07/2019</t>
  </si>
  <si>
    <t>cheb-85427</t>
  </si>
  <si>
    <t xml:space="preserve">Bonjour 
Que penser de la Maif qui s érige  en censeur ??
Dans un dossier 
La Maif met en doute la parole de l assuré en citant le rapport de l expert 
Et donc refuse d indemniser sous prétexte que l expert réfute la déclaration de l assuré...
L assuré retrouve sa voiture endommagée suite à son stationnement à paris ,  l expert de la province réfute cette situation.. 
donc l expert et la maif mettent en doute la parole de l assuré 
Juges et assureur .
Et la Maif refuse d indemniser....
La Maif sous entend une  fausse déclaration et refuse indemnisation 
Je suis à la recherche de caméras sur lieu de stationnement 
</t>
  </si>
  <si>
    <t>olalajenaimar-14354</t>
  </si>
  <si>
    <t>Pas très commerciale, cette compagnie ne s'intéresse qu'à votre paiement et vous lâche très vite en cas de sinistre...</t>
  </si>
  <si>
    <t>13/02/2018</t>
  </si>
  <si>
    <t>wdom-25536</t>
  </si>
  <si>
    <t>Bonne couverture mais service client au dessous de tout.</t>
  </si>
  <si>
    <t>21/05/2019</t>
  </si>
  <si>
    <t>01/05/2019</t>
  </si>
  <si>
    <t>thomas-54579</t>
  </si>
  <si>
    <t>nous prend pour des imbéciles ! souscriptions et paiement rapide/le jour même ..puis les emmerdes commences; demande de documents , malgré l' envoie multiple des documents demander , il en manque toujours un ???, je passe des heures au téléphone , pour me faire balader à gauche , à droite , mais rien de concret ! je me bat avec eux pour les documents que j'ai envoyer plusieurs fois , je paie la communication ( si j'ai de la chance quelqu'un me répond , sinon aux bout de 10/15 minute d'attente , on vous dis qu'il faut rappeler plus tard !! WTF !!!!
Pour un groupe en France , j'ai eu moins de mal avec un groupe à l'étranger !
1 mois passé et je n'arrive toujours pas à avoir ma carte verte ! 3 mois d'assurance payer d'avance que j'ai payer pourtant ! 
Une assurance sur internet à éviter d'urgence , aller voir la concurrence ,même si il ne parle pas bien français , ils comprennent mieux que Eallianz !
VRAIMENT PAS sérieux !!!!
A éviter !!!</t>
  </si>
  <si>
    <t>10/05/2017</t>
  </si>
  <si>
    <t>carond-106373</t>
  </si>
  <si>
    <t>à l'écoute, bon conseils; serviables dans l'intérêt des 2 parties , ma Mère est inscrite depuis 2016, donc .... satisfait et correct ; tarifs et accessibilité, qualité des services.</t>
  </si>
  <si>
    <t>12/03/2021</t>
  </si>
  <si>
    <t>vj-129637</t>
  </si>
  <si>
    <t>En panne sur autoroute avec 3 enfants et un chat à mi chemin de mon trajet et 250 km restant. L'assistance GMF ne propose des taxis que lorsqu'on est à moins de 30 km de son domicile (la personne de l'assistance a ri quand j'ai émis l'idée alors qu'on m'avait dit que ça se faisait), bon à savoir dans le choix de son assureur. La solution proposée fut de me mettre en relation avec un loueur et c'est tout.
Pour aller récupérer la voiture de location, j'aurai du prendre un taxi du garage où le dépanneur m'avait déposée jusqu'à l'agence de location avec mes 3 enfants et mon chat, puis revenir au garage récupérer mes bagages ( tout ça avec les enfants et le chat). Heureusement le loueur a lui compris ma détresse et mon stress, et a bien voulu venir jusqu'au garage avec la voiture de location.
La voiture était trop petite pour prendre les bagages, donc nous avons du laisser la moitié dans le coffre de la voiture en panne chez le garagiste à 300 km de mon domicile. Donc il n'est pas prévu de voiture de taille équivalente dans l'assistance panne. Bon à savoir également.
Je dois récupérer ma voiture réparée à 300 km, aucune indication de la GMF sur ce point. Il faut se débrouiller.
Donc extrêmement déçue par l'assistance. Peur que ça se reproduise, je vais chercher une assurance plus pratique et empathique sur ce type d'évènement hyper stressant pour une maman et ses enfants.</t>
  </si>
  <si>
    <t>sylviepeltier-137233</t>
  </si>
  <si>
    <t>2 ans que mes 4 animaux sont assurés sans difficulté remboursement rapide.
C était trop beau...
Malheureusement l un de mes chien est malade. J ai épuisé le plafond des remboursements pour lui.
Une augmentation en juillet 2021de 79 à 87 € et une autre de 87 à 150 € annoncée pour janvier 2022.
Aucun détail par animaux.
Aucun justificatif.
Je n ai plus qu à résilier...
Honteux !!!</t>
  </si>
  <si>
    <t>12/10/2021</t>
  </si>
  <si>
    <t>patrick-g-105732</t>
  </si>
  <si>
    <t>L' on m' a embouti par derrière, et vous m' avez considéré comme 100% en tord,  décision injustifiée et protocolaire sans admettre un seul paramètre humain ou logique , tout dans votre sens, comme toujours. Je suis  scandalisé.</t>
  </si>
  <si>
    <t>john-k-112619</t>
  </si>
  <si>
    <t>Toutes les applications et services en ligne sont plutôt efficaces.
Les prix sont effectivement intéressants.
Hélas, dès l'instant où j'ai affaire à un conseiller/ère paR téléphone, c'est souvent très compliqué de se faire bien comprendre facilement. Parfois même très laborieux, alors que dans le cas d'un sinistre, le client est souvent stressé.
Trop souvent l'impression que le collaborateur/trice a vraiment besoin de lire coûte que coûte ce qui est écrit sur son écran. Cela en devient parfois même exaspérant !</t>
  </si>
  <si>
    <t>04/05/2021</t>
  </si>
  <si>
    <t>pillet-p-134105</t>
  </si>
  <si>
    <t>Service téléphonique efficace, précis dans le détail à la fois des différentes formules et des options. Prix comparativement intéressants. Il demeure à juger du suivi en cas d'accidents.</t>
  </si>
  <si>
    <t>23/09/2021</t>
  </si>
  <si>
    <t>largo-w--135576</t>
  </si>
  <si>
    <t xml:space="preserve">La MAAF n'est pas "l'assurance que je préfère"..!
Ma résidence a subi les conséquences d'une sécheresse (contraction/rétraction de sols argileux), qui a été classée catastrophe naturelle par 2 fois (2003 et 2018).
La MAAF n'a rien indemnisé sur tous les travaux de remise en état qui se sont imposés.
Expertise, contre expertise, médiation, ...
Je ne prive plus de déconseiller cet assureur autour de moi et ailleurs.
Je change tous mes contrats, je privilégie maintenant la MAIF, chez qui j'ai déjà 2 véhicules assurés. Le service, les tarifs, la promptitude, font plaisir. L'assuré est le client, leur client, pas leur "ennemi", la MAAF devrait s'en inspirer.
</t>
  </si>
  <si>
    <t>02/10/2021</t>
  </si>
  <si>
    <t>markytanka-112368</t>
  </si>
  <si>
    <t xml:space="preserve">l'accueil téléphonique déplorable désagréable et inutile. J'ai demandé de m'envoyer l'attestation de l'affiliation pour mon bailleur, le conseilleur m'a  assuré que il me l'enverrai par mail le même jour. RIEN ! Pénible que cette document n'est pas dispo sur le compte et il faut le réclamer et perdre notre temps. Le service d'assurance habitation trop cher. Je résilie suite à cet désagréable expérience </t>
  </si>
  <si>
    <t>02/05/2021</t>
  </si>
  <si>
    <t>paquet-f-108810</t>
  </si>
  <si>
    <t>Site très clair et facile a utiliser. Bravo !
Les prix pratiqués sont très attractifs. L'accueil téléphonique est bon, très professionnel. Je suis certain d'être satisfait à l'avenir avec L'Olivier.</t>
  </si>
  <si>
    <t>alaincheronnac-57561</t>
  </si>
  <si>
    <t xml:space="preserve">Bonjour,
Je suis en panne avec un grand C4 Picasso depuis début septembre 2017. Mon véhicule se trouve chez un concessionnaire Citroën à Ris-Orangis à proximité de mon domicile. Ce garage me fait savoir qu'il n'a pas l'équipement nécessaire pour réaliser les tests demandé par Citroën France et que je dois prendre en charge le transfert de mon véhicule vers un autre concessionnaire. J'ai contacté la Macif qui m'a mis en relation avec son Service Juridique. Un expert devait passer voir le véhicule. Problème : l'expert refuse de se déplacer car le garage en question n'a pas les moyens techniques pour effectuer le diagnostic. Je dois effectuer le transfert vers un autre garage par mes propres moyens. Ce véhicule a 8000 km, il est sous garantie jusqu'en mars 2021. 
La Macif refuse de m'aider : pas de transfert du véhicule ni de prêt d'un autre véhicule.
J'ai été particulièrement 'choqué' par l'attitude des correspondants de la Macif que j'ai eu au téléphone (Assurance, Service Juridique et assistance). Je suis en recherche d'une autre compagnie d'assurance pour mes 2 véhicule et mon habitation.
</t>
  </si>
  <si>
    <t>24/09/2017</t>
  </si>
  <si>
    <t>michele-97088</t>
  </si>
  <si>
    <t>Quel manque de sérieux pour la MACIf !!! Ma maman qui a 70 ans, a eu un incendie en avril, le remboursement pour payer les entreprises n'est toujours pas fait malgré les XX relances.Les entreprises n'interviennent pas sans versements. Pour réclamer la cotisation, là pas de problème, ils sont bien à l'heure ! Et en plus impossible de les avoir au téléphone !</t>
  </si>
  <si>
    <t>07/09/2020</t>
  </si>
  <si>
    <t>julepstuff-75642</t>
  </si>
  <si>
    <t>Bonjour, en novembre 2018 j'ai signalé un dégât des eaux. J'ai envoyé un devis à la MAIF. En février un expert diligenté par la MAIF est venu à mon domicile.  Pendant 3 mois aucune nouvelle, puis un courrier pour m'avertir qu'un virement en ma faveur a été fait et ce sans m'informer de ce à quoi cela correspond. Le montant du virement correspond à moins de la moitié du devis bien évidemment. Est-ce bien légal de traiter ses adhérents de la sorte ? Si je veux contester ce devis je dois m'adresser à l'expert selon la MAIF ! Merci de bien vouloir m'indiquer ce que je peux légalement faire. Bien à vous.</t>
  </si>
  <si>
    <t>06/05/2019</t>
  </si>
  <si>
    <t>dom--97425</t>
  </si>
  <si>
    <t>Bonjour, comme prévu je vous donne mon avis, mon assurance LYRIA me donne entière satisfaction depuis mon adhésion, je souhaite qu'il en soit ainsi tout au long de ma carrière dans la pénitentiaire.</t>
  </si>
  <si>
    <t>15/09/2020</t>
  </si>
  <si>
    <t>camillette-49532</t>
  </si>
  <si>
    <t>Enfin un courtier qui à des ressource pour répondre à ses adhérents ! je ne sais pas combien ils sont à Nice mais ils offrent un support de qualité ce qui est rare pour un courtier, donc je suis bien contente.</t>
  </si>
  <si>
    <t>24/11/2016</t>
  </si>
  <si>
    <t>christophe-136475</t>
  </si>
  <si>
    <t xml:space="preserve">Attention A FUIR ! Lorsque vous souscrivez une assurance chez eux et malgré qu'elle soit effective qu'un mois après et que vous ayez le droit de vous rétracter dans les 10 jours, ils prélèvent immédiatement l'échéance ! De plus ils vous informent que vous n'avez pas droit de vous retracter dans les 10 jours alors que c'est faux. Sur le contrat cette clause est donc abusive. Ils vous demandent ensuite plein de documents et en fonction de ceux ci, ils peuvent augmenter votre cotisation en vous informant que vous ne pouvez toujours pas vous rétracter. Ce qui est encore faux puisque vous avez donné un accord sur des conditions et si changement il y a votre accord est caduque.
Pour ma part, j'ai demandé à me rétracter. Ils ont accepté par mail en me demandant d'adresser la rétractation par LR. Ce que j'ai fait. Je n'ai jamais adressé le relevé d'information par mail qu'il me demandait puisque je ne voulais plus de cette assurance. Malgré qu'ils n'ont jamais assuré mon véhicule (puisqu'ils n'avaient pas tous les documents qu'ils demandaient), ils ne veulent toujours pas me rembourser !!! Et cela fait 3 mois que cela dure. A FUIR 
Contrat n° 326367415 </t>
  </si>
  <si>
    <t>07/10/2021</t>
  </si>
  <si>
    <t>coralie-r-108128</t>
  </si>
  <si>
    <t>Je ne suis pas satisfaite de ce service car personne n'a su m'apporter de réponses pour mes sinistres en cours et qu'on m'a résilié sans raisons valables</t>
  </si>
  <si>
    <t>26/03/2021</t>
  </si>
  <si>
    <t>lb-87258</t>
  </si>
  <si>
    <t xml:space="preserve">Nous avons basculé notre contrat en ACS depuis le 1er janvier 2020. Résultat des courses plus de télétransmission entre la sécu et HM, 2 contrats mutuel à payer et donc part mutuel toujours à ma charge. </t>
  </si>
  <si>
    <t>17/02/2020</t>
  </si>
  <si>
    <t>edouard-l-131751</t>
  </si>
  <si>
    <t>Espère une bonne association et que les garanties soient présentes.
la possibilité d'avoir un interlocuteur si le besoin se faisait sentir pour les démarches</t>
  </si>
  <si>
    <t>gilboire-m-117788</t>
  </si>
  <si>
    <t>Je suis satisfait de votre service, les prix sont attractifs et la praticité de votre site internet est remarquable, je recommande l’Olivier assurance pour sa simplicité.</t>
  </si>
  <si>
    <t>21/06/2021</t>
  </si>
  <si>
    <t>abdelkader-s-105092</t>
  </si>
  <si>
    <t>bonjour .pour ma première  inscription que je viens de faire  a l'instant avec un de vos conseiller  Jai eu un accueil chaleureux et je suis tres content merci</t>
  </si>
  <si>
    <t>jeremy-c-114125</t>
  </si>
  <si>
    <t>Je suis très satisfait de la facilité du service et de la rapidité de la souscription. Le siteweb est très bien fait et très facile d'utilisation. L'utilisateur est bien accompagné.</t>
  </si>
  <si>
    <t>18/05/2021</t>
  </si>
  <si>
    <t>kalache-75714</t>
  </si>
  <si>
    <t xml:space="preserve">Suite à un incendie sur mon véhicule (pendant que je travaillais en tant qu'animateur en colonie de vacances), la MAIF à décidé que j'avais émis des incohérences et par la suite de ne pas me rembourser car ils avaient des soupçons et estimations. 2 semaines que j'essaie d'avoir une réponse correct, et dire que j'ai conseillé une assurance qui assure rien. </t>
  </si>
  <si>
    <t>08/05/2019</t>
  </si>
  <si>
    <t>stephane54-72458</t>
  </si>
  <si>
    <t xml:space="preserve">Le 22 décembre 2018 Je subi un.cambriolage dans ma maison de campagne.
Après avoir été à la gendarmerie faire le nécessaire j ai transmis les.documents a l.organsime auquel je suis assuré Crédit Mutuel ACM IARD SA .
A.partir de ce moment de surprise en surprise 
Un peu plus 10.000 euros de matériels informatiques videos outillage etc etc dérobés. 
Problème pour l assureur les factures malgré lui avoir signalé que tous mes achats étaient fait sur le Bon coin 
Ma reponse pas de.factures
Alors l assureur me réclame les justificatifs de conversations Mail pas de chance encore pour moi car je téléphone aux personnes qui vendent sur ce site.
Je leur transmet les seuls justificatifs en ma possession ( Des photos )
Leur réponse pourquoi les avez vous faites à cette date 
Après plusieurs mois d acharnement d échange de mail de coupe de téléphone nous arrivons à la date du 15 mars 2019 presque 4 mois ....
Je reçois un virement de 2880,00 euros 
Soit un peu plus du 1/4 du montant total dérobés
Leur réponse 
Selon les éléments communiqués je suis en rénovation par.concsequent ben désolé bibi mais on va être contraint  d appliquer la limite de garantie prévue au contrat
La.petite phrase qui tue
En l absence de justificatifs d achat nous étions en droit de n allouer aucune indemnite mais nous avons accepté d intervenir et de retenir une valeur forfaitaire 
Merci à vous Mr l assureur vous êtes un.seigneur....
Je ne recommande pas cette assurance des la semaine prochaine je vais souscrire une autre assurance chez des personnes plus professionnel 
C est une honte </t>
  </si>
  <si>
    <t>25/03/2019</t>
  </si>
  <si>
    <t>philippe-r-107354</t>
  </si>
  <si>
    <t>augmentattion cette année de mon échéance 31,97e par mois cette année 35,50 e malgré la pandémie (moins de kms roulé en 2020) et pour moi-même 0 accident depuis 20 ans 0 perte de points depuis tjrs</t>
  </si>
  <si>
    <t>21/03/2021</t>
  </si>
  <si>
    <t>gabel-j-117655</t>
  </si>
  <si>
    <t xml:space="preserve">Très bonne qualité de service agréable et très réactif à l’écoute de ces adhérents très réactif en cas de problème il reste à notre des dispositions et répondre à notre demande </t>
  </si>
  <si>
    <t>elisabeth-m-122001</t>
  </si>
  <si>
    <t>satisfaite de vos services depuis près de 30 ans; prix très compétitifs 
service à notre écoute sans problème et possibilité de revoir ses contrats à notre demande</t>
  </si>
  <si>
    <t>julio-108626</t>
  </si>
  <si>
    <t xml:space="preserve">Je suis satisfaite du service et de la rapidité de propositions d'offres mais également de cloturation de contrat. Je recommande ce site mais également l'assureur. </t>
  </si>
  <si>
    <t>31/03/2021</t>
  </si>
  <si>
    <t>jenni-49733</t>
  </si>
  <si>
    <t>J'ai pour ma part cette complémentaire et je suis contente car je payais presque 35% de plus l'année derriere chez Aviva et pour les même remboursements. Donc vive les comparaisons</t>
  </si>
  <si>
    <t>30/11/2016</t>
  </si>
  <si>
    <t>chloe-69266</t>
  </si>
  <si>
    <t>Entourloupe par téléphone: Néolia prevoyance pour la mutuelle bleue.
Suite à ma création d'entreprise, on m'a contactée en se faisant passer pour la sécurité sociale des indépendants, et on m'a embobinée pour me faire sourcrire deux contrats: assurance prévoyance indemnités journalières, sous prétexte que c'est le dernier jour pour valider mon dossier (sous entendu auprès de la SSI),
assurance prévoyance décès: non informée de la souscription de ce contrat, simplement glissé avec, utilisant une seule signature pour les 2 contrats. La signature étant un code reçu par sms (assur direct) répété de façon verbale à la téléconseillère.
Merci au délai légal de rétractation.</t>
  </si>
  <si>
    <t>10/12/2018</t>
  </si>
  <si>
    <t>01/12/2018</t>
  </si>
  <si>
    <t>ston-86302</t>
  </si>
  <si>
    <t>Suite à un accident moto grièvement blessé et non responsable. Aucun suivi, opacité totale. désinformation +++ (in fine "ne prenez pas de médecin de victime et d'avocat spécialisé en droit corporel, ça sert à rien", etc.). Entente souterraine entre médecin de mutuelle versus dédommagement minimum. etc. AMDM à éviter absolument.</t>
  </si>
  <si>
    <t>24/01/2020</t>
  </si>
  <si>
    <t>muy-122142</t>
  </si>
  <si>
    <t>Service déclaration et suivi sinistre impossible à joindre. Des attentes interminables au téléphone à chaque fois. En attente de leurs retour après passage de leur partenaire pour établir le devis.</t>
  </si>
  <si>
    <t>02/07/2021</t>
  </si>
  <si>
    <t>erik--122480</t>
  </si>
  <si>
    <t>Très lauvaise assurance j y suis resté pendant 13 ans mais au premier problème  des difficultés extrêmes pour se faire rembourser, très difficile à joindre et ils rechigne à régler les sommes dues. Bref à éviter.</t>
  </si>
  <si>
    <t>jean-louis-d-138950</t>
  </si>
  <si>
    <t>pratique, pris compétitif...comme quoi ça sert de regarder les GP vitesse.
j'ai été rappelé pour finanaliser mon engagement, donc si nous avons un doute, on nous explique.</t>
  </si>
  <si>
    <t>04/11/2021</t>
  </si>
  <si>
    <t>hleite-90503</t>
  </si>
  <si>
    <t xml:space="preserve">Je suis content du service, prix , de la facilité du devis en ligne.
J’attends vos propositions par mail pour pouvoir valider tout ça 
</t>
  </si>
  <si>
    <t>12/06/2020</t>
  </si>
  <si>
    <t>delphine-s-126042</t>
  </si>
  <si>
    <t xml:space="preserve">Très satisfaire rapide efficace très clair dans les explications je conseille les prix sont intéressants même pour une maman qui n'y connais pas grand chose </t>
  </si>
  <si>
    <t>annie66-54496</t>
  </si>
  <si>
    <t>Generali ne repond pas aux mails ni aux recommandés .concernant le paiement d'une assurance vie.</t>
  </si>
  <si>
    <t>05/05/2017</t>
  </si>
  <si>
    <t>nono-126061</t>
  </si>
  <si>
    <t>Aucun suivi. Aucun rappel. Numéro inaccessible.
Forcément quand il n'y a rien, aucun soucis vu qu'on ne leur demande rien. Ah si, placer des services ou produits à nous vendre.
En revanche ça fait trois semaines que j'essaie de faire avancer mon dossier sinistre suite à une inondation. Personne ne répond! Ils se rendent même inaccessibles au téléphone plusieurs journées.
Et ils font sonner mon téléphone et me raccroche pour que dans le dossier il y ai marqué que l'appel a été émis.
Une grosse blague!</t>
  </si>
  <si>
    <t>n'dum-kophy-d-122994</t>
  </si>
  <si>
    <t xml:space="preserve">Je suis satisfait du service les prix me conviennent même si je viens de débuter avec l’olivier assurance je verrais l’efficacité de leur procédure en cas de sinistre </t>
  </si>
  <si>
    <t>10/07/2021</t>
  </si>
  <si>
    <t>yves-d-102426</t>
  </si>
  <si>
    <t>Clarté de présentation du recueil d'informations. Prix apparemment compétitifs. Je comparerai avec d'autres devis avant de devoir imminemment décider d'un contrat.
Regrettable que ma demande de devis auto sous la même enseigne n'ait pas été acceptée.</t>
  </si>
  <si>
    <t>10/01/2021</t>
  </si>
  <si>
    <t>florian--c-131290</t>
  </si>
  <si>
    <t xml:space="preserve">Excellent 
Toujours réactif 
Bon service client 
Depuis le début je n’ai jamais été déçu même si je n ai pas encore eu d accident ou de problème 
Le site fonctionne bien aussi </t>
  </si>
  <si>
    <t>04/09/2021</t>
  </si>
  <si>
    <t>cat-116729</t>
  </si>
  <si>
    <t xml:space="preserve">Ne surtout pas prendre cet mutuelle.....petits remboursements ça va gros remboursements nulllllll et pour les joindres en cas de soucis Imposible. J appel des dizaines de fois rien...et ils ne vous rappel jamais. </t>
  </si>
  <si>
    <t>11/06/2021</t>
  </si>
  <si>
    <t>grace06-62340</t>
  </si>
  <si>
    <t xml:space="preserve">Trés déçue </t>
  </si>
  <si>
    <t>asma-64314</t>
  </si>
  <si>
    <t xml:space="preserve">je suis choquée, je n'ai jamais vu autant d'incompétence pour la gestion d'un sinistre.  J'appelle les services concerné durant des heures entières pour repartir avec des interlocuteurs qui n'écoute pas votre demande. Je me retrouve a payé ma voiture de prêt alors que c'est compris dans contrat. je dois faire quoi aidez moi </t>
  </si>
  <si>
    <t>amo-116527</t>
  </si>
  <si>
    <t>Suite à ma demande concernant la prise en charge après la sortie de l’hôpital suite à une hospitalisation,j'ai contacté SANTIANE pour une aide à domicile.Je reconnais les qualités de mon interlocutrice qui sont les suivantes:
Très à l'écoute, bonne  communication,bon relational,qualité de service ......etc
Enfin pleinement satisfait.</t>
  </si>
  <si>
    <t>marie-isabelle-a-138091</t>
  </si>
  <si>
    <t>PRIX CONVENABLE ET adhésion SIMPLE ET RAPIDE, pour le moment peut pas encore donner d avis sur le remboursement car pas nouvelle adhésion, j’espère que tout fonctionnera correctement</t>
  </si>
  <si>
    <t>23/10/2021</t>
  </si>
  <si>
    <t>jean344-56727</t>
  </si>
  <si>
    <t>service client horrible! on nous prend pour des imbéciles, on m'a raccroché 2 fois au nez. on doit soi-disant me rappeler mais ca ne rappelle jamais, on me dis problème régler 1h après a non pas du tout on m'a pris 5 fois pour un idiot, expérience DESASTREUSE!</t>
  </si>
  <si>
    <t>15/09/2018</t>
  </si>
  <si>
    <t>jarod8319-53300</t>
  </si>
  <si>
    <t>FUYEZ!!!!!!! Des délais HALLUCINANTS (plus d'un mois et ce n'est toujours pas fini). Un centre d'appel à deux réponses : " C'est confidentiel" ou "Je ne suis pas médecin". Des documents à fournir UNIQUEMENT par ....COURRIER! On est en 2017 ou 1917?
 il vont se prendre une resil dès qu'on a signé le prêt. Si vous cherchez un assureur compétent et réactif , une chose est sure, pas chez eux.</t>
  </si>
  <si>
    <t>15/03/2017</t>
  </si>
  <si>
    <t>fredfab72-77646</t>
  </si>
  <si>
    <t xml:space="preserve">Déjà dommage que 
l'on puisse pas ne mettre 0 étoile.
Assuré depuis 3 ans chez l'olivier, j ai 2 véhicules assuré chez eux plus celui de mon épouse.
Le 22 02 2019 j ai eu un accident non responsable.
Je dois par me plaindre remboursement de la voiture économiquement pas réparable. 
c'est lorsque je demande un relevé d info que les choses se gâtent.
ayant 3 années de conduite sans accident et partant de bonus 0 je retrouve 0.85 au 16 07 2019 sur les 3 années.
surprise 50 % de tord lors de l'accident
bonus 0.95  
je vais une réclamation et on m envoi vers le service sinistre qui m'indique que c'est bien une erreur et il corrige cela c'était il y a 2 mois.
je demande une nouveau relevé semaine dernière et encore une erreur le bonus est bien 
corrigé mais il reste les tords à 50 % pour l'accident alors que je n étais pas responsable.
je rappel on corrige et on me renvoi un autre relevé et la bonus 0.90 et 0 % en accident
je rappel encore et je reçois bien un relevé avec 0.85 de bonus mais on me remets 50 % de tord sur l'accident du 22 02 2019.
Donc depuis mai  5 relevés d'info envoyés  5 relevés comportant encore et encore des erreurs.
je ne parle pas des contrats qui prennent jusqu'à 60% d'augmentation.
Les prix à géométrie variable 
</t>
  </si>
  <si>
    <t>15/07/2019</t>
  </si>
  <si>
    <t>pat-104343</t>
  </si>
  <si>
    <t xml:space="preserve">Fidèle à cette assurance depuis 1993, ils ont toujours su répondre à mes demandes. Le prix est en fonction de l'indice ce qui fait vite monter la note, mais c'est commun aux autres mutuelles je pense. Une aide de prise en compte partielle étant envisagée par l'administration cela devrait aider. Je suis et resterais à la mgp. </t>
  </si>
  <si>
    <t>17/02/2021</t>
  </si>
  <si>
    <t>bardail-y-139244</t>
  </si>
  <si>
    <t xml:space="preserve">Je suis satisfait du service proposé…les prix sont très abordables et le contact avec le service souscription a été très fluide et rapide…je recommande vivement </t>
  </si>
  <si>
    <t>09/11/2021</t>
  </si>
  <si>
    <t>tania-p-132818</t>
  </si>
  <si>
    <t xml:space="preserve">Simple et pratique rapide à souscrire pas chère sur tout pour les jeunes conducteurs  je suis satisfaite 
Merci direct assurance pour votre simplicité </t>
  </si>
  <si>
    <t>camara-n-127523</t>
  </si>
  <si>
    <t xml:space="preserve">Je ne suis pas très satisfaite car j'ai essayé à plusieurs reprises pour finaliser mon inscription le sites ne fonctionne pas.  Et pourtant j'avais du réseau </t>
  </si>
  <si>
    <t>khemchguard-y-135303</t>
  </si>
  <si>
    <t xml:space="preserve">Service satisfaisant et service client à l'écoute et efficace.
Prix très intéressant par rapport à d'autres assurances malgré un malus.
Je recommande </t>
  </si>
  <si>
    <t>lapeyre-a-125941</t>
  </si>
  <si>
    <t>Manque d'informations concernant les documents manquants. Si je n'avais pas consulté mon espace perso, je ne me serais jamais rendu compte de ce détail.</t>
  </si>
  <si>
    <t>patrick-d-126135</t>
  </si>
  <si>
    <t>Les prix sont plutôt correcte les services recherchés le sont aussi. Comparer à d’autre assurance qui en propose un peu moins pour beaucoup plus cher .</t>
  </si>
  <si>
    <t>pakita-67957</t>
  </si>
  <si>
    <t xml:space="preserve">assuré depuis une trentaine d'année à la maaf Habitation et Auto, je viens de recevoir un courrier m'informant que mon contrat auto serait résilé au 31/12/2018 au motif "fréquences de sinistre"
après avoir patienté 20 minutes au téléphone un conseille m'indique que j'ai eu 2 sinistres 
récemment et que même si dans le 1er je n'ai aucune responsabilité - véhicule détruit par l'incendie du moteur de la voiture garée derrière moi dans lequel j'ai été mal remboursée, l'expert ayant estimé qu'il y avait des problèmes sur la carrosserie - cela ne change rien - le second, petit accrochage de ma faute 
et pendant le même temps la maaf fait de la pub pour deux mois gratuits sur votre assurance auto, jusqu'au 31 décembre
il me paraît donc devoir résilier mon assurance habitation
</t>
  </si>
  <si>
    <t>22/10/2018</t>
  </si>
  <si>
    <t>anouchka68-133819</t>
  </si>
  <si>
    <t>Bonjour, 
Malgré mes réclamations auprès de santiane, depuis plus de 6 mois, impossible de me connecter à mon compte et de connaître mes remboursements. Santiane se fiche de mes demandes.
Ma seule solution est donc de changer de mutuelle. Je déconseille santiane !</t>
  </si>
  <si>
    <t>21/09/2021</t>
  </si>
  <si>
    <t>goubin-n-133659</t>
  </si>
  <si>
    <t xml:space="preserve">Satisfait dans l ensemble appart la connexion très mauvaise j ai était coupé 2 fois j espère que le réseaux  téléphonique sera meilleur si 1 jour j ai un problème </t>
  </si>
  <si>
    <t>20/09/2021</t>
  </si>
  <si>
    <t>mickael-123848</t>
  </si>
  <si>
    <t xml:space="preserve">Le service client est une catastrophe. Il est impossible de joindre un responsable en ligne. Il s'agit de call center basé à l'étranger qui ne peut absolument pas vous aidez ni vous mettre en relation avec une personne capable de résoudre une situation. </t>
  </si>
  <si>
    <t>laurie-i-133084</t>
  </si>
  <si>
    <t xml:space="preserve">Service okay mais Prix trop élevés par rapport à mes véritables besoins, important de rester en veille pour refaire le point 
Sinon application pratique  </t>
  </si>
  <si>
    <t>ahmed-k-121962</t>
  </si>
  <si>
    <t>je suis moyennenment satisfait jusqu a present 
car je trouve que 
sauf que vous ets difficilement joingable au telephone
merci cordialement, 
KAID ahmed</t>
  </si>
  <si>
    <t>marine-j-125557</t>
  </si>
  <si>
    <t xml:space="preserve">Je suis satisfait du prix de cette assurance les devis sont rapides très bonrapport qualité prix rien a signaler tout est dis dommage que l'ont doit payer plusieurs mois à la souscription </t>
  </si>
  <si>
    <t>30/07/2021</t>
  </si>
  <si>
    <t>ras-le-bol-76674</t>
  </si>
  <si>
    <t>Bonjour,
Comme il est impossible de continuer la discussion arrêtée en avril 2020 où Humanis me disait qu'il reviendrait vers moi rapidement (depuis, aucune nouvelle...), je reprends donc ma demande:
Bonjour Humanis, Je vous ai déjà transmis tous les documents que vous m'avez demandé: Par lettres recommandées avec AR ET par votre site web. Toutes les réponses que j'ai obtenu sont hors du sujet... à croire que vous ne comprenez pas ma demande pourtant simple:
Ma rente invalidité n'a jamais été revalorisée depuis le départ (1996.)
Je demande donc la revalorisation correcte et un rattrapage.
Le libellé actuel sur les attestations que je reçois est FAUX !
Il indique une revalorisation FICTIVE (obtenue en réduisant ma rente de base) et une rente de base complètement fausse. Le total des deux est en fait ma rente de base depuis 1996 et la revalorisation totalement inexistante.
Pour être très clair:
En 1996, ma rente était de 850€ / mois (à l'époque en francs et j'arrondis le chiffre), c'est donc ma rente de base puisque c'était le début de mon invalidité.
Après quelques années, ne voyant venir aucune revalorisation, j'ai demandé plusieurs fois à Prado qui gérait mon dossier de corriger cette situation.
Mon dossier a été transféré chez Apicil sans que j'obtienne de réponse de Prado.
J'ai recommencé mes démarches auprès d'Apicil... ce qui fut très compliqué.
Mon dossier fut transféré chez Humanis sans que j'obtienne de réponse d'Apicil.
J'ai recommencé mes démarches auprès d'Humanis et j'attends toujours.
Mon dossier est maintenant chez Malakoff humanis.
Ma rente est toujours de 850€ sauf qu'elle est présentée comme ceci:
690€ (rente de base)
160€ (revalorisation)
Hors, il est impossible que ma rente de base soit 690€ en 2020 alors qu'elle était de 850€ en 1996.
Vous m'indiquez dans votre dernier courrier que la société où je travaillais est disparue en 2010 et que de ce fait il n'y a plus de revalorisation depuis 2010.
Mais moi je vous demande de revaloriser ma rente qui ne l'a jamais été depuis 1996 !
Vous m'avez déjà demandé de vous fournir 3 ou 4 années de photocopies de relevés mensuel... + mes contrats, ce que j'ai fait depuis longtemps.
Merci d'avance de prendre mon dossier en considération.</t>
  </si>
  <si>
    <t>Malakoff Humanis</t>
  </si>
  <si>
    <t>15/11/2020</t>
  </si>
  <si>
    <t>zipo974-113951</t>
  </si>
  <si>
    <t>Suite à un changement de véhicule principale, le service client a étais très clair et réactif concernant les démarches à suivre, sa étais rapide contrairement a d'autre assurance !  Jamais eu de souci sur les devis, ni de souci sur un dépannage, ni de souci sur les prélèvement! Serte beaucoup de gens vont dire que c'est une assurance internet mais franchement je préfère payer 56€/mois pour ma 1200 bandit de 1998, que 150€ chez d'autre mutuel "mieux" connu! Arrêter de payer chère pour rien!!!</t>
  </si>
  <si>
    <t>patifio-107162</t>
  </si>
  <si>
    <t>N DEYE
je suis très satisfaite de la prestation de mon interlocutrice Jai eu réponses toute mes questions. très réactive et aimable, patiente.
joignable rapidement qui est très appréciable.</t>
  </si>
  <si>
    <t>michel-r-132488</t>
  </si>
  <si>
    <t>Ce n'est vraiment pas la MAAF que je préfère !
- Ils sont chers (voiture, habitation) et bien au dessus de la plupart des autres assureurs
- aucun sens ni respect du client même si vous êtes client depuis 30 ans (mon cas)
- que vous ayez 1 ou 6 contrats, pas de conditions financières particulières pour vous remercier d'être fidèle
- process encore au 20ème siècle : faut à chaque fois se déplacer en agence en ayant pris un RDV (quand ils veulent) et sans que votre interlocuteur ai regardé votre dossier avant !
- Aucune possibilité d'avoir en direct votre agence (par email ou au téléphone). Faut forcément passer par une centrale nationale d'appel et qui vous pose plein de questions avant de vous passer votre agence.
Je suis passé à la concurrence  (Direct Assurance) en regrettant ne pas l'avoir fait plus tôt.
Mon conseil : ne pas y aller ou les fuir si vous y êtes encore !
Je connais par avance leur réponse systématique aux avis sur le site : "contacter nous sur notre messagerie que l'on puisse vous répondre" : inutile, j'ai tout dis et ne reviendrait pas chez vous.</t>
  </si>
  <si>
    <t>fern-56917</t>
  </si>
  <si>
    <t xml:space="preserve">Bjr,
Suite à une demande de prise en charge de l’assurance Cardif pour des crédits contractés chez Cetelem. L’assurance a refusé la prise en charge de mes crédits par rapport à mon arrêt maladie survenue le 18/11/2016. Les médecins et les spécialistes m’ont diagnostiqué une uncodiscarthrose liée indirectement aux 14 années dans mon entreprise à porter des charges à bout de bras et faisant des mouvements répétés (agent logistique, manutention), je vais subir le 7 Septembre 2017 une opération chirurgicale de mon hernie discale cervicale.  j’ai téléphoné à l’assurance maladie pour demander pourquoi la prise en charge avait été refusée, la personne m’a spécifié que les maladies liées au dos n’étaient pas prises en charges. J’ai donc été voir mes contrats d’assurances, les maladies liées aux cervicales sont spécifiées au paragraphe des maladies en ITT, IPT… Je me suis rapproché de la CPAM pour leur demander dans quelle catégorie je me situais, celle-ci m’envoyer un courrier me disant que j’étais en ALD (affection longue durée), j’ai demandé si le terme ITT et ALD était identique, un médecin m’a dit que non, ce sont deux termes totalement différents. Pourriez-vous me confirmer ou non cela ?
Mon mari a eu un cancer l’année dernière au mois de juin 2016, il est actuellement en rémission, mais ne peux pas travailler, il touche une pension d’invalidité. Au mois de Novembre 2016, ce fut mon tour en contractant une uncodiscarthrose. Financièrement c’est très compliquée, ce mois-ci nous n’avons pas pu payer la société de crédit faute d’avoir les fonds nécessaire pour pouvoir les payer (239.76 €), J'ai peur de répondre au téléphone quand ils m'appellent.. Nous allons essayer de leur donner le retard du mois d’Août au mois de Septembre, malgré cela si nous arrivons à leur régler le retard, nous aurons toujours un mois de règlement en retard, des agios sont pris dû au retard et cela nous met encore plus dans les problèmes en plus de notre découvert. 
J'ai vraiment besoin de votre aide, pour trouver une solution.
Merci pour vos réponses
Fern
</t>
  </si>
  <si>
    <t>28/08/2017</t>
  </si>
  <si>
    <t>01/08/2017</t>
  </si>
  <si>
    <t>delph-50981</t>
  </si>
  <si>
    <t xml:space="preserve">C'est toujours pareil ...tant que vous n'avez pas à solliciter votre assureur , tout va pour le mieux . MAIS dès qu'un tout petit évènement vous oblige à les contacter , on s'aperçoit très rapidement d'une incompétence flagrante et sans doute aussi d'un manque de " personnel " formés . Très peu de temps après avoir souscrit un contrat, je suis tombée en panne , rien de bien méchant . Et pourtant que de temps passé à envoyer plusieurs courriers auquel on ne répondait pas, de multiples appels téléphoniques sonnant dans le vide ou aboutissant à un répondeur informant qu'ils n'étaient pas en mesure de répondre pour finalement, au bout de presque trois mois ... devoir menacer d'un procédure auprès de la DGCCRF ...simplement pour obtenir un simple remboursement !
L'effet fut quasi immédiat avec, enfin, un appel téléphonique que j'ai reçu et dont je conserverai longtemps le souvenir tant l'interlocutrice se comporta de manière totalement incongrue et désinvolte . J'appris à cette occasion que si je n'avais pas été remboursée c'est que le garagiste avait simplement oublié d'inscrire le prix hors taxe sur la facture . Eh oui ! Trois mois pour entendre ça et en plus une interlocutrice qui se met à rire ! Et trois mois sans aucune réponse à mes courriers ! Bien entendu; j'ai du hausser le ton et lui reprocher son rire totalement déplacé . 
Changer d'assureur...? Bof... après plus de trente ans de conduite automobile et avoir testé d'autres compagnies et surtout m'être informée avant de souscrire un contrat, c'est parait-il une des moins " mauvaise " , alors ...! Et comme je conduis de moins en moins ...rien ne presse . Il faut juste avoir assez d'énergie et de tempérament pour ne pas se laisser mener en bateau quand on est dans son bon droit , droit évidemment souvent bafoué ! </t>
  </si>
  <si>
    <t>05/01/2017</t>
  </si>
  <si>
    <t>alibaba12-53632</t>
  </si>
  <si>
    <t>A éviter, surtout si vous n'êtes pas patients. Ils devraient investir leur argent dans leurs services auprès des clients plutôt qu'à la TV</t>
  </si>
  <si>
    <t>27/03/2017</t>
  </si>
  <si>
    <t>lanna-l-123536</t>
  </si>
  <si>
    <t>Prix relativement cher pour un scooter, mais vu l'époque et la demande peut etre justifié.
En tout cas merci et tenez moi au courant, si les tarifs baissent.... lol</t>
  </si>
  <si>
    <t>15/07/2021</t>
  </si>
  <si>
    <t>lesterps-103498</t>
  </si>
  <si>
    <t>ECA à fuir   j'ai eu que de mauvaises surprises  ils m'assurent pour une assurance pour animaux ils m'ont contraint à d'autres contrats à créditer sur mon compte sans mon accord 
Contrats</t>
  </si>
  <si>
    <t>aurelie-113155</t>
  </si>
  <si>
    <t xml:space="preserve">Peu de frais remboursés !
Seul 100 euros sont remboursés sur une stérilisation à 300 euros, opération voile du palais (chien bouledogue francais) à 700 euros pas du tout remboursé !! Seul les vaccins sont remboursés, avec une mensualité de 20 euros ça ne vaut pas le coup de souscrire une assurance ! 
Et gros problème pour résilier ! J'ai envoyé plusieurs mails, jamais 
de réponse... J'ai envoyé une lettre de résiliation en recommandé il y a 3 semaines et hormis l'accusé de réception rien n'a changé sur mon compte client. Pas reçu de mail ou de courrier pour dire que ma résiliation sera bien prise en compte, mon compte est noté toujours actif sur l'espace client du site, et je viens d'être à nouveau relevé ! 
Je vais voir avec ma banque pour bloquer les prélèvements à venir.
D'accord avec les autres avis, à juir absolument ! </t>
  </si>
  <si>
    <t>09/05/2021</t>
  </si>
  <si>
    <t>maely-58040</t>
  </si>
  <si>
    <t>Assuré chez la maaf depuis 2012 zero sinistre jusqu'à 2016. Je totalise donc 2 sinistre en 2016, en 2017 il m'arrête mon contrat de leur assurance d'une part je ne trouve pas sa normal et en plus c'est qu'il me previenne 2 mois avant la fin du contrat ! Merci le stresse qui me prendra avec 2 sinistre !!écoeurer de leur façon de faire je déconseille vivement la maaf !!!!!!!!!</t>
  </si>
  <si>
    <t>13/10/2017</t>
  </si>
  <si>
    <t>vincent-m-113244</t>
  </si>
  <si>
    <t xml:space="preserve">Je suis satisfait des tarifs.
Etant depuis très longtemps chez vous, je pense que vous êtes la compagnie d'assurance la mieux cotée jusqu'à présent.  </t>
  </si>
  <si>
    <t>ezzenfari-i-134548</t>
  </si>
  <si>
    <t>Satisfait, j' attend les documents le plus rapidement svp meme si le prix est cher. Je ne vous connaissez pas je vous ai decouvert sur internet. Merci</t>
  </si>
  <si>
    <t>26/09/2021</t>
  </si>
  <si>
    <t>sandramichaux-107633</t>
  </si>
  <si>
    <t xml:space="preserve">Je suis satisfaite de la mutuelle MGP, et ce depuis ma souscription. Les tarifs sont abordables et les produits et services proposés semblent très intéressants pour les assurés. Les conseillers mis à notre disposition, savent répondre à nos attentes. </t>
  </si>
  <si>
    <t>charlotte-68069</t>
  </si>
  <si>
    <t>Un scandale cet assureur, une honte. Un 50/50 annoncé sur un accrochage sur un parking. Finalement celui-ci a été reconsidéré en 100% en ma défaveur, chose découverte seulement 1 an après lors de la résiliation du contrat suite à la vente de mon véhicule. La responsable du service a requalifié le sinistre sans daigner m'informer, ni par téléphone, ni par courrier! De l'incompétence et manque de courage total! A fuir Pacifica.</t>
  </si>
  <si>
    <t>25/10/2018</t>
  </si>
  <si>
    <t>christophe-l-130459</t>
  </si>
  <si>
    <t>Bonjour. Je suis satisfait de l'ensemble de vos services aussi bien par contacts téléphoniques, accueils à l'agence de TARBES et par internet. Cordialement</t>
  </si>
  <si>
    <t>ophelie-66532</t>
  </si>
  <si>
    <t xml:space="preserve">J'ai souscrit chez L'olivier assurance pour ses prix attractifs et les garanties proposées à un très bon prix. Jusqu'a présent je suis totalement ravi, la mise en place de mon dossier s'est faite sans problème !
</t>
  </si>
  <si>
    <t>sebastien-o-109639</t>
  </si>
  <si>
    <t xml:space="preserve">je suis satisfait du service.
le prix après des efforts de négociations de Direct assurance est redevenu un prix satisfaisant et semble très correct par rapport a la concurrence.
 </t>
  </si>
  <si>
    <t>saniez-a-133907</t>
  </si>
  <si>
    <t>Service client au top ! Reste plus qu'à voir par la suite ce que l'assurance donne.
Très bien renseigné, c'est à partir de ce moment que mon aventure débute dans cette assurance qui font des prix raisonnables.</t>
  </si>
  <si>
    <t>bdan-80038</t>
  </si>
  <si>
    <t xml:space="preserve">A fuir absolument ! l'assurance du crédit Agricole est une fumisterie, comme beaucoup de service en ligne sans personne en face ou en tout cas jamais les mêmes. Tout est bien verrouillé afin de ne pas débourser 1 centimes en cas de problème.
Des experts véreux qui touchent des primes si l'assureur s'en sort indem. Des conditions générales de ventes illisibles et contradictoires  pour pouvoir jongler et avoir gain de cause. </t>
  </si>
  <si>
    <t>14/10/2019</t>
  </si>
  <si>
    <t>jr-71112</t>
  </si>
  <si>
    <t>depuis septembre 2018 je n'ai toujours pas ma carte de mutuelle et je suis prélevé tous les mois</t>
  </si>
  <si>
    <t>08/02/2019</t>
  </si>
  <si>
    <t>01/02/2019</t>
  </si>
  <si>
    <t>wazipon-76503</t>
  </si>
  <si>
    <t>Gros problème chez REUNICA AG2R pour mon dossier de prévoyance : paiements irréguliers depuis un an, mais surtout plus aucun versement depuis 5 mois, aucune réponse, j'ai dû activer ma protection juridique en croisant les doigts car même mon ancien employeur n'arrive pas à obtenir de réponses.</t>
  </si>
  <si>
    <t>05/06/2019</t>
  </si>
  <si>
    <t>billyboy2019-75005</t>
  </si>
  <si>
    <t>service client non compétent aucune coordination en gestion colective delocalisation au maroc au detriment du respect envers le client
pas de réponse par mail le client doit combler les erreurs a repetition des gestionnaires. Promesses faites par telephone mais jamais honoré. si vous tenez à votre dignité passez votre chemin</t>
  </si>
  <si>
    <t>11/04/2019</t>
  </si>
  <si>
    <t>flechais-c-137271</t>
  </si>
  <si>
    <t>Je suis satisfait, beaucoup d'avantages.
Les prix sont très convaincant, beaucoup d'économies.
Super simple, pratique, site très fluide et agréable...</t>
  </si>
  <si>
    <t>agariabdel-64305</t>
  </si>
  <si>
    <t xml:space="preserve">Bonjour ! 
Accident non responsable depuis pratiquement 9 MOIS et toujours pas de réparation et pas remboursement non plus et à chaque je les appels c est toujours là même discett  attendre et attendre et tout ça pour ne pas changer d assurance </t>
  </si>
  <si>
    <t>hugo-107450</t>
  </si>
  <si>
    <t>J'étais ravi de mon assureur et des ses tarifs ( Excellent relationnel, déjà quatre contrats chez eux).... jusqu'à ce que j'en ai malheureusement besoin.
Premier accident responsable ( sortie de route ) en plus de 10 ans de permis et 6 ans d'assurance chez Axa. Vu le peu de dégâts subits par la voiture et son excellent état par ailleurs, je m'attends à ce qu'on me la répare. 
Première surprise : Véhicule classé économiquement irréparable, plus d'un mois après le sinistre.
Deuxième surprise : La valeur à dire "d'expert", bien en deçà de la valeur réelle constatée du véhicule, il me sera impossible d'acheter le même véhicule, même plus kilométré, avec la somme estimée. ( Expert bien entendu "partenaire d'Axa")
Troisième surprise : Mon véhicule est enlevé fin Mars par un épaviste, soit plus de deux mois après la déclaration du sinistre, et toujours pas la moindre indemnisation en vue. Donc plus de voiture et pas d'argent... pratique ! ( épaviste qui lui même dira devant la voiture "et c'est tout ce qu'ils vous en donnent ?!" )
Quatrième surprise : Mon employeur, au courant de mon accident, me demande un relevé d'information de mon assurance, pour savoir si mon nouveau coefficient allait impacter mon assurabilité sur les véhicules d'entreprise. Relevé d'information demandé il y a un mois... jamais reçu !
Cinquième surprise : Dans une impasse financière due à cette situation et face au besoin d'avoir un véhicule pour me rendre sur mon lieu de travail, je décide de ne pas faire effectuer de contre expertise, on m'a bien fait comprendre que cela durerai des mois.
Dans un ultime espoir, je demande à ma conseillère s'il lui est possible de faire un geste commercial sur la franchise appliquée. Elle me répond qu'elle doit en discuter avec son patron, mais qu'il a vu que j'avais effectué une demande de relevé d'information, et que ça jouera en ma défaveur, me laissant comprendre que je ne suis pas un client "fidèle".
Ce qui révèle qu'ils ont bien reçu ma demande de relevé d'information à laquelle je n'ai jamais eu de réponse.
Je précise quand même que j'ai quatre contrats d'assurance auto et moto chez eux, dont trois en véhicules de collection, et que, contrairement à d'autres assurances, ils n'ont fait aucun geste commercial par rapports aux divers confinements durant lesquels aucun de ces véhicules ne pouvait sortir du garage.
Je recommandais jusqu'ici à mon entourage propriétaire de véhicules de collection de faire faire des devis dans cette agence, notamment à mes parents qui disposent d'une collection conséquente pour laquelle j'ai moi même fait faire des devis auprès d'axa... Je ne pense pas qu'il soit légitime de remettre en doute MA fidélité.
Aujourd'hui à plus de deux mois du sinistre, je n'ai perçu aucune indemnisation, reçu aucune réponse à ma demande de remise sur ma franchise et mon agence ne répond plus ni par mail ni par téléphone.
Dans un dernier élan de "fidélité" je ne divulguerai pas de quel agence Axa je suis le client. 
Déçu, je me dois d'en faire part aux éventuels futurs souscripteurs.
Bonne journée.</t>
  </si>
  <si>
    <t>22/03/2021</t>
  </si>
  <si>
    <t>patou56-70341</t>
  </si>
  <si>
    <t xml:space="preserve">Je me suis assuré chez Solly Azar pendant 1 an , stop cela suffit !! quand j'ai vu qu'il demandaient des papiers et des papiers j'ai envoyé une lettre recommandée 2 mois avant la fin de ma 1ère année comme cela était indiqué dans le contrat ,ils me l'ont refusé comme quoi 20 avant il fallait résilier avec la loi Chatel,comme je suis membre adhérant de l'UFC que choisir j'ai dénoncé leur méthode même mon vétérinaire n'avait jamais vu cela ,en tout cas fuyez en courant,je ne les recommande pas surtout pas </t>
  </si>
  <si>
    <t>Solly Azar</t>
  </si>
  <si>
    <t>18/01/2019</t>
  </si>
  <si>
    <t>chtiminord-127548</t>
  </si>
  <si>
    <t>Une peinture quasi complète à refaire sur une 3008 suite à un mauvais coup de tempête.
Une déclaration de sinistre faite. Une présentation à un expert, une réparation faite chez Peugeot. 2000 euros de facture remboursée par la GMF sauf bien sur la franchise.
Tout s'est super bien passé. Bravo la GMF. Je recommande vivement.</t>
  </si>
  <si>
    <t>jerome-p-122551</t>
  </si>
  <si>
    <t>JE SUIS SATISFAIT DU SERVICE 
contrat bien clair et bien explique
assez rapide a nous contacter
interlocutrice tres charmande
je recommande
merci beaucoup</t>
  </si>
  <si>
    <t>avirex-75835</t>
  </si>
  <si>
    <t>Suite à un cambriolage survenu fin Février 2019 une personne de 91 ans a  attendu plus de 2 mois afin d'avoir une nouvelle serrure ...Mal posée et ayant des problèmes  électriques et détérioration supplémentaires sur la porte .
Quand à l'indemnisation  :Je resterais poli</t>
  </si>
  <si>
    <t>16/05/2019</t>
  </si>
  <si>
    <t>pborg-58378</t>
  </si>
  <si>
    <t xml:space="preserve">Après 2 incidents ( un bris de glace et un tamponnage avec un autre véhicule à l arrière sans aucun dégât) la maaf nous résilie! Après plus de 10 ans chez eux!!! </t>
  </si>
  <si>
    <t>26/10/2017</t>
  </si>
  <si>
    <t>toto12356-67204</t>
  </si>
  <si>
    <t>Après 10 ans de bon et loyaux règlements (auto/habitation entre autres), un sinistre m'a montré le niveau de qualité des remboursements, du service client. Aucune empathie conseil inexistant pour ce qui est des agences, réactivité très très médiocre du service sinistre sans parler des heures à attendre pour les joindre. 
J'ai du certainement tomber uniquement sur les mauvais interlocuteur mais en l'état je conseille de "fuir" cette compagnie d'assurance</t>
  </si>
  <si>
    <t>30/09/2018</t>
  </si>
  <si>
    <t>aimee-g-128310</t>
  </si>
  <si>
    <t>TRES LONG POUR FAIRE UNE DEMANDE DE DEVIS MAIS RAPIDE POUR SIGNATURE DE DEVIS A METTRE VALIDER ET DONC PRENDRE POSSESSION DU VEHICULE; MIN 50 CARACTERES C'EST LONG.....</t>
  </si>
  <si>
    <t>malik-l-131994</t>
  </si>
  <si>
    <t>Devis compliqué et information pas toujours claire.
Le véhicule est nouveau mais on nous oblige a dire depuis combien de temps est résilié l’ancienne assurance, mais c’est justement une nouvelle assurance pour un nouveau véhicule, donc c’est pas clair.</t>
  </si>
  <si>
    <t>santos-m-139716</t>
  </si>
  <si>
    <t>Très simple et très clair. Montage du contrat et contact au Top. Tout peux se faire en ligne ou par telephone. La signature est electronique et les documents dematerialisé.</t>
  </si>
  <si>
    <t>walty2-68091</t>
  </si>
  <si>
    <t>Assurance prêt immobilier via la Caisse d'Epargne et dont l'interlocuteur est la CBP. 
Dossier ouvert le 29 juin 18 pour ITT, un peu avant les 90 jours d'arrêt demandés.
Enormément de documents à fournir, ce qui, bien sûr a retardé la date de départ du dossier à juillet. Réponse au dossier donnée presque 3 mois après, alors que 1 mois annoncé. 
Une prise en charge du prêt immobilier plus que médiocre annoncée par courrier : 3 pourcent du prêt immobilier le premier mois : 25euros sur 720euros, puis 35 pourcent les deux mois suivant, alors que ma perte de salaire est presque de 50 pourcent après 90 jours d'arrêt tandis que d'autres assurances banque remboursent la totalité du prêt. 
Et à ce jour, presque 4 mois après ouverture du dossier toujours aucun virement reçu.
Bien sûr cela arrivera certainement une fois que j'aurai repris le travail et que l'on ne sera plus dans la panade financière.
Vraiment très déçue de cette assurance!! Quant à l'interlocuteur, la CBP, malgré de nombreux appels et mails durant ces 4 mois, bien que toujours réactifs pour répondre, n'ont jamais de réponse à fournir. Ne peuvent pas renseigner plus que ce que je vois sur mon compte internet et faire avancer les choses, donc ne servent pas à grand chose.</t>
  </si>
  <si>
    <t>26/10/2018</t>
  </si>
  <si>
    <t>laloum-126614</t>
  </si>
  <si>
    <t xml:space="preserve">Adhérent chez eux depuis 1 an, des tarifs exorbitants, des demandes sans réponses depuis plusieurs mois.
Vraiment indigne, a part encaisser les cotisations, je me demande ce qu'ils font d'autres. </t>
  </si>
  <si>
    <t>05/08/2021</t>
  </si>
  <si>
    <t>gala-97181</t>
  </si>
  <si>
    <t xml:space="preserve">Verse 70000 € en 2018 2 ans après toujours pas récupéré cette somme, le 18 août 2020 je décide de racheter cette assurance, pour l immobilier. Le 9/09/2020 toujours pas  reçu le paiement, pire les 69800 € ne me rapportera rien sur les 8 mois de 2020,l organisme financier à travailler 8 mois avec mon argent gratuit !!en plus j attends pour récupérer, si ce n est pas un scandale alors quoi ? Que faire  pour  remettre un peu d ordre dans  ces montages financiers </t>
  </si>
  <si>
    <t>09/09/2020</t>
  </si>
  <si>
    <t>comb26-75575</t>
  </si>
  <si>
    <t>Ayant des véhicules de fonction depuis plus de 20 ans, donc pas d'assurance à mon nom, mon relevé auprès des compagnies concernées a fait apparaître une déclaration litige (tôle froissée et sans tiers) ainsi que des changements de par-brise du à des éclats, donc pas responsable, AMV me taxe d'un malus à 0,95% ( je précise que j'ai été client par le passé (assurance moto) sans accidents.</t>
  </si>
  <si>
    <t>03/05/2019</t>
  </si>
  <si>
    <t>jacqueline-h-115668</t>
  </si>
  <si>
    <t>Je suis satisfaite du service, on vera lors du premier sinistre comment cela se passera.
Bien à vous cordialement, très bonne journée..................</t>
  </si>
  <si>
    <t>02/06/2021</t>
  </si>
  <si>
    <t>malika-51407</t>
  </si>
  <si>
    <t xml:space="preserve">Cliente depuis 8 ans ,pas de changement dans le prix,ça augmentera chaque année, de la publicité menssengaire ,j ai trouvé moins cher avec les même garanties,vivement le changement </t>
  </si>
  <si>
    <t>14/03/2020</t>
  </si>
  <si>
    <t>velasquez-c-108380</t>
  </si>
  <si>
    <t xml:space="preserve">Je n'ai pas pu changer mon numéro de téléphone qui n'était pas le bon sur le contrat avant de le signer, je l'ai donc réctifié sur mon espace personnel </t>
  </si>
  <si>
    <t>29/03/2021</t>
  </si>
  <si>
    <t>vincent-103218</t>
  </si>
  <si>
    <t>Allianz (belux) : grosse difficulté pour avoir quelqu’un au téléphone. Réponse qui ne vient pas (retour par mail). Rendements nulles !
On est loin des agents d’assurances qui connaissaient leur métier.</t>
  </si>
  <si>
    <t>25/01/2021</t>
  </si>
  <si>
    <t>alain-93694</t>
  </si>
  <si>
    <t>Je suis satisfait du prix. Je vais appeler pour plus d’informations concernant les franchises. Ce qui est compris dans Le Bris glace. Si les réponses ok pour moi se sera bon</t>
  </si>
  <si>
    <t>10/07/2020</t>
  </si>
  <si>
    <t>fabrice-r-123762</t>
  </si>
  <si>
    <t>inscription facile et rapide explication des produits bien fait , le prix me semble correct.A voir avec le temps si ça augmente    . Et si je suis deçu je change</t>
  </si>
  <si>
    <t>18/07/2021</t>
  </si>
  <si>
    <t>lea-57179</t>
  </si>
  <si>
    <t>Pendant des années ma maison était assurée chez eux , sans jamais aucun sinistre . Cette année , je décide de changer d' assureur , en passant par mon conseiller bancaire : ma banque se charge de résilier mon ancien contrat , et Direct Assurance m' harcèle pour que je lui règle tout de même le total pour l' année . Ma banque avait pourtant résilié dans les temps !!! Bref , à fuir !</t>
  </si>
  <si>
    <t>08/09/2017</t>
  </si>
  <si>
    <t>bno1963-76874</t>
  </si>
  <si>
    <t>RAS</t>
  </si>
  <si>
    <t>18/06/2019</t>
  </si>
  <si>
    <t>-yassin--93304</t>
  </si>
  <si>
    <t>Bonjour: 
 je suis satisfait avec direct assurance  
  J assure ma 2 éme voiture avec direct assurance . Plus habitation  
Merci direct assurance pour tous</t>
  </si>
  <si>
    <t>07/07/2020</t>
  </si>
  <si>
    <t>virginie87-138388</t>
  </si>
  <si>
    <t>Assurée depuis des années à la Macif (logement + auto), je n'avais jusqu'à dernièrement eu aucun soucis avec eux. 
Et pour cause, je n'avais encore jamais rien eu à leur demander.
J'ai vendu mon auto en 2017 et n'ai eu aucune voiture depuis. J'en ai récemment acheté une et souhaitait l'assurer chez eux. Après un quiproquo sur mon bonus-malus, ils annulent la promesse de contrat et me font une proposition quasiment 2 fois plus cher. Je décide donc de faire des devis ailleurs. Un des assureurs me demande le relevé d'informations de mon ancien contrat auto (bien qu'il est plus de 3 ans).
Après plusieurs appelles un samedi (dont un qui me raccroche au nez), on me dit que c'est la production qui doit m'envoyer ce relevé et qu'ils me le fourniront par mail le lundi qui suit. 
Le lundi, toujours rien dans mes mails, je les rappelle. On me promet le document pour le mercredi. 
N'ayant rien eu le mercredi, le jeudi, je fais la demande directement sur leur site. On m'appelle le vendredi pour me dire qu'on m'envoie ce relevé directement dans l'après-midi.
Bien entendu, comme je n'ai rien reçu le vendredi, je les rappelle le lundi suivant. Cette fois pas de fausse promesse : la personne au téléphone me dit qu'ils ne conservent pas les contrats de plus de 3 ans, et qu'ils ne sont pas tenus de fournir un contrat qui en a 5.
Bref,
Après toute ces mésaventures je change définitivement d'assurance.</t>
  </si>
  <si>
    <t>27/10/2021</t>
  </si>
  <si>
    <t>jude111-49410</t>
  </si>
  <si>
    <t>Scandaleux.  Une situation bloquée depuis 2016  pour des fissures dues à la sécheresse,ce que l on a dû prouver par l  embauche d un tiers  expert ( le leur étant incompétent).celui ci nous a donné gain de cause en juillet 2020
Depuis m’agréer mes relances :silence radio. Allez à la maif,si c est plus cher au moins vous avez un service derriere</t>
  </si>
  <si>
    <t>28/12/2020</t>
  </si>
  <si>
    <t>jay75-71484</t>
  </si>
  <si>
    <t xml:space="preserve">Assurance a fuire de toute urgence. Irrespectueux, de mauvaise foi, meprisants,..inhumain!! Ils sont la juste pour empocher de l'argent....le jours ou vous ferez appel a eux ils seront vos ennemis! Etant chez eux depuis un an et demi avec aucun sinitres ni impayes ni souci j ai decider de les appeler pour voir si c etait possible qu'il rajoute ma femme qui vient d avoir son permis en deuxieme conducteur biensur ils ont refusé mais en plus ils ont decidé de resilier mon contrat a moi et biensur c etait noté sur le relevé d'informations avec lequel les autres assurances ont refusé de me prendre parceque j ai ete resilié par une assurance...je ne retournerais plus jamais chez cette assurance qui n a aucun respect pour ses clientS. </t>
  </si>
  <si>
    <t>20/02/2019</t>
  </si>
  <si>
    <t>manpic-80383</t>
  </si>
  <si>
    <t>Nouveau client chez L'oliver, nous sommes venu parceque les prix étaient très compétitifs, à couverture équivalente. Il a été assez facile de monter notre dossier, notamment grâce à l'espace client du site web. Le service client a été aussi assez sympathique lorsqu'il a été nécessaire de les contacter. Après, je n'ai pas encore eu besoin de faire jouer mon assurance, mon expérience est donc un peu limitée.</t>
  </si>
  <si>
    <t>24/10/2019</t>
  </si>
  <si>
    <t>djamel-b-112305</t>
  </si>
  <si>
    <t>Le prix me convient 
Je suis satisfait 
Une assurance 100 pour 100 en ligne 
Très facile d'inscription 
Je recommande fortement cette assurance quad .</t>
  </si>
  <si>
    <t>socrare127-114879</t>
  </si>
  <si>
    <t xml:space="preserve">Très déçue par cegema, remboursement hyper long vous multiplier les envoies de demande que ce soie par mail ou courriers qui soit disant ils n'on jamais reçue, sauf que je garde les copie de mes envoies. 
Vous leur demander avec grande difficulté une prise en charge hospitalière.
Ils oublie et vous vous retrouver avec une facture du trésor public de l'établissement. 
Impossible de les avoir au téléphone c'est un répondeur qui vous balade pendant plus de 30 mn au final, le robot vous dit laisser votre numéro ont vous rappelleras.
J'attend toujours et ma facture aussi. 
J'ai fait une demande le 24 avril pour une nouvelle prise en charge l'établissement n'a rien reçue. 
Je vais vite changer de mutuelle déception la plus total.
Je ne la recommande absolument. </t>
  </si>
  <si>
    <t>israel-m-109045</t>
  </si>
  <si>
    <t>Site très clair qui permet une souscription rapide. Prix compétitif pour mon véhicule électrique. Espérons que le service soit du même niveau que le site web.</t>
  </si>
  <si>
    <t>03/04/2021</t>
  </si>
  <si>
    <t>etoilefilante-100727</t>
  </si>
  <si>
    <t>Rien a dire je suis beaucoup plus que satisfaite 
Je en m’attendais pas à un tel service a ce prix là 
Je n’ai même pas besoin d’avancer de l’argent et quand je paye je suis remboursé sous 2 3jr max 
Top</t>
  </si>
  <si>
    <t>28/11/2020</t>
  </si>
  <si>
    <t>ouri-100718</t>
  </si>
  <si>
    <t>Je confirme : très rapide pour vous faire un devis et encaisser votre cotisation et surtout  très rapide pour les augmenter sans motif. Si vous déclarez le moindre sinistre, un avertissement vous sera signifié et si par malheur vous en aurais un autre pas dans la même année, mais l'année suivante, une lettre de résiliation vous sera dressée.  Je déconseille vivement!</t>
  </si>
  <si>
    <t>melak-80338</t>
  </si>
  <si>
    <t>Ma moto neuf a été volé début du mois de septembre 2019 et jusqu'à aujourd'hui je n'ai reçu aucune indemnisation de l'assurance. A chaque appel ils me répondent ; votre dossier est encours de traitement et qu'on va relancer le gestionnaire sans suite jusqu'à aujourd'hui. Sans détails supplémentaires.
C'est vraiment aberrant y a pas plus simple comme sinistre a traité a mon avis et voilà le résultat...en attente jusqu'à quand !!! 
25k parti en fumé car je n'ai pas pris la bonne assurance</t>
  </si>
  <si>
    <t>25/10/2019</t>
  </si>
  <si>
    <t>sandrine-s-127457</t>
  </si>
  <si>
    <t>Parfait simple et rapide . Souscription en ligne sans problème bien dirigé dans le choix de l'assurance a souscrire en fonction des besoins . Je recommande</t>
  </si>
  <si>
    <t>10/08/2021</t>
  </si>
  <si>
    <t>bailan-102010</t>
  </si>
  <si>
    <t>Assurée chez Groupama pour une assurance immobilier depuis 8 ans, je les sollicite pour obtenir :
- un devis pour cause de changement d'habitation à titre de locataire &gt; jamais eu
- un devis pour basculer mon contrat en cours en propriétaire non occupant &gt; prix annoncé est le double de ce que je paie. Explication donnée : c'est un ancien contrat et obligation de passer au 'nouveau' contrat. Je n'ai pas eu d'informations claires sur la différence entre le nouveau et l'ancien, autre qu'en termes de prix.
Je choisis d'annuler mon contrat. J'appelle la hotline et explique que je souhaite résilier et connaître la procédure à suivre ... la personne me raccroche au nez !
Heureusement, j'ai insisté et le niveau de service était bien meilleur</t>
  </si>
  <si>
    <t>30/12/2020</t>
  </si>
  <si>
    <t>ordener-j-110370</t>
  </si>
  <si>
    <t xml:space="preserve">Je suis satisfait du service les prix me conviennent parfaitement dt niveau conseillé il ya rien a dire au top 
 es a l'écoute je recommanderais l'olivier </t>
  </si>
  <si>
    <t>14/04/2021</t>
  </si>
  <si>
    <t>valerie-b-135326</t>
  </si>
  <si>
    <t>le prix me convient, la procedure d'inscription en ligne est tres simple et ne prend que quelques minutes. Je pense que mon conjoint ne va pas tarder à vous rejoindre.</t>
  </si>
  <si>
    <t>fassini-a-139748</t>
  </si>
  <si>
    <t>Satisfait de la qualité et la réactivité et l’amabilité du SAV.
La souscription s'est bien passée. Efficacité et capacité à comprendre la situation rapidement pour mieux adopter l'offre à ma situation (Achat de véhicule sport d'importation)</t>
  </si>
  <si>
    <t>jo-64675</t>
  </si>
  <si>
    <t>Bonjour
Ma voiture est a la casse depuis Fevrier 2017.
J' ai prevenu la Macif e envoyé la copie de la carte grise e atestation de la mise en destruction, debut mars 2017.
Depuis je les contacte sur l'espace Macif, j'ai reçu des confirmations, mais pas de réponse.
Juin 2018 j ai reçu une mise en demeure de payer 135 euros.
 J'ai conservé les concersations sur l'espace internet Macif.
Aprés un contact telephonique de ma part, on m'a telephoné me disant que mon contrat d'assurance, comprende aussi un suplement, qui serait un autre contrat responsabilité civile.
Le proble est que je nai jamis souscrit un autre contrat, que celui concernant mon vehicule automobile.
On m' a dit au telephone que je dois aussi resilier ce contrat dont j' ignorais l'existence.
Je dois reconnaitre ce dit contrat?</t>
  </si>
  <si>
    <t>11/06/2018</t>
  </si>
  <si>
    <t>gipass22-88978</t>
  </si>
  <si>
    <t>Tres Satisfait depuis plus de 20 ans . Surpris des commentaires négatifs car durant cette durée j'ai eu des accidents dont 1  responsable et toujours très surpris de la réactivité de cette assurance . A chaque changement de voiture , 10% en moins de l assurance . J avais quitté un grand nom de l'assurance  pour payer 2 fois moins cher et 3 fois moins de franchise et un assureur réactif,  ce qui n etait pas le cas avant</t>
  </si>
  <si>
    <t>18/04/2020</t>
  </si>
  <si>
    <t>mickael-53329</t>
  </si>
  <si>
    <t xml:space="preserve">Cela fait 16 jours que j'ai fait une demande d'extension de garantie d'assurance pour ma fille qui passe sa conduite accompagnée et jusqu'à présent elle ne peut pas conduire ... Soit disant qu'ils ont du retard... Ben oui c'est gratuit ; si c'etait payant peut etre qu'elle pourrait deja rouler... bref c'est honteux (client depuis 10 années) Je compte résilier tous mes contrats dans les plus brefs delais. </t>
  </si>
  <si>
    <t>16/03/2017</t>
  </si>
  <si>
    <t>flo--132754</t>
  </si>
  <si>
    <t xml:space="preserve">Madame widad a été très sympathique cependant je n’arrive toujours pas à faire mon espace adhérent puisque que mon numéro a changé et ce n’est pas possible de changer car c’est la même adresse mail comment faire ?
J’ai apprécié que mon interlocutrice me rappelle pour une précision </t>
  </si>
  <si>
    <t>amandyne13-87344</t>
  </si>
  <si>
    <t xml:space="preserve">une agence qui ne répond pas au demande en temps et en heure, la relation client téléphonique ne sert à rien , je suis outré de voir la médiocrité et le non professionnalisme de cette boite </t>
  </si>
  <si>
    <t>eric-59630-95802</t>
  </si>
  <si>
    <t xml:space="preserve">Assurance a évité délai trop long pour les prise en charge assurance emprunteur crédit immobilier de France qu'elle galère depuis le mois de janvier 2020 </t>
  </si>
  <si>
    <t>31/07/2020</t>
  </si>
  <si>
    <t>gerard-d-113664</t>
  </si>
  <si>
    <t>Très satisfait depuis plusieurs années des prix et services , rapidité de prise en compte des demandes, facilité d'utilisation de l'application mobile et des services web</t>
  </si>
  <si>
    <t>14/05/2021</t>
  </si>
  <si>
    <t>alienor-61512</t>
  </si>
  <si>
    <t>souscription en 2013 d'un contrat ALLIANZ OBSEQUES  d'un montant de 8000 euros; AU 1 er janvier 2018 capital garanti 7923 euros. compagnie qui garanti un capital qui diminue!</t>
  </si>
  <si>
    <t>16/02/2018</t>
  </si>
  <si>
    <t>marie-88735</t>
  </si>
  <si>
    <t xml:space="preserve">Depuis 1 ans que j envoie mon dossier pour un complément de congés maternité ,on la perdu 2 fois par la poste après on m'a conseillé de l envoyer directement sur mon espace client on m'a confirmé qu'il était complet et dit d attendre 7 semaines au bout de 8 semaines toujours rien et la j appelle on me dit qu'on a pas vu mon dossier .
C est pas sérieux je suis dans une situation difficile </t>
  </si>
  <si>
    <t>07/04/2020</t>
  </si>
  <si>
    <t>ulysse6706--113855</t>
  </si>
  <si>
    <t xml:space="preserve">Hé  les deux roux...
Non mais en 2021 une pub raciste anti roux...
Quel cerveau de publicitaire et ou de dirigeant est suffisamment perverti et primaire pour avoir validé ce qui semble tout droit sorti d une époque que l on croyait révolue 
Vous vous permettez avec les roux des blagues crasses que vous n osez plus avec les femmes ou les gens de couleur
Il est vrai qu ils sont moins nombreux 
Lamentable lâche et juste...débile
Pi je ne suis pas roux .motard qui jamais ne s assurera auprès d une assurance faisant appel aux ressorts discriminatoires 
Les motards ne sont pas des beaufs incultes soumis aux instincts les plus vils </t>
  </si>
  <si>
    <t>16/05/2021</t>
  </si>
  <si>
    <t>toni-101792</t>
  </si>
  <si>
    <t xml:space="preserve">Bonjour je suis très satisfait de mon assureur L’olivier, d’abord le prix, la facilité d’accès au site internet et la rapidité de la réception de la carte verte par courrier postal vraiment champion et merci </t>
  </si>
  <si>
    <t>23/12/2020</t>
  </si>
  <si>
    <t>ilil-103631</t>
  </si>
  <si>
    <t xml:space="preserve">1. Client depuis plusieurs années, mais après la refont du site, le temps de réponse est extrêmement long (+ de 2 mois d'attente, et j'attends encore)... 
2. La plateforme propose 2 comptes bancaires dont coordonnées bancaires cotisation et prestation, pas moyen de synchroniser les comptes... 
On peut beau les appeler, mais les réponses restent même 'on y travaille...'. Malgré le confinement, et le travail à distance, ce n'est pas à clients de subir cette lenteur !
On paie assez cher pour le service, mais le service n'est franchement pas au RDV. </t>
  </si>
  <si>
    <t>03/02/2021</t>
  </si>
  <si>
    <t>vincent-c-127507</t>
  </si>
  <si>
    <t>Je suis satisfait du service simple et rapide efficace responsable prix abordable en adéquation avec le véhicule a assurer merci pour tout bonne journée</t>
  </si>
  <si>
    <t>miette-m-139043</t>
  </si>
  <si>
    <t>je suis tres satisfait de cette assurance ces Rieux et rapide nous avons étaient très bien reçu téléphoniquement on recommande sérieusement cette assurance pour les personnes ayant envie de venir</t>
  </si>
  <si>
    <t>05/11/2021</t>
  </si>
  <si>
    <t>sonia-61183</t>
  </si>
  <si>
    <t xml:space="preserve">ASSURANCE A FUIR DE TOUTE URGENCE !!!! 
Des interlocuteurs incompétents et surtout non professionnel qui raccroche à plusieurs reprise alors que nous avions pas fini la conversation !! Des experts spécialisé voiture pour expertisé un scooter ! Super !! Des sinistres non prit en charge sans aucune explication !! 
Très peu de retour au mail ( 1 fois sur 2 si vous avez de la chance ) 
Je vous déconseille vraiment cette assurance elle est à fuir !!!! Des prestations relativement élevé pour une garanti d’assurance plus que moindre !! 
 </t>
  </si>
  <si>
    <t>06/02/2018</t>
  </si>
  <si>
    <t>belai-54725</t>
  </si>
  <si>
    <t>assuré depuis 1970, mon véhicule a été endommagé en stationnement.
un expert a décidé de me mettre en cause, cela dure depuis deux mois et j'attends une contre expertise qui devrait m'être proposée... la suspicion de malhonnêteté n'est pas agréable et je ne me sens pas soutenu dans mes démarches.</t>
  </si>
  <si>
    <t>16/05/2017</t>
  </si>
  <si>
    <t>sabine-g-111469</t>
  </si>
  <si>
    <t>Malheureusement c'est toujours la galère sur le suivi des sinistres. Jamais le même interlocuteur. Mon dernier mail date d'il y a 15 jours et aucune réponse. Aucun appel</t>
  </si>
  <si>
    <t>23/04/2021</t>
  </si>
  <si>
    <t>lefevre-k-121902</t>
  </si>
  <si>
    <t>site simple, rapide et efficace. 
Prix très correcte pour les avantages proposés.
je recommande grandement L'olivier Assurance pour leur rapport prix/services</t>
  </si>
  <si>
    <t>lanomade-61600</t>
  </si>
  <si>
    <t xml:space="preserve">Aucun accident responsable  depuis plus de 10ans que je suis chez eux... le premier accident responsable car ma voiture a glissé et jai perdu le controle voiture épave coûts de 10000euros et on me dit merci aurevoir... super la fidélité 0000 </t>
  </si>
  <si>
    <t>alex-106333</t>
  </si>
  <si>
    <t>Concernant le prix c'était correct, mais un jour ils ont sois disant reçu un sinistre d'une compagnie tiers (que je n'ai jamais eu) et m'ont imputé le sinistre et majoré mes cotisations (en dépit de ma contestation). 1 an après toujours aucunes nouvelles alors que je relance régulièrement. La prise en compte de l'assuré (qui paye) est médiocre</t>
  </si>
  <si>
    <t>fifi--117087</t>
  </si>
  <si>
    <t>Après 2 ans assuré chez eux sans aucun accident il me double mon contrat je leur téléphone et pour toute réponse ma Fiat abarth et une voiture volée bizarre après un confinement il y a eu plus de vol ? Si ce n’est pas de la foutaise.Arrêtez de prendre les clients pour des c…..</t>
  </si>
  <si>
    <t>oliva-gil-j-116566</t>
  </si>
  <si>
    <t>Je suis très satisfait du niveau des prix
Les employés sont compétents au téléphone. Tout est bien expliqué et on nous propose toutes les options possibles sans forcer la main</t>
  </si>
  <si>
    <t>md-53825</t>
  </si>
  <si>
    <t>A la MAIF depuis des années pour mon assurance habitation, voiture, vie perso...Ils n'ont jamais eu à se plaindre de moi. Par contre la seule fois où je fais appel à eux, ils se défilent! Après une fuite d'eau dans les toilettes de l'appartement que je louais, suite à une rupture du mécanisme de chasse d'eau, aucune prise en charge! un courrier de refus qui dit tout et son contraire, des demandes de preuve ahurissantes, une volonté manifeste de se défausser à tout prix, c'est vraiment une énorme déception! Je payais un contrat plus cher pour avoir une bonne couverture, pas pour me faire avoir comme chez les autres assureurs! Je vais donc résilier tous mes autres contrats de la MAIF, et déconseiller la MAIF autour de moi.</t>
  </si>
  <si>
    <t>04/04/2017</t>
  </si>
  <si>
    <t>goethel-van-ginneken-e-136785</t>
  </si>
  <si>
    <t>le fait que la réduction 10% en cas de plusieurs véhicules assurés ne s'applique que dans une seule condition est à mon sens de la pure mesquinerie. Il y a toujours une clause particulière qui empêche d'obtenir l'avantage avancé. Cela assombri le "tableau" car vos tarifs sont bien étudiés.</t>
  </si>
  <si>
    <t>09/10/2021</t>
  </si>
  <si>
    <t>jack037-53729</t>
  </si>
  <si>
    <t xml:space="preserve">allianz ne respecte pas les engagements d'un contrat prévoyance, </t>
  </si>
  <si>
    <t>30/03/2017</t>
  </si>
  <si>
    <t>jbg-61221</t>
  </si>
  <si>
    <t xml:space="preserve">Je recommande vraiment pas la matmut, après avoir fait un tour 5mn sur les comparateurs du genre https://www.lesfurets.com/ j'ai trouvé deux fois moins cher et surtout beaucoup plus adapté à ce que je cherchais. </t>
  </si>
  <si>
    <t>07/02/2018</t>
  </si>
  <si>
    <t>jimmy-69920</t>
  </si>
  <si>
    <t>assuré (auto)  depuis 8 ans à la MAIF,  1er sinistre en 10 ans de permis il y a quelques mois pour des rayures... augmentation du bonus + des tarifs de bases... Le conseiller ne trouve rien d'anormal et ne propose aucun geste pour réduire un peu le prix du forfait malgré la fidélité et l'assurance payée cher depuis 8ans... résultat je quitte la MAIF pour une assurance me proposant plus de garanties et d'avantages que le contrat que j'avais à la maif... et pour 370 euros de moins sur l'année (même coefficient bonus/malus pourtant).</t>
  </si>
  <si>
    <t>04/01/2019</t>
  </si>
  <si>
    <t>hassler-l-136532</t>
  </si>
  <si>
    <t>Les prix d'assurance auto sont très compétitifs !
Très satisfait du service client qui prend le temps nécessaire pour répondre à toute nos questions !</t>
  </si>
  <si>
    <t>bb-72170</t>
  </si>
  <si>
    <t xml:space="preserve">des conseillers au téléphone très courtois et une prise en charge après un sinistre correct </t>
  </si>
  <si>
    <t>2480024800-65665</t>
  </si>
  <si>
    <t>trop cher j ai trouve en tout risque à 200 euros de moins</t>
  </si>
  <si>
    <t>21/07/2018</t>
  </si>
  <si>
    <t>le-gallic--123631</t>
  </si>
  <si>
    <t>Surtout ne pas souscrire aucune assurance chez eux . Même les assurances vie .Les courtiers qui on vendus les assurances vous laisseront tombé sans aucun scrupule. Comme preuve lors du contrat le numéros de tél des conseillers vous dispatchent vers d'autres conseillers.
Assurance vie a éviter et surtout a contrôler sur leur fonctionnement .</t>
  </si>
  <si>
    <t>Suravenir</t>
  </si>
  <si>
    <t>16/07/2021</t>
  </si>
  <si>
    <t>drn-75679</t>
  </si>
  <si>
    <t xml:space="preserve">à fuir ! aucun engagement ferme concernant le délais de remboursement, chez Mercer c'est le fournisseur qui est Roi. </t>
  </si>
  <si>
    <t>07/05/2019</t>
  </si>
  <si>
    <t>yves-l-132480</t>
  </si>
  <si>
    <t>Tout est parfais pour l'instant, nous verrons par le suite. Pour l'instant le prix est attractif, j'attends de voir plus tard si les garanties sont à la hauteur de votre réputation.</t>
  </si>
  <si>
    <t>lf44410-81083</t>
  </si>
  <si>
    <t>impossible de résilier une prévoyance pour ma femme pris avec la mutuelle il y a plus de 3 ans. Nos mutuelles ont bien étaient résiliées car attachés depuis à celle de la boite de ma femme. quand nous avons envoyé la demande de résiliation de la mutuelle et de la prévoyance l'année dernière. on nous a répondu bien sur après le délai de pré avis que la prévoyance n'étai pas concernée. Et je leur ai dis que l'on doit donc payer pendant 1 an une prévoyance dans le vide et on m'a répondu que oui. j'ai donc payé pendant 1 an avec des augmentations en plus soit 17,95  par mois pour rien. Nous venons de refaire la demande avec le délai de pré avis et la pareil on nous par mail et non par courrier que on a pas précisé la date de fin, alors que j'ai indiqué le délai de pré avis par rapport à la date d'envoi du courrier en AR. j'ai appelé le service client SANTIANE et on me répond qu'il faut répondre par mail et que normalement cela réglé. J'ai décidé de chercher sur le net les avis d'autres adhérents et là je vois que c'est récurrent chez eux et qu'ils ont même étaient condamnés. J'espère qu'ils vont faire le nécessaire. mais en tout une telle société n'est pas rassurante si je peux me permettre. A suivre...</t>
  </si>
  <si>
    <t>18/11/2019</t>
  </si>
  <si>
    <t>cassiedy-61931</t>
  </si>
  <si>
    <t>Moi qui ne suis pas difficile à vivre, je suis énormément déçue. Premièrement les prélèvements devaient se faire le 20 du mois et je ne sais pas quel miracle passent au 15. Deuxièmement : Faute de manque dargent car le 15 je n'ai pas encore perçut mon salaire, eh bien, le paiement est rejeté et de plus on me prend des frais (11€)! En prétendant que je suis une menteuse pour la date des prélèvement. De plus ils ne veulent pas représenter le règlement sachant que toutes les assurances le font et me forcent donc à payer en carte ou mandacash. Troisièmement : Paperasse très lente lors du début de contrat. Je vous le déconseille fortement!!!</t>
  </si>
  <si>
    <t>02/03/2018</t>
  </si>
  <si>
    <t>fauvette-62184</t>
  </si>
  <si>
    <t xml:space="preserve">J'étais chez eux et suite à un conflit avec LCL je suis partie chez un concurrent. Toutes les démarches ont été effectuées par mon nouvel assureur en conformité avec la loi Hamon mais malgré ça Pacifica refuse de me radier, elle vient de m'envoyer un nouveau échéancier de renouvellement de l'assurance habitation soit + 40% qu'elle continue à me prélever sur un compte également résilié ( mais lui aussi refusé). Dans un premier temps Pacifica m'a remboursé puis elle m'a de nouveau prélevé, les mensualités. Sur la plateforme téléphonique je tombe sur des personnes incompétentes qui me disent qu'il faut payer jusqu'à la fin du contrat alors que la loi Hamon spécifie le contraire, me coupent la parole ou me parlent de tout autre chose. Actuellement je paie donc 2 assurances pour ma voiture et idem pour l'habitation. Je viens de prendre un avocat pour aller en justice car il n'y a que comme ça que je m'en sortirai et il leur faut une leçon pour qu'elle arrête d'harceler les gens. </t>
  </si>
  <si>
    <t>12/08/2019</t>
  </si>
  <si>
    <t>franck-e-132638</t>
  </si>
  <si>
    <t>Toujours quelqu'un pour répondre au téléphone, rien que ça c'est rare de nos jours. Et toujours quelqu'un de sympa, poli, pro....Ne changez rien svp. Je n'ai cependant jamais eu de soucis à déclarer et c'est dans ces moments que l'on peut réellement avoir une idée de l'efficacité de son assurance... A voir un jour, en espérant que ça n'arrivera jamais !</t>
  </si>
  <si>
    <t>gregory-s-108015</t>
  </si>
  <si>
    <t xml:space="preserve">simple et rapide claire bien détaillé super tarif garantie complète pour un prix raisonnable  contact facile devis détaillé je suis content de ma souscription  </t>
  </si>
  <si>
    <t>25/03/2021</t>
  </si>
  <si>
    <t>ganeto-l-137150</t>
  </si>
  <si>
    <t xml:space="preserve">tout c'est bien passe , très bon service
avec un bon accueil , très bonne réactivité de l agent en charge du dossier. 
je recommanderai sans hésitation </t>
  </si>
  <si>
    <t>fredlili-89396</t>
  </si>
  <si>
    <t xml:space="preserve">Un assureur axa qui est à l'écoute de son client que ce soit en demande d'information ou de prise en charge d'un sinistre. Compréhension et bienveillance en rassurant son client cela a pris tout son sens après qu'ils aient pris en charge mes deux sinistres qui se sont présentés malheureusement en même temps. Ce fut pris en charge par les agences de Frederic Myriam Mommalier situé à Longue Jumelles et Saumur. Rassure je le suis en étant assuré chez eux. Une équipe de professionnels à la hauteur. Merci infiniment. </t>
  </si>
  <si>
    <t>05/05/2020</t>
  </si>
  <si>
    <t>laurent-f-131463</t>
  </si>
  <si>
    <t>Parfait bon accueil,tarif et conditions de contrat bonnes, rappel de clients important, interlocuteur agréable et professionnel,merci bonne journée !!</t>
  </si>
  <si>
    <t>06/09/2021</t>
  </si>
  <si>
    <t>karine-53982</t>
  </si>
  <si>
    <t>bonjour je suis très en  colère, je viens d avoir santé vet au téléphone  j ai assurée mon chien le 18 janvier.Début Mars non chien a des boutons et se gratte peut être des puces.Le 14 mars le veto pense à une allergie et préconise une prise de sang résultat allergie .je téléphone a sante vet  oui pas de problème pour les remboursements de desensibilisation  feuille de soin du 14 mars date des 1er symptômes 1 mars 30,60 euros rembourse 0,48ct franchise 30 euros feuilles de soin du 15 mars et du 6 avril 65 et 275,02euro non remboursés je téléphone on me dit pas pris en charge à cause des 45 jours de carence.pourquoi avoir prie la première feuille de soin alors que la date était la mème on me répond l erreur est humaine nous ne sommes pas des machines je lui répond dans se cas alors moi aussi j ai le droit à l erreur   j ai vu que mon chien avait des boutons que le 4 mars elle me répond fraude à l assurance.Que faut il répondre à ça JE Signal que j ai déjà un chien dans cette assurance et jamais de problème mais il est rarement malade.</t>
  </si>
  <si>
    <t>10/04/2017</t>
  </si>
  <si>
    <t>espoir54-75045</t>
  </si>
  <si>
    <t xml:space="preserve">Nous sommes deux retraités et nous payons 194e32 par mois prélevés le 10 de chaque mois, cela fait énorme pour nous deux en sachant que je suis à 100% pour tout diabète compris donc la mutuelle ne vient pas en compte , j'ai envoyé les factures pour mon épouse 19e90 payé pour le complément des radiographies effectuées le 7 aout 2020, la facture a été envoyée aussi par mail et en lettre suivie, à ce jour c'est toujours à l'étude pas de remboursement rapide, j'ai essayé à plusieurs reprise de leur téléphoner IMPOSSIBLE de les avoir c'est aberrant ! vraiment mutuelle à fuir en urgence nous sommes très très déçus le tarif est cher on va résilier sous peu . </t>
  </si>
  <si>
    <t>31/08/2020</t>
  </si>
  <si>
    <t>diego-100976</t>
  </si>
  <si>
    <t>personnel pas réactif, obligé de passe de grands moments au téléphone pour joindre un conseiller qui bien sur lorsqu'on rappelle n' est plus meme  des semaines pour recevoir une simple attestation  franchement je déconseille</t>
  </si>
  <si>
    <t>04/12/2020</t>
  </si>
  <si>
    <t>nazim-z-123751</t>
  </si>
  <si>
    <t xml:space="preserve">Satisfait du servie en attendant des remises sur de l'assurance auto pour ou un suivi avec des points de fidélités
                                           </t>
  </si>
  <si>
    <t>ludovic-f-122845</t>
  </si>
  <si>
    <t>Je suis très satisfait du service clients de Direct Assurance, service à l'écoute et d'une grande réactivité. Les tarifs sont intéressants. Cordialement</t>
  </si>
  <si>
    <t>stephanie-m-106288</t>
  </si>
  <si>
    <t>Je suis surprise que la cotisation a autant augmenté .On est sensé payer moins avec le bonus qui augmente mais la non. Donc je suis déçu. J'espère que l' année prochaine la cotisation baissera sinon je pense aller voir ailleurs.</t>
  </si>
  <si>
    <t>11/03/2021</t>
  </si>
  <si>
    <t>bastien-107017</t>
  </si>
  <si>
    <t>Conseillers à l'écoute et réactifs.
Apres tout dépend de la demande et du dossier à traiter moi pour l'instant que d'ordre administratif et ça marche à voir en cas de sinistre.</t>
  </si>
  <si>
    <t>elodie-c-135899</t>
  </si>
  <si>
    <t xml:space="preserve">Satisfait du conseil téléphonique, pas trop d  attente au téléphone  les prix sont intéressants pour assurance moto. A voir si pas d augmentation  et à  l usage </t>
  </si>
  <si>
    <t>04/10/2021</t>
  </si>
  <si>
    <t>elsahappy-60746</t>
  </si>
  <si>
    <t>Pour ma part, je suis cliente depuis environ 10 mois, accueil très professionnel et de plus très agréable.
J'ai eu un accident où je n'étais pas en tort récemment.
J'ai été très bien conseillé au téléphone pour le constat et le déroulement du sinistre.
Le petit moins, délai vraiment trop long pour le retour concernant mon sinistre (environ 11 jours ouvrés et avec 3 relances téléphoniques).
Sinon, là je viens d'être prise en charge pour les réparations avec le garage partenaire, et je n'ai rien à payer ou même à avancer.
Assurance que je ne compte pas changer à ce jour et avec des prix très correct</t>
  </si>
  <si>
    <t>23/01/2018</t>
  </si>
  <si>
    <t>berty-138938</t>
  </si>
  <si>
    <t>Bonnes prestations, on note un assureur lorsqu'on les sollicite.
Disponibilité, réactivité, confiance. J'ai rien à redire, tous ces critères étaient là lorsque j'ai fait appel à leurs services.
Quand aux tarifs, ce ne sont pas les plus abordables ! Mais avant tout, il faut faire la part des choses !</t>
  </si>
  <si>
    <t>rick-79183</t>
  </si>
  <si>
    <t xml:space="preserve">sur une période de 2 ans la compagnie à refuser une indemnisation à deux reprises prétextant à chaque fois que le matériel utilisé n'était pas aux normes !!!!!!!!! </t>
  </si>
  <si>
    <t>13/09/2019</t>
  </si>
  <si>
    <t>01/09/2019</t>
  </si>
  <si>
    <t>gasmi-k-138628</t>
  </si>
  <si>
    <t xml:space="preserve">Nickel..malgré des commercial qui décroché et laisse le client 7 min en attente sans 1 mots ce qui reste inconcevable..donc un peut plus professionnel </t>
  </si>
  <si>
    <t>30/10/2021</t>
  </si>
  <si>
    <t>joel-g-113414</t>
  </si>
  <si>
    <t>Bonjour,
Venant juste de souscrire, il me parait un peu prématuré d'émettre un avis complètement objectif.
J'espère que l'avenir me donnera raison de passer par vous pour assurer mes véhicules.</t>
  </si>
  <si>
    <t>11/05/2021</t>
  </si>
  <si>
    <t>clementdom-70742</t>
  </si>
  <si>
    <t xml:space="preserve">Je suis vraiment surpris des commentaires des internautes sur  Eurofil , je pense (et cela n'engage que moi!) que l'on ne peut avoir le beurre et l'argent du beurre  (si l'on cherche le tarif , on ne peut avoir le service , et inversement!), je n'ai pas a me plaindre d'eurofil ! (je touche du bois mais depuis 2016 : 0 incident) et TOUTES les assurances ont la meme politique : si vous leurs couter trop chere : DEHORS !  Tant qu'il n'y a pas de soucis : pas de problème. sinon  !   </t>
  </si>
  <si>
    <t>03/02/2019</t>
  </si>
  <si>
    <t>obcg-106858</t>
  </si>
  <si>
    <t>Trés bon assureur tant qu'il n'y a pas de soucis. Mon expèrience est trés mauvaise, l'expert aurais remis ma voiture sur la route alors qu'elle était dangeureuse (risque de perte de triangle de suspension avant). La Macif ne se remet pas en question et ne remet surtout pas en question ses "expert".
J'ai donc décidé de changer d'assurance, la MACIF a supprimé mon accés client avant la fin de ma pèriode d'assurance. Des méthodes douteuses!!!
N'y allez pas!</t>
  </si>
  <si>
    <t>jimmy-d-134803</t>
  </si>
  <si>
    <t xml:space="preserve">Satisfait de les réponses et des responsabilités de l'assurance et des option proposées dans les formules des devis d'assurance je vous remercie de l'accueil </t>
  </si>
  <si>
    <t>conico54-138532</t>
  </si>
  <si>
    <t>un conseil : allez ailleurs..........dégat des eaux(catastrophe naturelle) le 15 juillet 2021, à ce jour la voiture toujours pas remboursée (déclarée épave depuis le 26/7, validée par l'expert le 30/09). L'assurance nous prête un véhicule 30 jours et après démerdez vous......
Concernant l'assurance habitation, passage de l'expert (le leur) le 10/08, à ce jour l'expert n'a toujours pas rendu son rapport..................ils sont censés envoyer quelqu'un pour nettoyer et repeindre les murs abimés..............vu personne en 4 mois........nous avons du racheter le principal : machine à laver, congélateur, chauffe eau........aucune avance, bref juste bon à encaisser mais en cas de besoin il n'y a personne d'efficace
Sans parler du fait que l'assistance téléphonique ne réponds pas on tombe sur un répondeur..............et cerise sur le gâteau, il nous prélève encore l'assurance voiture tous les mois car tant que le dossier n'est pas clos ils ne peuvent pas arrêter le prélevement</t>
  </si>
  <si>
    <t>29/10/2021</t>
  </si>
  <si>
    <t>antoine26200-80368</t>
  </si>
  <si>
    <t xml:space="preserve">Bonjour, 
J'ai acheté une nouvelle voiture qui est issu d'une importation donc elle est immatriculée avec des plaques provisoires, je décide d'en profiter pour faire jouer la concurrence afin de bénéficier d'un meilleur tarif pour m'assurer ( A ce moment là Macif ) Je vais donc avec mon smartphone sur un site comparateur ( Le lynx) pour choisir ma nouvelle assurance et là Eurofil me propose un très bon tarif Avec de très bonne garantie. 
N'ayant pas toutes les informations comme mon bonus en tête je rempli au mieux les informations demandées en me disant que si une information n'est pas pas correct je pourrais la rectifier avec le relevé conducteur puis je verse un acompte de 267 euros pour les premiers mois d'assurance. 
Quelques jours plus tard je m'envole pour plusieurs semaines en voyage a l'etranger et donc forcément ayant la tête aux vacances j'ai pas pris la peine de m'occuper des papiers pensant m'en occuper à mon retour  mais à mon retour je reçois un courrier de leur part me demandant mon relevé d'information que j'ai en ma possession ainsi que de la carte grise définitive du véhicule... que je n'ai pas évidement puisque les délais en préfecture sont très long...je possède seulement la demande d'immatriculation provisoire 
Je prend l'initiative de téléphoner à Eurofil qui me dit que sans la carte grise malheureusement à la fin du mois d'assurance provisoire je serai dans l'obligation d'aller chez un autre assureur, je lui demande du coup si on va me rembourser mon acompte et payer seulement le 1er mois d'assurance et on me répond que non...Je fais pars de mon étonnement et on me répond de faire une réclamation depuis l'espace client, mais celui-ci m'est déjà fermé et mon dossier verrouillé et inaccessible alors que j'etais encore dans les trente jours. ( par ailleurs la personne au téléphone était pas du tout aimable )
Est-ce normal ? 
Ai-je des recours ? 
Merci pour vos réponses </t>
  </si>
  <si>
    <t>23/10/2019</t>
  </si>
  <si>
    <t>jeanluc84-81279</t>
  </si>
  <si>
    <t>je viens de recevoir mon avis d'échéance MRH.
Je ne comprends pas pourquoi je dois payer des services optionnels (conseils juridiques et assistance). Je demande au service client par fil qui me dit que c'est obligatoire, comme la contribution attentats. J'indique que je ne comprends pas et que ça ressemble plus a de la vente forcée. On me demande de prendre contact avec l'assureur local, lequel m'envoie un mail me proposant de résilier mon contrat. J'ai demandé les coordonnées du médiateur car je suis scandalisé par la qualité du service et surtout des conseils..si l'on peut appeler cela du conseil. J'attends une réponse et si je n'ai pas satisfaction je vais résilier et envoyer une note de signalement à la DGCCRF. il y a quand même des limites à ne pas  franchir.</t>
  </si>
  <si>
    <t>23/11/2019</t>
  </si>
  <si>
    <t>chiarap-65242</t>
  </si>
  <si>
    <t xml:space="preserve">Scandaleux et lamentable, 2 mots pour résumer la façon dont ils traitent leurs clients. </t>
  </si>
  <si>
    <t>04/07/2018</t>
  </si>
  <si>
    <t>nico-94421</t>
  </si>
  <si>
    <t xml:space="preserve">Devis réalisé en 2 minutes montre en mains. Très satisfait du service proposé que je ne retrouve pas chez d'autres assureurs. J'ai réalisé une comparaison et direct assurance s'est révélé être le service le moins cher. </t>
  </si>
  <si>
    <t>17/07/2020</t>
  </si>
  <si>
    <t>pascal-81713</t>
  </si>
  <si>
    <t xml:space="preserve">je suis très déçue de l'assurance de mon chien qui devient plus élevée que ma complémentaire santé. </t>
  </si>
  <si>
    <t>07/12/2019</t>
  </si>
  <si>
    <t>sandrine-78020</t>
  </si>
  <si>
    <t>délais de remboursement sur factures trop longs.Très mécontente de cette mutuelle</t>
  </si>
  <si>
    <t>29/07/2019</t>
  </si>
  <si>
    <t>ngoc-2cuc-56765</t>
  </si>
  <si>
    <t xml:space="preserve">Ayant pris de malus même quand on n’a pas de responsable.
Ça fait de nombreuses années que je suis assuré auto tout risque à la Maif, et de nombreuses années sans sinistre, j'ai eu un accident le mois de juillet cette année. Je ne suis pas responsable de cet accident.  Mais la personne qui a percuté ma voiture (par derrière) est en fuite avec ses plaques d’immatriculations. Après le dépôt de plainte, l’expertise a décidé que ma voiture est non réparable et l’assurance me donne des indemnités (en cours).
Suite à cet accident, j’étais informé par la MAIF que j’ai pris de malus, même si je ne suis pas responsable de cet accident.  Et avec le code de assurance, MAIF a le droit de me mettre le malus.
Je voudrais savoir si l’assurance MAIF a le droit de faire ça avec les clientes. 
Car avec les cas similaires, chez les autres assurances, ils n’ont pas mis le malus pour leurs clientes.
</t>
  </si>
  <si>
    <t>20/08/2017</t>
  </si>
  <si>
    <t>rapha2771-49484</t>
  </si>
  <si>
    <t>Bonjour,
Nous sommes assurées depuis plus de 20 ans chez EUROFIL, soit depuis 1996 avec 4 contrats ( 2 voitures,habitation,emprunteur)et étions très satisfait jusqu'à maintenant,mais hélas je reçois ce jour le 23/11/2016 au courrier, une lettre recommandée de résiliation avec la formules  "un examen de votre dossier, l'inadéquation du risque au regard de la politique d'acceptation de la compagnie ne permet pas sa reconduction pour la période à venir." soit effet le 31 Janvier 2017 ???!!! Je crois faire un cauchemar, je demande des explications à une hôtesse  elle finit par me dire "que suite a des statistiques sur les trente six derniers mois cela provoque la résiliation" et là surprise ! : la compagnie prend en compte des "sinistres" non responsables !!!! super assurance : on est pénalisé même lorsque nous  payons des garanties assurée avec des options supplémentaires  !!!! on se demande pourquoi on est résilié et là on vous répond que les sinistres même non responsables sont comptés ?!!!! bref, suite à tout ça  je suis très très déçus de la politique commerciale de cette assurance, qui récompense et remercie ses fidèles clients comme nous de cette manière. Nous nous retrouvons exclue sans motif et en plus nous ne pouvons pas nous réassurer ailleurs car ils ont eu la méchante idée de noter sur le relevé d'information la mention "résiliation de la compagnie" à cause de cette formule assassine nous nous retrouvons sans aucune autre compagnie ! j'attends des nouvelles de la compagnie EUROFIL.
PS: Assuré depuis plus de 20 ans.
    versement cotisation totale  = 23676 euros / 20 ans.
    Nombre de sinistres non responsable sur 20 ans = 3  ( 1 bris de glace le 23/07/2013, 1 accrochage le 19/11/2014,1 bris de glace le        03/06/2016). Cout total sinistres = 2424 euros / 20 ans.</t>
  </si>
  <si>
    <t>sylvain-76-128171</t>
  </si>
  <si>
    <t xml:space="preserve">Personnellement je les trouvent chère, je n ai pas eu encore a faire a eux pour l instant 
mais je vais faire d autres devis car l échéance arrive dans 1 mois  588 euros  pour me servir de mon scooter de mai a septembre  ca fait tres chere </t>
  </si>
  <si>
    <t>jm-81544</t>
  </si>
  <si>
    <t xml:space="preserve">A éviter délais de réponse trop longue ( 90 jours et toujours pas de réponse d indemnisation ) après le délais légale  de carence de 3 mois ,je demande que sa de travailler mais je ne peu plus après une opération du coeur qui n est plus cas 40% , une honte de laisser les gens dans une tel galère j ai une multitude de contrats chez eux toujours payer mes échéances aucune reconnaissance ils mon vendu du rêve ont sais plus comment faire pour s en sortir même les cardiologue qui me donne mes ITT sont stupéfaits </t>
  </si>
  <si>
    <t>stephane-d-111240</t>
  </si>
  <si>
    <t>satisfait de la démarche de l'attente de nos besoins , par contre pas je n'ai eu de code promo proposé  ayant aujourd'hui mon habitation et véhicule chez vous</t>
  </si>
  <si>
    <t>peree-b-135482</t>
  </si>
  <si>
    <t xml:space="preserve">Pour le moment je suis satisfait du contact que Jai eu par téléphone ainsi que les informations qui mont étés transmisses et qui ont permis de choisir la bonne formule d'assurance </t>
  </si>
  <si>
    <t>florence77-90396</t>
  </si>
  <si>
    <t>Je souhaite savoir si des personnes rencontrent le même problème que moi, je suis adhérente chez Harmonie-Mutuelle et ma fille aussi. Depuis sa majorité elle a son espace personnel et depuis le mois d'août 2019 elle a un contrat mutuelle entreprise toujours chez Harmonie, donc nous avons deux contrats différents et chacune notre espace réservé. Le gros problème, est que au mois de mai elle a voulu accéder à son compte et là, stupeur, elle a accès à mon compte personnel et mes données de santé. Avez-vous constater vous aussi ce dysfonctionnement ?</t>
  </si>
  <si>
    <t>10/06/2020</t>
  </si>
  <si>
    <t>issam-n-110986</t>
  </si>
  <si>
    <t>Je suis satisfait du suivi de mon dossier par ma conseillère et elle a réussit à assurer mon véhicule dans un délai très court et à un prix defiant toute concurrence. Merci</t>
  </si>
  <si>
    <t>bernard-104590</t>
  </si>
  <si>
    <t>Suis très content, de la MGP, mutuelle dont je suis adhérent depuis octobre 1975.
Cette mutuelle m'a toujours suivi et aidé dans ma vie professionnelle. 
Elle m'aide encore actuellement dans ma vie de retraité. Chaque fois, pour l'instant que j'en ai eu besoin, elle a toujours répondu présent.
Le seul problème serait son prix. Mais, il faut savoir ce que l'on veut, être bien assisté et remboursé. Donc, je pense et suis même presque certain, que je resterait adhérent.</t>
  </si>
  <si>
    <t>22/02/2021</t>
  </si>
  <si>
    <t>papapinpon-95838</t>
  </si>
  <si>
    <t>Tout nos contrats (hors mutuelle) sont chez Axa, pas moins de 8 contrats, 2 voitures, 2 habitations et 4 pno, sans compter celles des enfants. 1 seul contrat est géré via courtier les 7 autres par agence (la même)
Et bien la fidélité ne paie pas chez AXA, déjà lors de ma séparation, alors que je demandais que les primes de tout les contrats soient prélevées sur mon nouveau compte bancaire l'agence m'a rétorqué que pas possible car certains contrats sont au seul nom de mon épouse (un seul souscripteur possible lors de la souscription...) aucune modification de RIB ni de passer au nom de Mr et Mme (contrats pno pour les biens en indivision)
2 mois plus tard l'agence me contacte et là miracle tout devient possible, changement de RIB et changement de titulaire des contrats???? En fait Mme a tout simplement résilié les contrats et fait opposition aux prélèvements!
Suite à séïsme, 4 biens ont été impactés, 1 habitation et 3 pno.
Plusieurs mois après déclaration de sinistre seulement 3 expertises réalisées, j'attends toujours pour la dernière. Le premier expert (début juin) a eut le culot d'affirmer que les fissures n'étaient pas dûes au séïsme mais à une usure normale des bâtiments.... il me propose verbalement 3000€ pour deux façades, un mur intérieur, 30m² de carrelage et reprise des fissures sur les voûtes de cave; à ce jour aucun contact de l'assurance qui a ouvert le sinistre au nom de mon épouse...
Pour l'habitation, expertise mi-juin, cette fois l'expert ne nie pas l'action du tremblement de terre mais refuse de vérifier le toit et me demande de fournir des devis de maçon, j'en ai déjà fournit deux ainsi que la facture pour le détapissage, hors 8 mois après la catastrophe aucun ne se déplace car tous complets (étrangement je ne suis pas la seule victime...) et personne ne souhaite faire le mur de soutainnement car en pierre... là aussi l'assurance me réponds "cherchez un maçon, faites des devis"... sans compter le détapissage de la totalité de la maison que j'ai payé de ma poche pour une première expertise en visio (corona) qui a était annulée au vu de la liste des dégâts....
Quand j'arrive à joindre l'agence quelle que soit ma question la finalité est toujours la même pour la copie des contrats "je m'en occupe" "nous ne les avons pas, c'est impossible" "je vois çà et vous recontacte"...... Pour les sinistres "Ce n'est pas moi qui m'en occupe je laisse le message..."
Quand à AXA France leur réponse est identique "voyez avec votre agent c'est lui qui gère votre contrat" ou "faites une réclamation par mail nous traiterons votre demande" en vain le mail bien sûr!
Bilan de l'opération, je vit dans une maison fissurée (heureusement sans danger), j'ai avancé des frais et ne sait quand ils me seront remboursés ni si ils le seront d'ailleurs, j'en suis pour l'heure à une enveloppe globale de près de 100 000€ de réparations....
Il est évident que je vais me faire plaisir à retirer les contrats un par un et je ne lâcherai pas pour être indemnisé!</t>
  </si>
  <si>
    <t>02/08/2020</t>
  </si>
  <si>
    <t>respect-21280</t>
  </si>
  <si>
    <t>simple et rapide  descriptif complet  facilité  d intervention systeme pour signature electronique tres bien pensé les aides pour remplir ce document sont tres utiles</t>
  </si>
  <si>
    <t>khelyssa-89506</t>
  </si>
  <si>
    <t xml:space="preserve">Bonjour je suis cliente chez vous depuis juillet  2019 et que dire au début j'ai vraiment étais heureuse de m'assurer chez vous car le prix étant très attractif mais le service client au secours je compte changer d'assurance mon contrat arrive à sa fin chez vous et venant d'acheter un nouveau véhicule je compte aller voir une autre compagnie qui j'espère sera plus réactive que vous car pour encaisser vous été les premier mais rembourser plus personne </t>
  </si>
  <si>
    <t>10/05/2020</t>
  </si>
  <si>
    <t>atikah-65378</t>
  </si>
  <si>
    <t xml:space="preserve">Vous pensez être bien assuré en payant votre police d'assurance selon les termes de votre contrat et que le jour ou un sinistre surviendra votre assureur sera à vos cotés ? et bien voyez vous cet assureur comme bien d'autres certainement ne l'entend pas de cette manière et cherchera à vous lasser et duper en niant l'évidence quelques soient les preuves à l'appui que vous pourrez lui apporter pour justifier des dégâts. Si l'expert" a décrété (sans vous le dire bien sur et sans même vous remettre ses conclusions fantasques et incohérentes qu'il n'y avait pas matière à indemnisation, c'est terminé pour vous le piège c'est refermé. Mais me direz-vous, vous pouvez faire appel à un expert d'assuré ! certes oui, mais son cout est d'environ 1000 euros (à votre charge et remboursé (cela reste à voir) uniquement si l'expert de l'assurance et l'expert d'assuré se mettent d'accord ! si ils n'arrivent pas à un accord il y a alors un troisième expert qui interviendra et là encore c'est la "roulette russe" pas certain de rentrer dans vos frais et oui ça paye l'expertise et c'est un métier d'avenir croyez moi. Conclusion : pour les petits sinistres dont l'indemnisation est inférieure au cout de l'expert d'assuré, il est évident donc que la plus par d'entre nous choisiront de laissé tomber et de faire les réparations à leur frais car gain de temps et d'énergie. Cette pratique à la mode révèle de la part des assurances une manière détournée et très "borderline" utilisée par certains assureurs indélicats et sans scrupules pour tout en restant dans la légalité éviter de payer des milliers d'indemnisations mineures. La MACIF n'échappe pas à cette pratique honteuse.
</t>
  </si>
  <si>
    <t>07/02/2019</t>
  </si>
  <si>
    <t>slaky-101061</t>
  </si>
  <si>
    <t>Un conseiller charmant et aux petits soins...mais sous ce gant de velours se cache une machine à fric bien huilée : ne seront assurés que les personnes en parfaite santé. Dès lors que le questionnaire médical simplifié ne suffit pas...fuyez! Pire, mon amie avait été acceptée avec exclusions avant même d'avoir déposé sur le site le questionnaire complété par le médecin!!! Un mois de perdu dans le montage de notre dossier de prêt, merci Zen down!!!</t>
  </si>
  <si>
    <t>07/12/2020</t>
  </si>
  <si>
    <t>lo-69092</t>
  </si>
  <si>
    <t>Compagnie a fuire, utilise tous les stratagemes possibles pour ne pas rembourser y compris quand la personne en tord a reconnu l'incident et a donne ses coordonnees. Nous allons tres prochainement changer.</t>
  </si>
  <si>
    <t>03/12/2018</t>
  </si>
  <si>
    <t>patrick-79828</t>
  </si>
  <si>
    <t>la gmf, n'a servi à rien pour mon cas, sinistre déclaré en fevrier, et expert venu en septembre. Malgré un autre expert venu 3 mois avant la gmf, a bien confirmé notre problème, et la gmf n'en a pas tenu compte. Résultat la Gmf rien à faire alors on a résilié</t>
  </si>
  <si>
    <t>godefroy10-59093</t>
  </si>
  <si>
    <t>Assure depuis 5 ans sans accidents, me fait porter le chapeau d'un accident produit devant mon vehicule pour lequel je suis pour rien, (chute d'un scooteur) sans preuves et sans éléments (pas de constat, pas de témoignage, rien!).</t>
  </si>
  <si>
    <t>24/11/2017</t>
  </si>
  <si>
    <t>orphee-70633</t>
  </si>
  <si>
    <t xml:space="preserve">Malgré les avis parfois virulent sur ce site mais sans à priori, j'ai souscris à un contrat le 23/01 et après l'envoi des documents précisément requis, l'envoie de ma carte verte est effectué ! </t>
  </si>
  <si>
    <t>26/01/2019</t>
  </si>
  <si>
    <t>jouffroy-p-114074</t>
  </si>
  <si>
    <t>Le prix est très satisfaisant, surtout pour l'assurance d'un premier véhicule. 
Au téléphone, le service client a été réactif, à l'écoute et compétent.</t>
  </si>
  <si>
    <t>jean6611-62874</t>
  </si>
  <si>
    <t xml:space="preserve">À la retraite et ayant des problèmes de santé graves, la MGEN ne prends pas en charge les dépassements d'honoraires des spécialistes. Pas de remboursement pour des cancers ni d'offres alternatives.... J'ai cotisé 40 ans... Allez voir ailleurs </t>
  </si>
  <si>
    <t>03/04/2018</t>
  </si>
  <si>
    <t>emilie2711-113982</t>
  </si>
  <si>
    <t>En lisant les avis je me sent moins seule...
Une catastrophe cette mutuelle, ça a commencer par ma téletransmission toujours pas active depuis 5 mois, après plusieurs appel ils se rendent compte qu'ils sont rattaché au mauvais centre de gestion bon ok...
Ensuite mes factures dentaires de février ( nous sommes en mai ) ne sont toujours pas remboursés, il faut envoyé mes decomptes CPAM je n'ai jamais vu ça lol et pour finir ils ne peuvent rattachés que la carte vitale de mon mari donc les remboursements pour mes enfants ou les miens ont besoin de tous les decomptes et toutes les factures... on n'a pas fini si on doit surveillés tous nos remboursements</t>
  </si>
  <si>
    <t>yannick-m-132068</t>
  </si>
  <si>
    <t xml:space="preserve">explications administratives, notamment en termes de modalités de paiement, pas toujours explicites.
Les conseils sont la plupart du temps pertinents </t>
  </si>
  <si>
    <t>jean-marc-l-114737</t>
  </si>
  <si>
    <t>bonjour ,possedant maintenant 2 vehicules, etant le seul conducteur attitré je penses que suis eligible au contrat au KM parcouru .j' attents vos propositions     cdlt jmls</t>
  </si>
  <si>
    <t>nastanice-49466</t>
  </si>
  <si>
    <t>J'étais assuré à la MAAF pour mon assurance auto , suite à un gros sinistre 100% responsable ils m'ont proposé à la fin de mon contrat une nouvelle tarification , qui n'est pas du tout dans mes cordes... Ne pouvant pas renouveler ils m'ont envoyé chez un petit courtier ASM assurance à paris , qui eux, ont pu me trouver une solution et me proposer une tarification plus adaptée...</t>
  </si>
  <si>
    <t>bouchon-110658</t>
  </si>
  <si>
    <t xml:space="preserve">Le service client est au top peu importe la demande, les opérateurs et opératrices sont super efficaces, rapides et très agréables.
Ne changez rien 
</t>
  </si>
  <si>
    <t>baba18150-75361</t>
  </si>
  <si>
    <t xml:space="preserve">aucune communication après un dégâts des eaux énorme fuir devis du plombier 1600 euros   fuite sous le carrelage aucun déplacement d'un expert juste la réponse nous ne prenons pas en charge , résiliation de mes contrats chez eux jamais plus jamais avec allianz </t>
  </si>
  <si>
    <t>25/04/2019</t>
  </si>
  <si>
    <t>xyzdhara-47185</t>
  </si>
  <si>
    <t>l'espace adhérent est nul, toutes les questions posées sur cet espace restent sans réponse. Il faut donc leur téléphoner chaque fois qu'on a quelque chose a demander. J'ai aussi tenté de les contacter via une adresse e-mail qu'il m'ont donné par téléphone. Aucune réponse non plus, il va falloir sans doute que je leur envoie un courrier postal. Non, je ne suis pas satisfaite.</t>
  </si>
  <si>
    <t>30/03/2019</t>
  </si>
  <si>
    <t>stellan-p-126993</t>
  </si>
  <si>
    <t>Votre assurance est attractif  Paiement, contrat . En espérant  un rapport client assurance dans la transparence .Merci  et heureux de faire parti de votre assurance .</t>
  </si>
  <si>
    <t>sandrine-f-117184</t>
  </si>
  <si>
    <t>Je suis satisfaite du service , ainsi que les échanges avec les conseillers téléphonique.
Vous êtes rapide et efficace lorsque j'ai eu un soucis .
Je vous en remercie</t>
  </si>
  <si>
    <t>nanard-83-96251</t>
  </si>
  <si>
    <t>Mon avis ci-après ne concerne que la satisfaction / assistance AXA liée à assurance Auto (concernant le niveau de prix, cela n'a de sens que si l'on peut comparer avec quelque situation comparable, ce qui n'est pratiquement jamais possible ...) Je suis assuré auprès d'AXA notamment pour 2 véhicules (1 au "tiers", 1 en "dommages") Pour ce dernier (220 000 kms mais très bien et entretenu et en très bon état), j'ai été amené à faire appel à l'Assistance AXA liée à mon assurance Auto sur la route des vacances à 3 reprises (pour l'instant !?) sur 1 mois (!!) dont 2 pannes sur autoroute (plus de puissance et arrêt moteur = vanne EGR, FAP et consort ?) cela après 2 passages chez garagistes concessionnaires agrées de la marque de mon véhicule (situation absolument pas imputable à l'Assistance AXA, puisque la 1° fois, j'ai amené mon véhicule par mes propres moyens chez un concessionnaire, la 2° fois, le dépanneur agrée autoroute était lui même concessionnaire, et pour la 3° fois, retombé en panne à 20 kms après avoir repris mon véhicule, c'est ce même concessionnaire, qui à ma demande et au titre de la garantie de sa réparation, est venu chercher mon véhicule auprès  du garage agrée autoroute ... quelle histoire ... c'est l'inconvénient des diesels à la sauce "pseudo-écolo" /pas ces pb avec mon bon vieux Expert Peugeot 1,9 TD de 1998 tjrs en forme et OK CT) Bref, j'ai donc fait donc appel 3 fois à l'Assistance AXA (15 juillet, 20 juillet et 11 août) à chaque fois sans discussion de la part de mon interlocuteur AXA = "5 étoiles" minimum : frais remorquages pris en charge en entente avec les dépanneurs agrées autoroute, toutes facilités mon été offertes et données pour continuer mes voyages ou rapatriement  = taxi, voiture location. J'ai essayé de mon coté de minimiser les frais et de ne pas "abuser de la situation" en utilisant lorsque possible mon 2° véhicule pour la poursuite d'une partie de mes vacances ou le train pour récupérer mon véhicule en panne au garage. (Le gros gros inconvénient dt je me suis rendu compte en panne sur autoroute, est qu'il ne faut surtout pas rester dans son véhicule ... mais qu'en dehors de son véhicule .... on a les plus grosses difficultés pour entendre ou se faire entendre au téléphone portable / si on a eu la chance de pouvoir appeler le dépanneur autoroute via une borne SOS, il vaut mieux attendre d'être dans le camion du dépanneur pour appeler l'Assistance pour la suite des événements ..)</t>
  </si>
  <si>
    <t>pierre-s-127587</t>
  </si>
  <si>
    <t>Service intéressant.
Dommage que les rendez-vous téléphoniques ne soient pas tenus.
Votre compagnie me fut indiquée par une amie, j'aurai souhaité profiter cette dame du parrainage</t>
  </si>
  <si>
    <t>bela78-138098</t>
  </si>
  <si>
    <t>Bonjour j ai une Mercedes qui a à peine 4 ans et j ai un Credit de 7 ans c est une magnifique classe À et je l ai assurer en tous risque depuis son achat novembre 2020 et y Ai plus jamais toucher 
J ai changer de bonus en avril 21 et suis passer au bonus 50 de mon compagnon et sans raison Macif a changer ma formule d assurance alors que je étais tout risque je suis devenu tiers donc voyant  mon prix baisser je n ai pas
Chercher à comprendre car je passais à bonus 50 et résultat je découvre bêtement le poteau rose : un jour ma fille a toucher un mur en se garant et là 
Portière s es casiment arracher et le pneu à éclater car elle a frotter tout le côté droit de ma Merceded et dieu merci je me dit heureusement j suis tout risque tkt pas j appel l assurance  et Macif me dit non vous êtes au tiers vous êtes responsable et rien du tout donc j leur explique que c est impossible que tous mes véhicule on toujours été assurer tous risque je leur explique leur erreur et là encore comme j ai signer le devis (croyant que je signais le bonus 50) il on encore refuser et maintenant j attend sur leur maudit fond so de Macif pour que peut être il m aide mais c es quoi cette assurance ???!   C est eux qui font l erreur et c est moi qui galère ??! Alors soit je choisis d attendre sois je me bat pour dissimulation de transformation de mon contrat alors que je passais juste au bonus 50 de mon conjoint en avril 2021 mais je suis plus que mécontente  et insatisfaite avec ma
Famille on a une quinzaine de contrat chez eux et j ai demander à tout le monde de résilier et d aller ailleurs car c est quand on en a besoin qu’ils ne sont pas présent et je suis pas d’accord j ai jamais dit oui passer ma voiture au tiers j ai j’ai jamais dit cela donc j attend vos opinions comment  faire recours dois je saisir le tribunal ??? Envoyer un recommander ?  Aider moi à faire en sorte qu’il modifie leur erreur de avril à septembre 21</t>
  </si>
  <si>
    <t>christophe-h-124477</t>
  </si>
  <si>
    <t>Rien à signaler en particulier, les tarifs me semblent correct, la souscription c'est faite rapidement et entièrement en ligne, très satisfait dans l'ensemble.</t>
  </si>
  <si>
    <t>amin-a-127468</t>
  </si>
  <si>
    <t>BIEN BONNE ASSURANCE ET PRIX INTÉRESSANT LES INFORMATIONS SONT CLAIRS POSSIBLITE DE COMPOSER SON ASSURANCE AVEC LES DIFFERENTES OPTIONS, JE PAYAIS PLUS CHER AVANT MAINTENANT MOINS CHER AVEC UN MEILLEUR SERVICE</t>
  </si>
  <si>
    <t>francois-v-108771</t>
  </si>
  <si>
    <t>Très bien une fois le contact établi.
Simple à utiliser et je rencontre une disponibilité efficace et courtoise des interlocuteurs nécessaires à la relation client.</t>
  </si>
  <si>
    <t>caroline-g-116009</t>
  </si>
  <si>
    <t>Les prix me conviennent mais on vient de me refuser d'assurer ma fille dans mon contrat sans justifier pourquoi ! On me parle de texte de loi mais sans toutefois me dire pourquoi on la refuse... Je vais donc changer de crèmerie ! Dommage jusqu'ici tout allait bien...</t>
  </si>
  <si>
    <t>04/06/2021</t>
  </si>
  <si>
    <t>sebastiendelsaut-90120</t>
  </si>
  <si>
    <t>Tres mécontent</t>
  </si>
  <si>
    <t>02/06/2020</t>
  </si>
  <si>
    <t>marielau-87118</t>
  </si>
  <si>
    <t xml:space="preserve">Super contente du service, j'ai eu toujours la même personne au telephone, tout a été super rapide et en + j'ai économisé  14250 euros sur mon assurance ! </t>
  </si>
  <si>
    <t>Magnolia</t>
  </si>
  <si>
    <t>13/02/2020</t>
  </si>
  <si>
    <t>bill-56291</t>
  </si>
  <si>
    <t xml:space="preserve">Méfiance, mauvaise expérience à ne jamais refaire, mieux vaut d'opter pour une vrai compagnie </t>
  </si>
  <si>
    <t>26/07/2017</t>
  </si>
  <si>
    <t>sahlim--b-112086</t>
  </si>
  <si>
    <t xml:space="preserve">Excellent site et de la facilité pour s'assurer et des réponses apporté par le conseiller je recommanderais assurance direct pour c'est prix et les options proposées </t>
  </si>
  <si>
    <t>29/04/2021</t>
  </si>
  <si>
    <t>yoann-132178</t>
  </si>
  <si>
    <t xml:space="preserve">Très bon service rapide es facile d'utilisation très comprehensible un très bon site bien fonctionnel
Bravo direct assurance 
Veuillez agrée mes sincères salutations </t>
  </si>
  <si>
    <t>denieport-e-138022</t>
  </si>
  <si>
    <t xml:space="preserve">conseiller tres agréable, efficacité dans le traitement de la demande, choses expliqués de façon claire ,prix parfaitement corrects, je suis tres satisfait de cette assurance.
</t>
  </si>
  <si>
    <t>22/10/2021</t>
  </si>
  <si>
    <t>tonypat-58929</t>
  </si>
  <si>
    <t>Après une année chez l olivier,la cotisation augmente de 27% ,sans être justifiée,pas de sinistres de ma part,en fait des prix attractifs juste la première année</t>
  </si>
  <si>
    <t>18/11/2017</t>
  </si>
  <si>
    <t>celine-g-105087</t>
  </si>
  <si>
    <t xml:space="preserve">rapide et simple d'utilisation
pas besoin d'être appeler ou d'appeler
plusieurs possibilités, il n'y a plus qu'à faire notre choix
plateforme espace personnel très facile et accessible </t>
  </si>
  <si>
    <t>chapelu-p-115473</t>
  </si>
  <si>
    <t>Satisfaite pour le moment prix raisonnable conseiller téléphonique à l'écoute et je recommande cette assurance et prise en charge très rapidement.....</t>
  </si>
  <si>
    <t>31/05/2021</t>
  </si>
  <si>
    <t>pieternel-91073</t>
  </si>
  <si>
    <t xml:space="preserve">Vous êtes les moins cher sur chaque comparateur d'assurances, de plus votre devis est très précis. Pour quelqu'un qui n'as encore jamais souscrit à une assurance cela est agréable. </t>
  </si>
  <si>
    <t>16/06/2020</t>
  </si>
  <si>
    <t>xavier9231-102514</t>
  </si>
  <si>
    <t xml:space="preserve">Une personne de la plate-forme de Pau m'a immédiatement répondue.
J'ai eu de suite une réponse rapide précise et concise concernant ma demande.
Appel satisfait </t>
  </si>
  <si>
    <t>12/01/2021</t>
  </si>
  <si>
    <t>maxence-d-105459</t>
  </si>
  <si>
    <t>Prix attractifs sauf frais de dossiers exorbitants lors du changement de véhicules par contre services, délais et suivis des sinistres absolument nuls.
Je n'assurerais plus mes véhicules chez direct assurance.</t>
  </si>
  <si>
    <t>cruciano-s-133782</t>
  </si>
  <si>
    <t>Je suis satisfait du service. Je n ai pas encore eu recours a la police auto apart pour du bris de glace mais jusqu'ici tout va bien. Le service par téléphone est très bien, l application je ne l'ai toujours pas trouvé.</t>
  </si>
  <si>
    <t>buzy-124402</t>
  </si>
  <si>
    <t>un dégât sur mon véhicule en stationnement n'a pas été retenu à cause d'un jeune expert zélé que l'on peut comprendre pour sa carrière...j'ai eu à faire à un mur avec des éperons sans doute .La portière a été enfoncée..dixit ce jeune expert....alors que c'est un véhicule qui a accroché, engin agricole sûrement je suis en campagne. ce que je regrette c'est que la gmf humaine laisse tomber ses assurés bien contente de laisser le choix de réparer ou pas aux experts...je vais quitter cette assurance sûrement pas pour du mieux, ce sont des machines à fric mais au moins j'aurai la satisfaction de ne plus lui laisser d'argent... à propos d'argent nous n'avons pas eu de ristourne, conséquence du covid...chose positive l'accueil téléphonique est très agréable. écoute et explication claires. Aucune illusion sur une réponse connue d'avance la facilité est là, s'abriter derrière les expertises sans imaginer qu'il peut y avoir comme partout de l'incompétence.</t>
  </si>
  <si>
    <t>luciano-m-127736</t>
  </si>
  <si>
    <t>Excellente proposition commerciale. Rapport tarif/services très bon. Déjà client chez Direct Assurance (contrat habitation). Et auparavant avec un contrat assurance auto, résilié pour autre proposition plus intéressante à l'époque.</t>
  </si>
  <si>
    <t>12/08/2021</t>
  </si>
  <si>
    <t>humhum-69005</t>
  </si>
  <si>
    <t xml:space="preserve">Je signal a  Peyrac assurance un sinistre pour vol d équipement moto dans un garage. Une semaine après un expert me téléphone pour expertiser ma moto avec tout un listing des dégâts  Je rappel Peyrac assurance qui me dit que mon mail de déclaration de sinistre a mal été  interprété par le conseiller de chez Peyrac Assurance,  listing des dégâts d'ou y sort, avec la bonne immatriculation. De plus j ai du justifier que ma moto n avais pas été volé sinon inscription de vol sur mon relevée d information d assurance. 
Suite a sa Peyrac Assurance m envoie un mail avec mise en demeure pour dernière relance, alors que je découvre la situation. Il me redemande tous mes documents relatifs a la création du contrat d assurance, au bout de 8 mois , permis de conduire, attestation de domicile, etc
Je leur demande si ils ont perdu mon dossier.  Réponse  non, vous n avez jamais envoyer les documents. J ai pourtant ma carte verte et un mon contrat d assurances.
Et Peyrac assurance rajoute d âpres les documents envoyer vous devais payer 95 eur en plus sur votre cotisation. Sinon résiliation pour non paiement d assurance. 
</t>
  </si>
  <si>
    <t>Peyrac Assurances</t>
  </si>
  <si>
    <t>29/11/2018</t>
  </si>
  <si>
    <t>dominique-109588</t>
  </si>
  <si>
    <t>après avoir prévenue cette pseudo mutuelle du décès de ma maman cette dernière n'hésite pas à continuer les prélèvements ceci est INADMISSIBLE et INHUMAIN il devrait revoir la définition du mot mutuelle
aucune empathie rien d'humain de surcroit je tente de joindre une personne censer répondre au téléphone mais elle ne répond pas
fuyez cette mutuelle comme la peste</t>
  </si>
  <si>
    <t>rcfs-90119</t>
  </si>
  <si>
    <t>J'écris ce retour d'expérience à l'attention de toute personne qui envisagerais de souscrire à une assurance habitation chez la MAIF. Les innombrables avis présents sur ce site confirment d'ailleurs que cette expérience est loin d'être un cas isolé. 
L'an passé, je relève une consommation injustifiée d'eau et prend contact avec la MAIF pour qu'elle m'indique la bonne marche à suivre. Conformément à leurs indications, je contacte un plombier qui procède à une recherche de fuite, la localise et la répare.
Une fois les travaux achevés, je demande à la MAIF la prise en charge du sinistre. C'était il y a près de 7 mois !
La MAIF mandate un expert. Celui-ci, sympathique et objectif, est intervenu chez moi et a pu constater la matérialité des travaux de réparation effectués. C'est pourtant au motif que cette matérialité n'est pas avérée que la MAIF refuse de m'indemniser. 
Je formule alors une réclamation.
3 mois s'écoulent. 
Je reçois enfin une réponse. Et là, surprise ! La MAIF maintient évidemment son refus, mais le motive cette fois par une toute autre raison ! La matérialité des faits n'est plus remise en question, mais le sinistre ne revêtrait pas le caractère accidentel nécessaire pour une prise en charge !
J'ai bien sûr formulé une nouvelle réclamation, qui reste à ce jour sans réponse. 
Je vous invite à vous interroger. Qui voudrait d'une telle « assurance » ? 
Une « assurance » qui offre à chaque étape des interlocuteurs méprisants, vraisemblablement commissionnés aux nombres de sociétaires sinistrés qu'ils arrivent à décourager.  
Une « assurance » qui soumet ses contractants à un véritable parcours du combattant, sciemment semé d'embuches et d'une mauvaise foi qu'elle élève au rang d'institution.
Une « assurance » qui déploie de grands efforts, non pas pour venir en aide à ses sinistrés, mais pour se dégager de ses obligations contractuelles, quitte à se ridiculiser en changeant de prétexte en cours de route.
Qui en voudrait ?
L'offre pour une assurance habitation n'est-elle pas si vaste, les différents acteurs ne sont-ils pas si nombreux pour arrêter son choix sur la MAIF ?</t>
  </si>
  <si>
    <t>damicour-98259</t>
  </si>
  <si>
    <t>La Macif fait le mort et ne répond pas à mon courrier recommandé et continue de prélever les échéances ! !  Cet assureur devrait revoir sa communication et être plus respectueux de clients</t>
  </si>
  <si>
    <t>02/10/2020</t>
  </si>
  <si>
    <t>emilie-d-126682</t>
  </si>
  <si>
    <t>Je suis satisfaite du service. Assurance que je connais déjà et a qui je fais confiance. Les prix sont super abordables et le suivi parfait. Je recommanderai auprès de mes amis</t>
  </si>
  <si>
    <t>frederic--93507</t>
  </si>
  <si>
    <t>Le tarif est correct , cependant on peut s’attendre à une prise en charge un peu plus personnalisée en tant que déjà client chez direct assurance.
........................
........</t>
  </si>
  <si>
    <t>08/07/2020</t>
  </si>
  <si>
    <t>edmond-huet-97339</t>
  </si>
  <si>
    <t xml:space="preserve">Depuis trois mois, Generali répond par des demandes de documents suivies par le silence.
La dernière pièce demandée pour finaliser le dossier a été fournie le 11 août, depuis, silence total.
</t>
  </si>
  <si>
    <t>13/09/2020</t>
  </si>
  <si>
    <t>enara-eder-101172</t>
  </si>
  <si>
    <t xml:space="preserve">Ne pas souscrire une assurance chez GMF le prix y est alléchant mais les garanties non. Je me suis faite volé ma pochette dans ma poche de manteau il se trouvé mon trousseau de clé, ainsi que ma CNI et mes airpods pro tous neuf, vous savez se que l'on me dit, "et bien non madame on prend pas en charge le changement de votre serrure car vous vous êtes pas fait agressé, c'est un vol simple (pickpocket) donc pour faire court et les 2 conseillère que j'ai au téléphone m'ont confirmé que je devait me faire refaire le portrait pour me faire remboursé. C'est d'une stupidité, ou attendre de me faire cambriolé. Et ca se dit assurance des fonctionnaires pfff. C'est triste d'attendre de se faire casser la figure pour se faire remboursé, mais les dommages corporel seront plus haut qu'une serrure à 1086€.
Heureusement que je ne me suis pas fait agresser surtout avec une grossesse en cours.
 </t>
  </si>
  <si>
    <t>09/12/2020</t>
  </si>
  <si>
    <t>laurent-b-113024</t>
  </si>
  <si>
    <t>L'interlocuteur qui a suivi le dossier a fait preuve d'une grande gentillesse, d'une bonne disponibilité et a bien suivi le dossier
Réactivité
Capacité d'écoute</t>
  </si>
  <si>
    <t>29/06/2021</t>
  </si>
  <si>
    <t>alazar-66703</t>
  </si>
  <si>
    <t xml:space="preserve">J est souscrit en 2003 un plan retraite Madelin,  à ce jour pour récupérer la petite somme d argent c est la parcours du combattant ! Certaines clause oblige la Bnp Paribas assurance Cardif a vous débloquer les Fonds , la première fois que j est téléphoné à leur service , la demande de pièce était limité  à la copie de pièce d identité et un courrier simple , je poste mon courrier et il est retourné dans les délai de réponse de 28 jours !il me disent que sous certaine conditions il remboursé et me transmette une liste de clause éligible au remboursement,  tout est bien rodé heu ! Pour eux pas pour pour nous ! Donc j envoie un autre courrier avec AR cette fois ! Et avec toute les pièces ! Et encore une 2 ème fois retourner ! Alors je fourni pour la 3 ème fois un courrier avec copie de ma situation et qui respect les clauses de déblocage des fonds ! Juste pour vous dire ! La Bnp Paribas joué bien son rôle ! Un conseil avant de vous engager avec un contrat lisez bien et prenez votre temps ! </t>
  </si>
  <si>
    <t>08/09/2018</t>
  </si>
  <si>
    <t>gigi-64047</t>
  </si>
  <si>
    <t>1hoo pour les joindre par téléphone.
envoi de devis d'hospitalisation, pas de réponse de prise en charge.
Il n'y a pas de trace, sur le site, de votre demande de prise en charge donc pas de preuve.
N'ont pas les documents envoyés</t>
  </si>
  <si>
    <t>16/05/2018</t>
  </si>
  <si>
    <t>lausim-70105</t>
  </si>
  <si>
    <t xml:space="preserve">Très mauvaise expérience avec les conseillers dès le moment de la souscription. L'email de "bienvenue" m'a demandé des documents différents de ceux figurant sur les dispositions particulières que je devais signer et parapher. Erreur de leur part et pour laquelle on a voulu me tarifer 15 euros pour rédaction d'un avenant. </t>
  </si>
  <si>
    <t>10/01/2019</t>
  </si>
  <si>
    <t>wingmanted-55940</t>
  </si>
  <si>
    <t>Une compagnie qui fait du forcing pour vous faire souscrire par téléphone et ne vous laisse absolument pas le temps de lire le contrat... Véritablement inacceptable d'être traité de la sorte !</t>
  </si>
  <si>
    <t>deveaux-t-133654</t>
  </si>
  <si>
    <t xml:space="preserve">Très efficace et nous prévoyons d'assurer d'autres véhicule. Prix avantageux. Professionnalisme et amabilité des contacts par téléphone qui sont à votre écoute. </t>
  </si>
  <si>
    <t>recal03-70689</t>
  </si>
  <si>
    <t>j'ai été cambriolé par la ruse le 28/09/2018 sans effraction sans violences sur ma personne ou un occupant dans mon logement.
Selon l'article 17 les conditions de mise en jeu de la garantie Vol n'étaient donc pas réunies.
L'expert a estimé la valeur résiduelle des biens volés le 11/10/2018.
Toutefois considérant la  confiance que je témoigne depuis 1985 en tant que sociétaire.
J'ai été indemnisé en intégralité de ce sinistre le 24/01/2019.
Je remercie sincèrement pour la prise en charge de ce cambriolage.</t>
  </si>
  <si>
    <t>28/01/2019</t>
  </si>
  <si>
    <t>raybea-33324</t>
  </si>
  <si>
    <t xml:space="preserve">Très déçue de cette assurance. Ils ont refusé de m assurer il y a des années simplement parce que mon conjoint du moment avait des problèmes d alcool. Résultat, j ai dû retrouver une assurance en 24h et ils ne m ont remboursé que la moitié de ce que j avais versé pour 1 semaine d assurance !! Une honte cette assurance !!! </t>
  </si>
  <si>
    <t>ould-ahmed-m-135895</t>
  </si>
  <si>
    <t>Je suis satisfait du service et de la bonne écoute du service client. Les tarifs sont avantagés et c'est pour ça que j'ai choisis cette assurance auto.</t>
  </si>
  <si>
    <t>jn-138357</t>
  </si>
  <si>
    <t>malgré des remarques fréquentes sur ce site, le harcèlement par des courtiers continu avec les mêmes comportements agressifs. Neoliane s'excuse a chaque fois mais rien ne change. donc j'en déduit qu'il sont complice de cette procédure inadmissible. c'est tout juste qu'ils entendent que je suis déjà assuré ailleurs c'est épuisant .</t>
  </si>
  <si>
    <t>henry-94168</t>
  </si>
  <si>
    <t>C’est un peu cher, comme la voiture est déjà âgé. Je suis un conducteur sûr, et j’espère que la système youdrive va rapidement réaliser les réductions du prix.</t>
  </si>
  <si>
    <t>15/07/2020</t>
  </si>
  <si>
    <t>arnaud-v-132811</t>
  </si>
  <si>
    <t>SIMPLE, RAPIDE, CLAIR ET SURTOUT PAS CHER... JE RECOMMANDE VIVEMENT AMV ASSURANCE. MA VOITURE VA AUSSI ÊTRE ASSUREE CHEZ AMV? ALORS BONNE ROUTE AVEC AMV.</t>
  </si>
  <si>
    <t>guillaume-p-112131</t>
  </si>
  <si>
    <t>Prix interessant
Conditions remplissant celle de la plupart des banques 
Accueil agréable et à noter un très bon suivi commercial par Seraphin (calme, compréhensif, discours posé...)</t>
  </si>
  <si>
    <t>morisse-v-130239</t>
  </si>
  <si>
    <t xml:space="preserve">Très satisfait des services, tarifs imbattables.
Les conseillers sont disponibles et arrangeants. 
Plateforme en ligne très simple d'utilisation.
Je recommande. </t>
  </si>
  <si>
    <t>30/08/2021</t>
  </si>
  <si>
    <t>david89-62951</t>
  </si>
  <si>
    <t xml:space="preserve">cella fait quelques année que nous travaillons avec vous nous sommes trés satisfais merci </t>
  </si>
  <si>
    <t>diakite-b-110771</t>
  </si>
  <si>
    <t xml:space="preserve">je suis satisfait de vos service je le recommanderais a mes amis c est  rapide et simple a comprendre et facile a remplir 
je pourrais a l avenir parrainer ma famille </t>
  </si>
  <si>
    <t>17/04/2021</t>
  </si>
  <si>
    <t>aurelein-p-126467</t>
  </si>
  <si>
    <t xml:space="preserve">Je suis satisfait du service, je suis satisfait du prix, je suis satisfait de la démarche, je suis satisfait des conditions, je suis satisfait du site </t>
  </si>
  <si>
    <t>soleildeparis-98590</t>
  </si>
  <si>
    <t>aucun souci et tarif très compétitif depuis 3 ans retraitée et en ald tarif étudié et conseillère à l'écoute et disponible à tout moment hospitalisée 2 mois en clinique je n'ai rien déboursé</t>
  </si>
  <si>
    <t>10/10/2020</t>
  </si>
  <si>
    <t>dom-68742</t>
  </si>
  <si>
    <t>sinistre ou je n ai aucun tort expertise et expert a la solde et pas a sa place moto transalpt en tres bon etat mais de 98 je suis ancien mecano moto a la retraite "Monsieur l expert" decide quelle ne vaut que 1400 euro je pensais avoir droit au remplcement a valeur egale sauf que le meme model sur le bon coin est a 1700E et en plus en isere j en ai fait part a ce soit disant expert qui n arien voulu entendre et depuis le 3aout  j attends mon remboursement  et je ne me reassurerais plus ici</t>
  </si>
  <si>
    <t>20/11/2018</t>
  </si>
  <si>
    <t>bouboubaim-65272</t>
  </si>
  <si>
    <t>service après ventes top
pour le remboursement c'est vraiment rapide, une franchise très faible
souscription très rapide et pas trop de paperasse .......</t>
  </si>
  <si>
    <t>05/07/2018</t>
  </si>
  <si>
    <t>joe-57251</t>
  </si>
  <si>
    <t>Trouve toutes les astuces pour ne pas rembourser</t>
  </si>
  <si>
    <t>11/09/2017</t>
  </si>
  <si>
    <t>xavier-72468</t>
  </si>
  <si>
    <t xml:space="preserve">après obtention par la conseillère d'une soi-disant dérogation, je décide de signer,et la mon bonus disparait comme par magie, et dès qu'on appelle on tombe sur des gens arrogants qui vous disent que c'est normal. Bref je décide alors de résilier cette assurance "sans engagement" tant pis pour la perte de 30 euros des frais de résiliation, et je fais comme demandé au téléphone par les conseillersn un simple mail suffit et bien non au bout de plus de 5 jours, on me dit de faire un recommandé. Une vingtaine d'euros de frais d'inscription, 30 euros de résiliation, le cout du recommandé tout ça suite au mensonge d'une conseillère dont le seul but est de vous faire signer.
Avec Euro assurance bienvenue dans la galère </t>
  </si>
  <si>
    <t>Euro-Assurance</t>
  </si>
  <si>
    <t>spmario94-108245</t>
  </si>
  <si>
    <t xml:space="preserve"> franchement ... a éviter voire a fuir 
+30 ans jamais d incident et j'ai un coup de grele .. pretextent le covid pour retarder le dossier et au bout de + d'un an ...l'expert passe ..5 mn chrono ( s'en fiche ..negligeant voire malohnete) ..veille aux interets a rien me rembourser !!.
bien sur avec des tuilles parties , cassees et des fuites ..j'allais pas attendre 2 ans pour reparer ! 
 donc comme sur la résidence principale (maison) on n'a pas d'obligation "autant ne pas s'assurer" et surtout pas chez eux .
 dans 15 ans avec les econnomies  de tous les contrats que je suis en train de résilier j'aurait récupere ce que ca m'a couté .
et eux ..j'en suis a 6 collegues  de convaincus dont une quinzaine de contrats qui seront  remis en cause et j'espres que ca fera boule de neige   </t>
  </si>
  <si>
    <t>amor-92021</t>
  </si>
  <si>
    <t xml:space="preserve">Le prix me convient
Je suis sataisfait avec  direct assurance de coté prix et service 
En plus ils ont une application pour suivre mes contrats d'assurance 
Je recommande bien direct assurance </t>
  </si>
  <si>
    <t>24/06/2020</t>
  </si>
  <si>
    <t>philippe-v-125152</t>
  </si>
  <si>
    <t>Le tarif est correct et je suis surtout satisfait de bénéficier de deux mois gratuits pour mon assurance habitation étant déjà client pour mon automobile.</t>
  </si>
  <si>
    <t>lucien-h-122093</t>
  </si>
  <si>
    <t xml:space="preserve">Je suis satisfait des services rendus
Prix de l'assurance correct.
Personnel compétent et à l'écoute.
Je recommanderais la GMF à mes amis et connaissances.
</t>
  </si>
  <si>
    <t>bone-l-109905</t>
  </si>
  <si>
    <t>Les tarifs sont accessibles et le site est bien fait. Ma voiture devenant assez âgée je cherchais une assurance avec un minimum de garanties correctes pour un prix raisonnable.</t>
  </si>
  <si>
    <t>10/04/2021</t>
  </si>
  <si>
    <t>meddyy31-71493</t>
  </si>
  <si>
    <t xml:space="preserve">A eviter tout simplement si vous souscrivez un contrat automobile il vous couvrent pas sur tout Mon prejudice actuelle est de 25000Euro et je nest pas ete rembourser de leur part il faut se batailler avec eux avant davoir des reponses precises </t>
  </si>
  <si>
    <t>piclyne-81208</t>
  </si>
  <si>
    <t>déçue et remontée, après mon premier accident de voiture accompagnée de mon fils, nous sommes passés pour un contrôle, nous n' avons aucuns dommages corporelles. L'assureur m' affirme que le simple fait de passer aux urgences était considéré comme preuve d'un dommage corporelle, de fait il me soumet un malus. Est ce normal, alors qu'il n'y a aucuns dommages corporelles?</t>
  </si>
  <si>
    <t>21/11/2019</t>
  </si>
  <si>
    <t>mon-oeil-99742</t>
  </si>
  <si>
    <t xml:space="preserve">La MAIF prétend étre une assurance militante militante  et solidaire.
Faux et archi faux. 
Une sorte de secte gérée....
C'est pire que tout.
On le refuse de m'assurer au téléphone, sans avoir le courage de l'écrire officiellement par courrier. 
</t>
  </si>
  <si>
    <t>06/11/2020</t>
  </si>
  <si>
    <t>utilisateurlambda-104436</t>
  </si>
  <si>
    <t>Je suis assuré au tiers depuis 5 mois chez L'olivier assurance. En déplacement à Paris, je retrouve mon véhicule avec la petite vitre avant cassé. Suite à mon bris de glace, je voulais voir si j'étais assuré donc j'ai essayé de déclarer un sinistre. Avant même la fin du formulaire, ca m'a mis que je n'étais pas assuré. Je contacte l'olivier assurance pour changer de formule, pour passer de tiers à tout risque. le conseiller me répond oui, voici le devis, ok. Faites des photos de la voiture. je le fais, réponse 2jours plus tard: impossible de changer de formule, vous avez fait une déclaration de sinistre ! je répond que je ne comprend pas, un conseiller me rappelle 10 jours plus tard pour m'expliquer que si on déclare un sinistre, il est impossible d'augmenter sa formule ensuite. ni maintenant, ni le mois le prochain, ni l'année prochaine, ni jamais en fait. peut-être si je change de véhicule ou si j'en prend un nouveau ... et en bonus, vu que c'est ma premier année, je ne peux pas resilier. C'est simplement magnifique ! quel bande de guignol !!
Donc impossible pour moi d'être assuré tout risque aujourd'hui !! L'olivier assurance, je ne vous dis pas merci</t>
  </si>
  <si>
    <t>18/02/2021</t>
  </si>
  <si>
    <t>mouret-c-107486</t>
  </si>
  <si>
    <t xml:space="preserve">Le parrainage en plus proposé par la conseillère c'est juste top merci beaucoups. Prix très attractif. Ça fais des années qu'une assurance m'avait pas autant plus. </t>
  </si>
  <si>
    <t>stephanille-137930</t>
  </si>
  <si>
    <t>la personne que j'ai eu afin de m'aider dans mes démarches, Mr Pape, m'a bien renseignée et guidée dans mes démarches. il était réactif et clair dans ses  explications.</t>
  </si>
  <si>
    <t>21/10/2021</t>
  </si>
  <si>
    <t>rach103-100104</t>
  </si>
  <si>
    <t xml:space="preserve">Bonsoir,
Je suis d'accord avec vous, j'ai moi aussi des soucis avec la Matmut je suis aussi assuré depuis 10 ans en tourisque, j'ai eu dernièrement un éclat sur mon pare-brise que j'ai fait remplacer part un garage non agréé ( dans la précipitation), cela m'a coûté 896 €, une semaine passe deux semaines passe, j'ai repris contact avec mon assurance qui me dit que le dossier et en cours (pour le remboursement de la facture) je reçois un mail d'un cabinet mandaté qui dois vérifier le pare-brise, si il a réellement été remplacé, pas de problème, l'expert m'explique qu'il y a beaucoup de fraude sur les réparations ou changement de pare-brise, en ce qui me concerne le mien a été changé, l'expert me dit ok c'est bon pour moi qu'il vérifie la facture et qu'il valide, le lendemain je reçois un nouveau mail de la Matmut qui veux que je lui présente un justificatif bancaire avec mon relevé de compte qui prouve que j'ai bien payé le garagiste.
La facture a été présentée, l'expert mandaté a bien constaté que le pare-brise a été changé et là on me demande mon relevé de compte... la suite c'est quoi???? 
Je suis très remonté contre l'assurance qui utilise tout les moyens pour qu'elle rembourse le plus tard possible.
Clairement vivement la fin de l'année que parte chez vos concurrents qui seront clairement plus réactifs et moins intrusifs.
</t>
  </si>
  <si>
    <t>14/11/2020</t>
  </si>
  <si>
    <t>chatelain-s-121359</t>
  </si>
  <si>
    <t xml:space="preserve">je suis très content. je suis très content. je suis très content. je suis très content. je suis très content. je suis très content. je suis très content. </t>
  </si>
  <si>
    <t>27/06/2021</t>
  </si>
  <si>
    <t>muriel-c-133292</t>
  </si>
  <si>
    <t>Service impeccable, rapide et efficace. Je recommande cette assureur.
En deux temps, trois mouvements vous êtes assurés facilement.
Site nickel. Bon rapport qualité/prix</t>
  </si>
  <si>
    <t>17/09/2021</t>
  </si>
  <si>
    <t>moussa-k-114710</t>
  </si>
  <si>
    <t>Je suis plus que satisfait de la prestation de Direct Assurance. Je suis client depuis bien longtemps et ne le regrette pas pour le moment. Je conseille vivement à tous ceux qui sont a la recherche d'une assurance, Direct pourrais vous convenir avec des prix plus attractifs.</t>
  </si>
  <si>
    <t>damien-m-113682</t>
  </si>
  <si>
    <t>On ne connait vraiment le service d'une assurance que lorsque l'on bénéficie de ses garanties. A voir donc... Pour ce qui est du tarif, de la relation client et de la souscription, RAS pour le moment. C'est même très bien :)</t>
  </si>
  <si>
    <t>isis-85747</t>
  </si>
  <si>
    <t>Ms Gwendal assureur très aimable qui ma très bien expliquée et résolu mon problème 
merci beaucoup   Mme BION Maria</t>
  </si>
  <si>
    <t>10/01/2020</t>
  </si>
  <si>
    <t>valeria-79977</t>
  </si>
  <si>
    <t>assurance souscrite hier 11 10 2019 à midi et cette nuit réception d'un courrier postdaté au 11 11 2019 m informant de la fin de ma garantie pour non réception des documents demandés alors que j ai un mois pour les envoyer . j ai envoyé ces justificatifs sur le site ainsi que par mail en réponse à la lettre de radiation postdatée d'un mois . Au vu des commentaires cette erreur m inquiète beaucoup , j'espère un rapide retour de leur part . mon numéro client 418305</t>
  </si>
  <si>
    <t>12/10/2019</t>
  </si>
  <si>
    <t>lionel-l-112593</t>
  </si>
  <si>
    <t>Parfait  Arrive très intéressant rapport qualité prix parfait disponibilité rapide très très bon assureur Je le conseille vivement pour tous les  Utilisateurs de   2 roues</t>
  </si>
  <si>
    <t>robert-m-139660</t>
  </si>
  <si>
    <t>un peu déçue d'avoir été obligée de tout redonner mes informations personnelles alors que je l'avais déjà fait pour mon précédent véhicule. je trouve cela assez fastidieux</t>
  </si>
  <si>
    <t>marc1sxm971-81160</t>
  </si>
  <si>
    <t>Excellente relation clients avec la métropole quant aux conseils, disponibilités, remboursements, et relations humaines chaleureuses: Mais dès qu'il s'est agit de l'agence de Guadeloupe: la communication s'est avérée impossible: position de pouvoir régalien permeable à toute discussion, la relation client, l'interprétation des faits: vous avez toujours tort: ils vous font passer pour des menteurs, limite des escrocs. Faits avérés sur trois personnes de mon entourage. Il n'y a pas de dialogue possible même avec l'appuis de la gendarmerie prouvant ma bonne foi, et pour toute réponse FILIA-MAIF dénonce le contrat "en raison de l'altération de notre relation commerciale".</t>
  </si>
  <si>
    <t>20/11/2019</t>
  </si>
  <si>
    <t>xxx-92127</t>
  </si>
  <si>
    <t xml:space="preserve">Application facile d’utilisation Et questions claires 
Quant au prix  un est en comparatif en cours mais ça m’a l’air raisonnable 
Affaire à suivre. 
</t>
  </si>
  <si>
    <t>goncalves-m-125228</t>
  </si>
  <si>
    <t xml:space="preserve">Je suis satisfait rapide et efficace  . Facile à faire....je recommande..on verra dans la suite je espère que tu vas bien..                           </t>
  </si>
  <si>
    <t>lejeune-p-133871</t>
  </si>
  <si>
    <t>Les personnes que j'ai eu au téléphone avant mon adhésion ont toutes été de très bon conseil et très sympathiques.
Je trouve les franchises un peu élevées, j'espère ne pas en avoir besoin.</t>
  </si>
  <si>
    <t>emilie--d-130082</t>
  </si>
  <si>
    <t xml:space="preserve">Je suis satisfait du service les prix sont très attractifs contrairement à mon autre assurance 
J’en suis ravie de mon choix 
J espère ne pas être déçue </t>
  </si>
  <si>
    <t>29/08/2021</t>
  </si>
  <si>
    <t>raphaelle--93290</t>
  </si>
  <si>
    <t>Satisfait par l’efficacité du site et la rapidité du devis. A comparer en fonction des autres assurances et des garanties proposées par eux.  En vous remerciant.</t>
  </si>
  <si>
    <t>06/07/2020</t>
  </si>
  <si>
    <t>titi116-71647</t>
  </si>
  <si>
    <t>a fuir !!!!!!! recement divorcé , ils ont omis de m adresser un courrier me radiant, mais par contre ils ont validé un devis et une facture de soin , or ils gelent les remboursements de mon ex compagne ; une solution digne de la mafia !!!!!!! et au fait ; il existe un petit detail punissable par la loi qui s appelle le devoir de conseil; visiblement ils ne connaissent pas ; mutuelle a fuir vu les methodes mafieuse de cette mutuelle.</t>
  </si>
  <si>
    <t>25/02/2019</t>
  </si>
  <si>
    <t>mgallou-76369</t>
  </si>
  <si>
    <t>Je ne sais plus quoi faire, ça fait 4 fois que j'appelle les plateformes, (pour un remboursement de trop perçu), à chaque fois on me dit que cette fois se sera bon mais depuis janvier je n'ai toujours rien vu du trop-perçu.</t>
  </si>
  <si>
    <t>31/05/2019</t>
  </si>
  <si>
    <t>vergeylen-a-113882</t>
  </si>
  <si>
    <t>Ras facile à la souscription et des prix très intéressants une possibilité de choix des garanties et maintenant espérons ne pas avoir à solliciter les garanties et que tout ce passe bien, si jamais....</t>
  </si>
  <si>
    <t>kris-104185</t>
  </si>
  <si>
    <t>Je viens d être mise en relation avec un opérateur qui à été d une grande efficacité et à l écoute c est très appréciable il à été de très bon conseils .</t>
  </si>
  <si>
    <t>15/02/2021</t>
  </si>
  <si>
    <t>franck-c-108858</t>
  </si>
  <si>
    <t>Souscription simple et rapide, Prix compétitif.
Je suis satisfait du service et recommande cette assurance en ligne, du moins pour l'instant, premier contrat chez eux.</t>
  </si>
  <si>
    <t>malcontent-105898</t>
  </si>
  <si>
    <t>Mutuelle chère par rapport à d'autres, on s'attend à un meilleur service. depuis le 4-01-2021, plusieurs appels au service client et réclamation, toujours rien, la portabilité n'a été faite en février alors que je suis inscrite depuis décembre 2020. je n'ai plus le choix que de saisir le médiateur. 3 mois est le délai de réponse. Bien sûr, les prélèvement continuent. Dommage, je suis obligée de mettre une étoile, ça serai plutôt ZERO.</t>
  </si>
  <si>
    <t>08/03/2021</t>
  </si>
  <si>
    <t>mamadou-lamine-f-130080</t>
  </si>
  <si>
    <t xml:space="preserve">Je suis moyennement satisfait des prix vu mon statut d’étudiant . Je m’attendais à une plus grande réduction. Le service par contre es exceptionnel, on se retrouve facilement et les informations sont claires. </t>
  </si>
  <si>
    <t>pezeron-m-138190</t>
  </si>
  <si>
    <t>je suis satisfait du service. Le site est intuitif et efficace je suis content d'avoir changer d'assurance les prix sont honnête l'ergonomie de votre site est parfaite.</t>
  </si>
  <si>
    <t>25/10/2021</t>
  </si>
  <si>
    <t>arthus78-112201</t>
  </si>
  <si>
    <t>Tres satisfait jusqu ici de direct assurance pour le service et les tarifsje vois arriver ce matin un tarif de 757 euros au lieunde 577 euros pour les memes garanties et avec aucun sinistre puisque je sui a -50% de bonus depuis plus de 10 ans. Je vais les appeler pour comprendre pourquoi mon assurance augmente de 180 euros soient plus de 31% car je trouve que c est abuser s il n y a pas de changement de situation. Je veux bien que direct assurance me reponde sinon je vais faire jouer la concurrence.</t>
  </si>
  <si>
    <t>30/04/2021</t>
  </si>
  <si>
    <t>lenaerts-96869</t>
  </si>
  <si>
    <t xml:space="preserve">Je suis satisfaite.
L'accueil est très bon. Les interlocuteurs répondent tout de suite. Leurs réponses sont précises et adaptées aux questions posées. 
 Je trouve que les remboursements interviennent dans des délais très brefs notamment lorsqu'on passe par le site. 
Les remboursements sont d'un niveau tout à fait correct notamment lorsqu'on a pris la sur-complémentaire et que l'on a hélas un problème de santé d'une certaine gravité. C'est sécurisant de se savoir correctement assurée. C'est très important pour le moral.  </t>
  </si>
  <si>
    <t>nathy37-75046</t>
  </si>
  <si>
    <t>Jamais.eut à me plaindre  d eux au top que se soit habitation scolaire  au top merci je continue avec pacifica</t>
  </si>
  <si>
    <t>13/04/2019</t>
  </si>
  <si>
    <t>foissey-m-107560</t>
  </si>
  <si>
    <t>Bon contact téléphonique. Beaucoup de patience dans les explications. La procédure de souscription est rapide. Seule difficulté est ma gestion difficile des document par informatique.</t>
  </si>
  <si>
    <t>yvan00044-103583</t>
  </si>
  <si>
    <t xml:space="preserve">il désassure la moto car j ai pas envoie mas cartes  gris des minable car j ai roule dans toute  la pendants 1 ans et las j ai revendu la moto et ci j avait accident  pas capable  de dire je vous désassure  </t>
  </si>
  <si>
    <t>claire02-65084</t>
  </si>
  <si>
    <t>Cliente depuis 2013 ils m'ont recontacté pour revoir les tarifs et des prestations. Bon adaptation à ma demande de soin hospitalier</t>
  </si>
  <si>
    <t>27/06/2018</t>
  </si>
  <si>
    <t>rick-80821</t>
  </si>
  <si>
    <t>Je vais etre factuel :
J'ai déménagé et donc changé d'adresse 
Faute à moi de ne pas avoir communiqué et donc pas recu d'avis d'échéance
Résultat : Résiliation sans me prévenir par mail ou par téléphone
Mis en contentieux
Paiement contentieux des que j'ai eu l'info 
Assureur payé le lendemain 
Et 15 jours après toujours pas de régularisation 
traitement effectué après de multiples relances 
Et pour info J'étais client depuis 15 ans
Alors quand j'entend "Meilleur service client de l'année 2020" ca me fait doucement rire
Avis à tous les internautes : vous n'étes que des numéros et non des clients !!!!!
Assureur a fuir à grands pas</t>
  </si>
  <si>
    <t>07/11/2019</t>
  </si>
  <si>
    <t>eric78-91912</t>
  </si>
  <si>
    <t>Je suis nouvel adherent chez L olivier - Je m'inscris, je paie au comptant et la on me demande de signer un mandat SEPA - je demande pourquoi par mail , pas de réponse - J'appelle ce matin et on me répond chez nous c'est obligatoire
Bref, cet assureur veut pouvoir vous prélever sans raison. Ce qui n'a rien de réglementaire
Bref, vu les débats avant même d'adhérer, je n'ose imaginer la gestion d'un accident
Prochaine étape pour moi : DGCCRF</t>
  </si>
  <si>
    <t>guillaume-n-123471</t>
  </si>
  <si>
    <t>Service assez mauvais, ne propose rien en cas de dépannage.
Nous avons un souci de clé, nous n'avons aucune aide de direct assurance. Et on nous propose un serrurier qui propose des tarifs 60% plus élevé qu'ailleurs.</t>
  </si>
  <si>
    <t>doudou-117887</t>
  </si>
  <si>
    <t xml:space="preserve">3 mois pour un problème de résiliation toujours pas résolu malgré plusieurs mail, téléphone on vous répond voila le discourt. les prélèvements continu pourquoi pas.         </t>
  </si>
  <si>
    <t>moree-c-137237</t>
  </si>
  <si>
    <t>simple et pratique. je recommanderai ce site a mes camarades.j espere avoir tous mes documents le plus rapidement possible pour profiter de mon vehicule.</t>
  </si>
  <si>
    <t>cadef-77642</t>
  </si>
  <si>
    <t>Assurée pdt + de 30 ans (voiture+maison). J'ai été cambriolée,  MAAF n'a plus voulu assurer mon nouveau logement (c'est vrai j'ai demandé à être cambriolée)</t>
  </si>
  <si>
    <t>pipau75-52774</t>
  </si>
  <si>
    <t>Actuellement en contentieux suite à un sinistre dégât des eaux en 2015. L'expert de mauvaise foi refuse d'honorer ses engagements écrits et trouve tous les moyens pour ne pas régler les travaux exécutés suivant ses recommandations.</t>
  </si>
  <si>
    <t>26/02/2017</t>
  </si>
  <si>
    <t>gousset24-89136</t>
  </si>
  <si>
    <t>Mutuelle qui a perdu toutes ses valeurs: perte de la proximité avec les adhérents , tarifs prohibitifs, remboursements faible. 
Y a 20 ans la mgen était une bonne mutuelle mais en 2020 elle est complètement dépassé . 
Plus de 2 mois pour un remboursement osteo , devis dentaire envoyé 3 fois car pas de réponse et je suis toujours en attente .......
Impossible d'avoir quelqu'un au téléphone et quand on se déplace en section, les salariés ne peuvent Rien faire ..... ils envoient un mail que je pense personne ne prend la peine de lire ...... idem sur l espace internet. Hormis le message automatique aucune réponse . 
J'envoie Un recommandé pour résilier car j'en ai marre de me battre avec cet administration. Même un remboursement simple devient compliqué ..... j'ose pas imaginé les personnes avec des problèmes plus importants..... 
J'ai fais y a très longtemps de la recommandation pour la mgen mais maintenant je la déconseille très très fortement.</t>
  </si>
  <si>
    <t>24/04/2020</t>
  </si>
  <si>
    <t>juuuuu-56858</t>
  </si>
  <si>
    <t xml:space="preserve">Car je ne peut mettre 0 étoile malheureusement 
Je déconseille cette assurance 
Assuré la bas depuis plusieurs années  est un.orobleme pour un volé de voiture y'a plus personne </t>
  </si>
  <si>
    <t>24/08/2017</t>
  </si>
  <si>
    <t>claude-134859</t>
  </si>
  <si>
    <t>J'ai été agréablement surpris par la qualité de l'accueil d'Emeline et par sa compétence a trouver la solution au problème que j'avais exposé, en effet j'avis été très deçu par ma mutuelle précédente.
Cordialement
Claude PUSSOT</t>
  </si>
  <si>
    <t>chouchou--104112</t>
  </si>
  <si>
    <t>Moi je ne suis pas du tout satisfaite des remboursement. Je paye cher et je je suis tres mal remboursé et en plus je n'ai pas les médecines douces donc je suis parti</t>
  </si>
  <si>
    <t>13/02/2021</t>
  </si>
  <si>
    <t>emi-mge-112730</t>
  </si>
  <si>
    <t xml:space="preserve">Assurance auto qui vole les gens, très compliqué de les avoirs au téléphone.
Leurs interlocuteurs parle à peine français donc compliqué de ce faire comprendre.
Assurance qui vous fait des devis et au moment de régler les deux premières cotisations change de montant et quand vous demander pourquoi, même les interlocuteurs ne comprennent pas et ne font rien. A vous de payer point à la ligne.
Je ne trouve pas très respectueux de leur part.
Alors certes leurs prix sont attractifs mais le service de gestions lui ne l'ai pas du tout, je penses qu'ils faut mettre un peu plus chère dans les cotisation et être sure de pouvoir contacter quelqu'un qui vous comprendras vraiment.
</t>
  </si>
  <si>
    <t>05/05/2021</t>
  </si>
  <si>
    <t>artop29-86342</t>
  </si>
  <si>
    <t>je mettrai 0 par tout. On ne choisi pas de tomber malade. un an que mon dossier traîne. A chaque courrier cardif reçu il manque toujours un certificat ou autre. Ma protection juridique est en route, je ne compte pas en rester là. Je vais même demander des dédommagements supplémentaires car c'est mon arret maladie qui paye les échéances. Apres il ne reste plus rien</t>
  </si>
  <si>
    <t>25/01/2020</t>
  </si>
  <si>
    <t>lsam-74729</t>
  </si>
  <si>
    <t>Bon assureur, jusquà au 1ere sinistre!
Moi j'ai eux un acident non responsable et ça fait deux mois que j'attend et je ne peux pas utiliser la voiture pour de long traject, je suis tres deçu! Avec deux voiture assure chez olivier, je crois que je va voir la concurrence!</t>
  </si>
  <si>
    <t>realiste11-66616</t>
  </si>
  <si>
    <t xml:space="preserve">Je déconseille cette assurance,  après notre sinistre  il y plus de deux  mois, elle nous a toujours pas contacter. On a eu une voiture en face de nous sur notre voix, et pas de réponse sur le suivi du dossier, d'ailleurs le dossier qu'il doit nous envoyer,on l'a toujours pas reçu.
FUYEZ  CETTE ASSURANCE. </t>
  </si>
  <si>
    <t>05/09/2018</t>
  </si>
  <si>
    <t>olivier-r-115224</t>
  </si>
  <si>
    <t>Pratique, rapide et compétitif bravo
J'espère que tout sera semblable à la souscription qui est vraiment très facile à réaliser , je suis content, ma mère m'avait dit que c'était une bonne assurance car elle est aussi assurée chez Direct assurance mais en Drive connect</t>
  </si>
  <si>
    <t>28/05/2021</t>
  </si>
  <si>
    <t>langdom86-58142</t>
  </si>
  <si>
    <t>Ayant acquis une Peugeot 308, j'ai choisi en novembre 2016 de l'assurer chez Axa. J'opte pour une souscription en ligne (contrat Clic And Go) avec le pack équilibre afin de disposer de l'assistance 0km. Je n'est pas eu de sinistre en 1 an, en revanche, j'ai eu besoin de 2 fois de l'assistance. De ce côté, les conseillers d'AXA Assistance sont sérieux et l'assistance est de qualité (rapide, fiable). Les conseillers du service client sont disponibles et semblent compétents. En ce qui concerne les garanties, il est dommage qu'AXA ne propose pas de véhicule de remplacement en cas de panne mais seulement en cas d'accident. Ma décision de résiliation est uniquement une question de prix, (ayant obtenu un tarif équivalent pour plus de garanties chez un concurrent). En revanche, de mon point de vue, AXA reste un assureur sérieux et fiable.</t>
  </si>
  <si>
    <t>18/10/2017</t>
  </si>
  <si>
    <t>cyrille-b-127337</t>
  </si>
  <si>
    <t xml:space="preserve">super facile et rapide . Très simple de pouvoir s'inscrire . Les tarifs sont les meilleurs du marché. L'envoi des documents par mail nous font gagné énormément de temps. Je recommande vivement. </t>
  </si>
  <si>
    <t>gege-131681</t>
  </si>
  <si>
    <t xml:space="preserve">je suis très satisfait D’Émeline chez Neoliane santé elle m’a très bien renseignée sur ma demande très aimable très courtoise agréable et donne des réponses très clair merci </t>
  </si>
  <si>
    <t>coco83-105396</t>
  </si>
  <si>
    <t xml:space="preserve">Et voilà cardif arrête mes remboursement sans prévenir  ni courriers alors quand me dit vous serez rembourser  jusqu'à 
juin 2021 vous serez convoqué par un expert avant l arrêt des remboursements j appelle en me dit c'est un oublie vous serez rembourser dans les 48 heures riens pas de remboursement
 Je rappelle une autre versions vous arriver a terme vous avez plus droit au remboursement depuis le 12 février mdr alors que l on m'avais dit que je serais prise en charge  j'usqua juin 2021et que je serais expertise avant l'arrêt des remboursement étant en maladie longue durée 
en attente  d invalidité professionnel. Mais reconnu AAH a 79 pour cent par la mdph j espère que la suite seras favorable pour la prise en charge de l'invalidité  </t>
  </si>
  <si>
    <t>carson--101523</t>
  </si>
  <si>
    <t xml:space="preserve">J'étais déjà très satisfait de trouver chez l'olivier assurance un tarif très compétitif et de plus remboursé sans problème et rapidement d'un sinistre que j'ai fait réparer dans un garage non partenaire d'olivier. Je recommande. </t>
  </si>
  <si>
    <t>16/12/2020</t>
  </si>
  <si>
    <t>jullien-e-115389</t>
  </si>
  <si>
    <t xml:space="preserve">Satisfaite du service clientèle téléphonique et mon contrat qui recouvre mes besoins et mes attentes de plus je suis satisfaite du prix de mon contrat </t>
  </si>
  <si>
    <t>lebon-j-130803</t>
  </si>
  <si>
    <t>Le prix es attractif....
Interlocuteur Clair et à l'écoute des Demande soumis jusqu'à présent....
Service rapide. Je souhaite vivement Que cela reste ainsi...</t>
  </si>
  <si>
    <t>patrick-h-114191</t>
  </si>
  <si>
    <t>Prix agressif la pemière année, mais augmentation importante ensuite, alors que la valeur du véhicule diminue.
Très difficile de résilier ! 
ON se sent coincé avec Direct Assurance</t>
  </si>
  <si>
    <t>pascal-b-123682</t>
  </si>
  <si>
    <t>je trouve compliqué de transmettre la photo d'identité car vous demandez des formats impossible . Je suis trop deçu et je regrette d'avoir pris mon assurance chez vous. Vous avez pu encaisser mais aprés ça c'est une autre histoire!!!</t>
  </si>
  <si>
    <t>17/07/2021</t>
  </si>
  <si>
    <t>interface-88459</t>
  </si>
  <si>
    <t>j ai assurer avec romu mon harley 1200 j ai fais 200 euros d'economie par ans.a recommander,simple facile EFFICACE.le meilleur actuellement.apres plusieurs devis romu m as sortie de bon prix.</t>
  </si>
  <si>
    <t>21/03/2020</t>
  </si>
  <si>
    <t>mc0483-111375</t>
  </si>
  <si>
    <t>Déçu ,avant de m’assurer chez eux comme toutes autres assurances j’ai envoyé mon relevé d’information du véhicule concerné et je me retrouve résilier pour un sinistre bris de glace en raison du coup qui date de 3 ans en gros ils font jamais rien déclaré et ils s’étonne des coups d’assurance</t>
  </si>
  <si>
    <t>aa-64080</t>
  </si>
  <si>
    <t>RAS............................................................................................................................................................................................................................</t>
  </si>
  <si>
    <t>18/05/2018</t>
  </si>
  <si>
    <t>eli-99837</t>
  </si>
  <si>
    <t>A fuir !
Aux premiers abords les prix sont intéressants… Sauf qu'on se rend vite compte qu'il vaut mieux payer un peu plus cher mais être bien assuré.
Je suis en couverture « Tous risques » depuis plus de 8 ans chez l'Olivier. Après un vol de mes 4 roues, avec effraction (vitre arrière brisée) car mes roues ont un écrou anti-vol ; on ne me précise pas la close du contrat lors de la déclaration de mon sinistre que les roues ne sont pas prises en charge et cela même en « tous risques ».
Effectivement, cette close est spécifiée donc ça pourrait être une erreur de ma part ; mais cette close est uniquement spécifiée dans le contrat général. Mon interlocuteur ne devait même pas être au courant ou en tout cas il s'est bien gardé de m'en faire part !
Je fais réparer ma voiture pensant que mes frais seraient pris en charges et finalement on m'informe seulement 4 jours après que mes 4 roues sont à ma charge. Donc pour une facture de 4 200 € et une fois la franchise déduite, l'assurance ne rembourse que 400 €.
Merci L'Olivier Assurance !</t>
  </si>
  <si>
    <t>07/11/2020</t>
  </si>
  <si>
    <t>laurent-a-105547</t>
  </si>
  <si>
    <t>Je souhaitais assurer un nouveau véhicule, votre devis via mon espace personnel à 549.86 €/an, le même devis via les furets.com à 378.06 €/an soit 172 € d'écart &gt;&gt; 30% !! je veux bien croire à un prix d'appel, mais pas de cet ordre !</t>
  </si>
  <si>
    <t>05/03/2021</t>
  </si>
  <si>
    <t>allard-o-129844</t>
  </si>
  <si>
    <t xml:space="preserve">Je suis satisfaite de ce qu'il m'est proposé et j'ai été très bien reçue. Les tarifs sont bien plus intéressants que chez les concurrents avec presque les mêmes protections. </t>
  </si>
  <si>
    <t>samy-b-131622</t>
  </si>
  <si>
    <t xml:space="preserve">Je paye cher chez la macif je vais résilier maintenant merci pour tout j’espère vite recevoir ma vignette nouvelle collaboration c’est parfait ?? on va voir ce que sa donne </t>
  </si>
  <si>
    <t>swity-101961</t>
  </si>
  <si>
    <t xml:space="preserve">FUYEZ FUYEZ FUYEZ, ... Ils attirent les gens dans leurs pièges avec des prix attractifs. Ils demandent de payer 2 mois de mensualités à la souscription mais au final tu payes tous les mois. Ils écrivent mal les informations données après ils te demande de payer des frais de modification de 50€ et une augmentation de 30€ sur la cotisation parcequ’ils ont mal noté. C’est vraiment fou !! Tu demandes une rénonciation dans les 24h de la souscription du contrat, ils te disent que tu n’as pas droit et que tu dois faire une résiliation ainsi ne pas recevoir de remboursement. 
Un Conseil: Payez plus cher ailleurs vous serez tranquille. Ils m’ont vraiment donné mal à la tête! FUYEZ! FUYEZ! FUYEZ! </t>
  </si>
  <si>
    <t>alex-57973</t>
  </si>
  <si>
    <t>mon contrat arrivant à échéance je refais une simulation et je trouve moins cher chez direct assurance. Je les appelle mais pour éviter la discution on me dit qu'il faut d'abord appeler le service commercial puis au service commercial on me dit de joindre mon service client qui lui me dit l'inverse</t>
  </si>
  <si>
    <t>11/10/2017</t>
  </si>
  <si>
    <t>sotro-63190</t>
  </si>
  <si>
    <t>Super assurances, ils ont toujours répondus à mes besoins immédiatement pour l'auto et l'immo ! Rien à redire, je suis très satisfait alors que je ne pensais pas l'être !</t>
  </si>
  <si>
    <t>12/04/2018</t>
  </si>
  <si>
    <t>mohamed-e-105379</t>
  </si>
  <si>
    <t>je suis satisfaits des directe assurance pour le moments je trouve que ces un peu chère pour un jeune conducteur qui n'a pas forcément les moyens
cordialement</t>
  </si>
  <si>
    <t>yves-m-124694</t>
  </si>
  <si>
    <t>Je suis satisfait mais attend une carte verte pour 3 mois et non 1 mois comme souvent, en attendant ma carte grise définitive.
Merci d'avance,
Yves Meyer</t>
  </si>
  <si>
    <t>adam-e-pupi-85738</t>
  </si>
  <si>
    <t>Sinistré "malussé" pour la première fois en 50 ans d'assurance, j'ai trouvé ches L'Olivier une Compagnie attentive et respectueuse des "risques" de mise en situation délicate des clients. Par comparaison, les Tarifs sont les meilleurs que j'ai pu trouver. Depuis, cet assureur est disponible et "à l'écoute" des remarques formulées sur les services et les propositions de contrat. Je suis donc très satisfait.. et je verrai à l'usage si les autres relations ont aussi bonnes, notamment en cas de sinistre (rapidité et objectivité).
Juste une remarque que j'ai formulée et qui devrait être prise en compte:
Les propositions laissent place à une possible interprétation erronée. Le montant de la "cotisation de référence annuelle", sans les frais de souscription initiale, n'apparaît pas clairement, car les 11 mensualités après la première (incuse dans le versement à la souscription) sont minorées par un montant inclus dans le versement à la souscription constituant une "avance sur prime annuelle". De ce fait, les mensualités envisageables pour les années de renouvellement prêtent à confusion, et donc à un FAUX litige.
Avant de souscrire, demandez un devis détaillé!</t>
  </si>
  <si>
    <t>noemie-d-135726</t>
  </si>
  <si>
    <t xml:space="preserve">Je suis assez satisfaite des tarifs proposés par la complémentaire santé. Je suis également satisfaite de la simplicité de lecture et de signature du contrat en ligne. </t>
  </si>
  <si>
    <t>03/10/2021</t>
  </si>
  <si>
    <t>nanard69-53706</t>
  </si>
  <si>
    <t xml:space="preserve">Depuis le 13 janvier 2017, je n'ai aucun suivi de mon dossier. Sous prétexte d'une erreur de frappe à savoir13/07/2017 au lieu de 13/01/2017 et de la mention payé par...la Matmut refuse de me rembourser la totalité du sinistre. Tout  ce qui m'a été demandé à été envoyé. A ce jour, j'ignore ce qu'il en est de mon dossier. Malgré mes multiples appels téléphoniques, personne n'est capable de me signaler ce qui fait obstacle au règlement . Les conseillers sont pour la plupart désagréables et donneurs de leçons. Ayant réussi à connaître le numéro de téléphone et le nom d'une responsable, celle-ci se contente de me répéter que ça suit son cours. Elle me certifie que le 15 mars un courrier m'a été adressé or à ce jour 29 mars 2017, ce courrier prétendument envoyé ne m'est toujours pas parvenu. La responsable avec ironie me signale que la Matmut est en rien responsable. Je mets fortement en doute ses propos. Je lui ai fait remarquer qu'il existait 2 autres possibilités de m'adresser un  courrier, par l'intermédiaire du site des adhérents ou de mon adresse mail. Je ne reçois aucune réponse. J'ai appris que 7 autres personnes ont vu leurs règlements bloqués. </t>
  </si>
  <si>
    <t>jess7-101085</t>
  </si>
  <si>
    <t>Catastrophique !!!
Service lamentable. Plus d’un mois d’attente pour un remboursement optique qui n’est à ce jour toujours pas réglé !!!!
Plus de 20min d’attente pour avoir quelqu’un en ligne et jamais la même réponse. Sans compter les mails restés sans réponse. 
Mutuelle obligatoire donc quelle est la solution ???</t>
  </si>
  <si>
    <t>08/12/2020</t>
  </si>
  <si>
    <t>pollin-g-105510</t>
  </si>
  <si>
    <t xml:space="preserve">Les Tarifs sont conformes aux attentes , bien places par rapport a la concurrence  ,
L'Accueil est efficace , 
L'accès se fait très facilement 
Les prestations répondent aux attentes   . </t>
  </si>
  <si>
    <t>loul-71911</t>
  </si>
  <si>
    <t>attention prix attractif à l'inscription qui pour ma part a augmenter l'année suivante  de 25% et la 3ème année encore une augmentation similaire, obligé de les appeler pour négocier le tarif sinon au bout de 3 ans, vous payez la même chose chez un autre assureur et le tout avec moins de garanties</t>
  </si>
  <si>
    <t>06/03/2019</t>
  </si>
  <si>
    <t>claire-92958</t>
  </si>
  <si>
    <t xml:space="preserve">Je souhaite recevoir mon devis détaillé avant  de me prononcer sur le rapport qualité prix de votre assurance automobile dans l attente, cordialement </t>
  </si>
  <si>
    <t>gualan-79349</t>
  </si>
  <si>
    <t>Assurée depuis 47 ans sans sinistre,  RAS. Mais depuis 2 sinistres tempête les problèmes s'accumulent. Service sinistre injoignable même par sce client et agence. Aucune nouvelle depuis réception du rapport expertise favorable. Par contre augmentation prime assurance 22%. Je ne conseille pas la gmf pour leur gestion sinistre tout à fait désastreuse.</t>
  </si>
  <si>
    <t>20/09/2019</t>
  </si>
  <si>
    <t>sebselire-53133</t>
  </si>
  <si>
    <t>ok très interessant comme proposition, j'apprecie cette offre à sa juste valeur</t>
  </si>
  <si>
    <t>09/03/2017</t>
  </si>
  <si>
    <t>nico-101793</t>
  </si>
  <si>
    <t>Toujours réactif et le service client est très bien.  Le prix est pas élevé je suis en jeune conducteur est j'ai comparé les prix avec d'autres assureur qui sont plus élevés au niveau de leur tarif.</t>
  </si>
  <si>
    <t>diego-65124</t>
  </si>
  <si>
    <t>Client chez BNP, j'ai ouvert 4 contrats d'assurance vie chez Cortal. Une fois les montants des UC et des fonds euros établis, je me suis aperçu que les montants versés ne correspondaient pas à ce qui a été décidé avec le conseiller. J'ai demandé de corriger les montants, mais à la place j'ai eu deux nouveaux prélèvements sur mon compte: c'est le montant corrigé, mais l'ancien montant n'a pas été remboursé. Ce problème a été signalé le 5 juin. Aujourd'hui, le 28 juin, je n'ai toujours pas été remboursé et je me retrouve avec une grosse somma manquante de mon compte chèque et je n'ai pas la libre disponibilité de mon argent. Plus de 23 jours pour corriger un erreur de Cardif et/ou de BNP et extrêmement long et me cause de gros problème de liquidité. Cardif a promis de recoudre le problème "en quelque jour". 3 semaines sont passées.</t>
  </si>
  <si>
    <t>28/06/2018</t>
  </si>
  <si>
    <t>pseudo-54100</t>
  </si>
  <si>
    <t>Bonjour, N° client 251634
J'aurai jamais dû...
J'ai souscrit un contrat avec Active Assurances le 13/04/2017 et depuis j'envoie tous les jours les documents demandés : R.I.B , copie du devis signé et daté avec attestation sur l'honneur, permis de conduire, carte grise, CNI...
un jour, ils ont reçus le RIB, le lendemain non. Ils reçoivent les documents à moitié alors que c'est dans le même mail...!
Si ça continue je vais résilier et même porter plainte si d'ici lundi le problème n'est pas réglé.En plus la semaine prochaine je suis à Paris, je ferai d'une pierre deux coups.
Quelqu'un a eu cette TRES mauvaise expérience avec cette compagnie?</t>
  </si>
  <si>
    <t>15/04/2017</t>
  </si>
  <si>
    <t>bylna94-94666</t>
  </si>
  <si>
    <t xml:space="preserve">La MATMUT elle n'assure pas...
Coup de geule contre la MATMUT assurance dont je suis sociétaire depuis 2006 ;
Je n'ai jamais eu d'accident responsable, mais en Mars 2020 j'ai eu le malheur d'avoir un accrochage non responsable avec une camionnette, problème est que la MATMUT fait traîner le bon de prise en charge des réparations malgré le fait que l'expertise du véhicule à eu lieu par leur expert mandaté et que l'expert m'a donné son feux vert pour les réparations.
Maintenant que les réparations sont faites (plus d'un mois après l'expertise)toutes les excuses sont bonnes pour faire traîner le paiement des réparations au garage et donc me bloquer le véhicule pour m'empêcher de partir en vacances avec.
Il n'est apparement pas normal de posséder un Porsche Cayenne hybride, je me demande qu'elle est le problème ? Mes origines ou mon âge ? Je dis ça car maintenant on me demande de prouver la provenance des fonds avec lesquels j'ai acheté le véhicule soit disant pour lutter contre le blanchiment d'argent et contre le financement du terrorisme alor que je ne toucherais pas un euro de l'indemnisation vu que je me suis rendu dans un garage agréé pour ne pas à avoir à avancer les frais.
Je dois donc fournir un avis d'imposition,une fiche de paie,un relevé de compte et j'en passe... ce que j'ai fait mais la! comme par hasard le siège ne reçoit jamais mes documents ou n'arrive pas à ouvrir les mails alor que je les transmets directement via une agence MATMUT et pour être sûr de la bonne réception c'est à moi d'appeler tous les jours pour vérifier qu'ils on bien réceptionné mes documents au fax.
Une fois les documents reçu on me donnes un délai de traitement de plusieurs semaines ( la belle excuse du Covid19)et on me dits que l'on me tiendra au courant par courrier et qu'il est possible que l'on me demande d'autre documents ou comment j'ai acheté mes véhicules précédents également.
( pendant que mon véhicule est lui toujours bloqué au garage en périodes de vacances d'été).
Touts ces documents qui ne m'on jamais été réclamé à la souscription du contrat ni des précédents .
Je ne suis pas contre le fait de surveiller le blanchiment d'argent et le financement du terrorisme (même si je ne vois pas en quoi c'est le rôle d'une assurance) mais la c'est clairement des excuses pour faire traîner le dossier et pour ne pas indemniser.
J'ai contacté un avocat spécialisé en droit des assurances qui est partant pour prendre le dossier en main car c'est apparemment un comportement récurrent de la part de la MATMTUT mais cela engage encore une avance de frais pour moi en plus d'avoir du prendre le train avec ma famille puis de louer une voiture sur mon lieux de vacances. 
Maintenant le garage m'annonce qu'il ferme pour le mois d'août et que si les réparations ne sont pas payé avant mon véhicule serat bloqué jusqu'à septembre.
MATMUT avez vous des explications à fournir à vos sociétaires ou futurs sociétaires sur ce genre de comportement ?
N.D
Dossier  N/Réf : 20 0M 92018 E - 76P1-G
</t>
  </si>
  <si>
    <t>20/07/2020</t>
  </si>
  <si>
    <t>hama-johann-a-105225</t>
  </si>
  <si>
    <t xml:space="preserve">des très bon prix pratique  facile d'utilisation je suis content qu'on ma conseiller de m'assurer chez vous continuer comme ca moi j'aime bien et que dieu vous garde </t>
  </si>
  <si>
    <t>phil-100360</t>
  </si>
  <si>
    <t>impossible d'avoir un traitement des demandes par téléphone, attente &gt; 25 mn, pour se faire raccrocher au nez ensuite 
4 appels le 20/11/2020 matin et 4 appels le 19/11/2020 après midi !!!!
DEPLORABLE</t>
  </si>
  <si>
    <t>20/11/2020</t>
  </si>
  <si>
    <t>clement-49873</t>
  </si>
  <si>
    <t xml:space="preserve">Vérifier VOS APPELS DE COTISATIONS :
appel de cotisation 2017
le revenu mentionné est supérieure de 1000€ a celui figurant sur mon avis d'imposition. je fais un mail au service client en indiquant mon revenu brut global et le revenu fiscal de référence tout 2 inférieur de 1000€ au montant de référence figurant sur l'appel de cotisation.
Je m'attendais à une réponse se fondant sur les informations que j'ai communiqué.
Réponse : une simple redite de l'appel de cotisation " votre cotisation est calculée sur la somme de ... et d'un taux de ...MERCI. aucune réponse à ma question sur l'écart de 1000€.
C'est ce moquer du monde.
j'ai relancé en demandant une réponse sérieuse </t>
  </si>
  <si>
    <t>04/12/2016</t>
  </si>
  <si>
    <t>marco-110522</t>
  </si>
  <si>
    <t>je ne met que 1 étoile car 0 ce n'est…
je ne met que 1 étoile car 0 ce n'est possible. à fuir !!!
ils vont tout faire pour ne pas vous assurer une fois payé ou bien ils vont tout faire pour augmenter les cotisation!!! des amateurs dans l'assurance. service lamentable et pas sérieux du tout. je préfère perdre l'argent déjà paye et passer chez un vrai assurer.... je n'imagine même pas que ca va donner en cas de sinistre. De toute évidence, cette assurance est de mauvaise foi ... Je vais contacter donc un service consommateur.</t>
  </si>
  <si>
    <t>15/04/2021</t>
  </si>
  <si>
    <t>bianchi-b-123722</t>
  </si>
  <si>
    <t xml:space="preserve">je suis satisfait du service et de la personne qui ma appeler je suis un nouveau client j'espère être satisfait durant notre collaboration merci pour tout    </t>
  </si>
  <si>
    <t>jph-87484</t>
  </si>
  <si>
    <t>je suis très déçu de cette mutuelle santé qui nous rembourse nos frais médicaux au bout de plusieurs mois avec un tas de problèmes a tous les potentiels clients je leur dit ne vous inscrivez surtout pas a Néoliane santé c'est un désastre M H</t>
  </si>
  <si>
    <t>vincent-d-124095</t>
  </si>
  <si>
    <t>Les prix me satisfont par contre il m'a été impossible de changer de voiture sur votre site. j'au du passé par lelynx.fr les modalités pour changer de  voiture ne sont donc pas des plus simples</t>
  </si>
  <si>
    <t>21/07/2021</t>
  </si>
  <si>
    <t>yann-r-134905</t>
  </si>
  <si>
    <t>je suis satisfait du service et du prix. Facile et rapide avec la signature électronique. je recommande se service sans hésitation. rapide simple et efficace.</t>
  </si>
  <si>
    <t>bloup66-61574</t>
  </si>
  <si>
    <t xml:space="preserve">J'ai souscrit à la formule confort + pour mon spitz nain Meiko.
J'ai été surprise par la rapidité du remboursement pour les frais de la vaccination. 
À voir dans les futurs demandé de remboursement mais je fais confiance à l'assureur compte tenu de leur intérêt à satisfaire leurs clients. </t>
  </si>
  <si>
    <t>19/02/2018</t>
  </si>
  <si>
    <t>maloloamoi-53068</t>
  </si>
  <si>
    <t>Cette mutuelle est une horreur ! Je passe mon temps à batailler avec eux, pour tout (pour les remboursements, pour un changement de compte banquaire de prélèvement dont le RIB leur a été envoyé plusieurs fois en recommandé depuis deux ans, pour des cotisations prélevées deux fois chaque mois...) . Depuis des mois et des mois je dois les contacter une à deux fois par mois pour les mêmes soucis qui restent, qui malgré mes nombreuses relances par téléphone et par lettre recommandée avec accusé de réception persistent ... Et tous les mois la réponse du conseiller au bout du téléphone est la même : c'est bon nous avons réglé votre problème, et tous les mois suivant je me rend compte que ce n'est pas vrai. Bref je suis très en colère et un peu découragée mais si je peux faire qu'une personne ne tombe pas dans cet enfer en adhérent à la MGEN cela me remontera un peu le moral... à bon entendeur... pour ma part je m'en vais les rappeler sur le champ...</t>
  </si>
  <si>
    <t>08/03/2017</t>
  </si>
  <si>
    <t>emelie-39838</t>
  </si>
  <si>
    <t>Bonjour client chez active assurances depuis plus d'un an, je n'avais pas à me plaindre puisque le prix était le moins cher du marché.
Mais depuis le mois de mai j'essaye de souscrire un contrat pour un autre véhicule mais encore à ce jour rien ( soit 3 mois que j'attend), appels au service clients : RIEN, mails : nous allons transmettre , résultat : RIEN. A bout, aujourd'hui j'attend qu'ils me donnent mon coef bonus pour valider ma souscription à un concurrent car depuis 1 mois je ne peux plus avoir accés à mon compte personnel ( bizzare) .
Evité cette assurance, dès que je peux je résilie l'assurance du véhicule assuré déjà chez eux.</t>
  </si>
  <si>
    <t>31/07/2017</t>
  </si>
  <si>
    <t>alexandre-l-123183</t>
  </si>
  <si>
    <t xml:space="preserve">Pour l'instant tout vas bien, on verra bien avec le temps ce que ça donne car c'est une première souscription pour moi.
En tout cas niveau tarif je conseil vivement. </t>
  </si>
  <si>
    <t>12/07/2021</t>
  </si>
  <si>
    <t>nono62-68130</t>
  </si>
  <si>
    <t>Bonjour. J'ai basculé toutes mes assurances chez eux. même mon compte salaire bourse assurance-vie.
Le seul pépin que je déclare et on me prends pour une vache à lait et un idiot.
Je commence à comprendre le pourquoi des réclamations des gens sur ce site.
Pour une histoire de 2000 euro on refuse de prendre en compte par mauvaise foi: garantie tous risques sur les biens immobiliers . Sauf qu'on invente des excuses pour ne pas payer.Un seuil de carrelage non gélif n'est pas à l'abri des chocs cachés. Qu'en sera-t-il de sommes plus importantes à prendre en charge et jusqu'à 5 millions  en RC ?
J'aimerai qu'on m'explique car dans l'attente d'aller plus loin.</t>
  </si>
  <si>
    <t>26/11/2018</t>
  </si>
  <si>
    <t>ambiance-56686</t>
  </si>
  <si>
    <t>Cela fait maintenant plus de 6 mois (souscription en janvier) que j'ai souscris une assurance auto chez vous. Après de multiples échanges par mail avec le service client, j'ai ENFIN reçu ma carte verte plus de 6 mois après souscription et paiement de l'année de cotisation. Personne n'étant capable de me faire une nouvelle carte verte provisoire, j'ai roulé ainsi plus d'un mois sans être assurée alors que la cotisation annuelle a été payée depuis janvier quelques jours après les premiers échanges et les documents envoyés en suivant ! Les personnes inventent à chaque appel passé que les documents nécessaires n'ont pas été envoyés, or, les envois ont été faits à maintes reprises (mails et recommandés à l'appui). Bizarrement, lors de la souscription, personne ne m'a embêtée lorsque plus de 1 000 euros de cotisation annuelle m'ont été prélevés, c'est inacceptable ! Par ailleurs, l'attente au téléphone, peu importe l'heure, est interminable, les personnes qui répondent vous baladent en faisant croire que vous êtes fautif pour finalement ne jamais avoir de réponse à vous apporter ou répéter la même chose. Les délais de traitement des mails sont horribles pour une assurance en ligne ! J'ai toujours été satisfaite des assurances en ligne mais pour rien au monde je ne vous recommanderai à mon entourage.</t>
  </si>
  <si>
    <t>16/08/2017</t>
  </si>
  <si>
    <t>sportmeca-86066</t>
  </si>
  <si>
    <t xml:space="preserve">Suivis client pas suffisant pas assez de considération du client t en qu on paie c est bien des qu on as des sinistres même des non responsables ils renouvellent pas les contrats c est dommage il faut payer mais surtout pas que eux paye des sinistres </t>
  </si>
  <si>
    <t>18/01/2020</t>
  </si>
  <si>
    <t>kowalski-c-137961</t>
  </si>
  <si>
    <t>Je suis satisfait des services… Les prix me conviennent… Simple et pratique. Quelque difficulté par rapport à la signature électronique. Mais une bonne réactivité du service renseignement.</t>
  </si>
  <si>
    <t>janosch--c-110305</t>
  </si>
  <si>
    <t xml:space="preserve">Je ne sais pas encore, comment se déroule votre service, mais un plusse pour vous ! C'était simple et rapide l'inscription et la relation téléphonique avec le vendeur </t>
  </si>
  <si>
    <t>13/04/2021</t>
  </si>
  <si>
    <t>elektra63-91720</t>
  </si>
  <si>
    <t xml:space="preserve">service client Nul, mon frere est décédé il y a 15J, je découvre un chèque de 605€ non encaissé en reglement d 'un sinistre de décembre 2015. je demande la rémission d'un chèque, refus catégorique de la MAAF - Nul , mon frère a été malade pendant 7 ans et a lutté contre le cancer , il n'était pas toujours chez lui; plus souvent à l'hopital ce qui explique de chèque non encaissé... </t>
  </si>
  <si>
    <t>21/06/2020</t>
  </si>
  <si>
    <t>max-135061</t>
  </si>
  <si>
    <t xml:space="preserve">Ce qui serait bien  c'est que vos conseillers parlent correctement aux clients par téléphone ! Et qu'il y ait une considération .. quand on vous demande de rappeler fin septembre pour revoir votre cotisation et que votre conseillère nous envoie ballader parce Qu elle s en fiche , y a pas de problème mais que cette dame s estime heureuse à ce jour d avoir un travail car sans nos cotisations elle pourrait pointer à pôle emploi !!! C'est honteux </t>
  </si>
  <si>
    <t>29/09/2021</t>
  </si>
  <si>
    <t>gin59-87078</t>
  </si>
  <si>
    <t xml:space="preserve">Je suis très satisfait de l'entretien téléphonique que j'ai eu avec Mr gomez diego personne très aimable et de très bon conseil. Il a repondu correctement a tout mes questions Je souhaite que toutes les équipes chez NEOLIANE aient le même professionnalisme il m a derige vers la bonne propostion neoliane inital niveau 3 j ai compare avec ce que j ai avec ma mutuelle actuelle j ai trouve que pour des bonnes remboursement je vais payer moins cher. Encore grand merci à lui.je donne 10/10 a ce monsieur </t>
  </si>
  <si>
    <t>12/02/2020</t>
  </si>
  <si>
    <t>jproy200-88033</t>
  </si>
  <si>
    <t xml:space="preserve">REACTIVITE POSITIVE, les prix sont négociés régulièrement  </t>
  </si>
  <si>
    <t>papara-s-112595</t>
  </si>
  <si>
    <t>je suis satisfait du service, de la qualité des personnes qui m'ont informer et effectuer mon contrat et le niveau du prix satisfait. Merci bien l'Olivier assurance</t>
  </si>
  <si>
    <t>clembreitz-52577</t>
  </si>
  <si>
    <t xml:space="preserve">j'ai rejoint cette mutuelle en début et je suis satisfaite car je suis vraiment bien remboursée, je passe de la MAAF à NEOLIANE et ma prise en charge pour mes lunettes par exemple n'est plus du tout la même !! </t>
  </si>
  <si>
    <t>20/02/2017</t>
  </si>
  <si>
    <t>nessa-79627</t>
  </si>
  <si>
    <t>Contact téléphonique rapide. Service client professionnel, courtois, jovial et souriant. Explications et informations claires et rapides de la part de LAILA.</t>
  </si>
  <si>
    <t>ajouv598-98974</t>
  </si>
  <si>
    <t>Assurance assez élevée mais qui est absolument minable en cas de sinistre, suite à un sinistre ( agent mairie qui a traversé notre clôture) l’expert mandaté pour soit disant nous représenter nous as enfoncé résultat nous ne pouvons même pas refaire notre clôture malgré les différents devis matériaux prouvant que l’expert a tort.
A FUIR</t>
  </si>
  <si>
    <t>20/10/2020</t>
  </si>
  <si>
    <t>myriam-g-113899</t>
  </si>
  <si>
    <t xml:space="preserve">JE SUIS SATISFAIT DU SERVICE,RAPIDE ,SIMPLE ;TRES BONNE CORRESPONDANCE TELEPHONIQUE.GUIDE EN LIGNE JUSQU A LA FIN DE LA REALISATION DU CONTRAT 
A VOIR POUR LA SUITE </t>
  </si>
  <si>
    <t>maaaaarie-104122</t>
  </si>
  <si>
    <t>J'ai été assuré pendant des années sans aucun problème de paiement, aucun accident, rien. Bonus 0.54. 
Je suis partie un temps à l'étranger et mon ami a repris le paiement des cotisations. Pendant le covid, il s'est retrouvé au chômage. Deux cotisations ne sont pas passées. Il ne m'a rien dit, je l'ai appris par hasard alors qu'on devait 110 euros. J'ai appelé l'assurance pour faire le paiement, ils m'ont dit que c'était trop tard (c'était le dernier jour), qu'ils résiliaient mon contrat. 
Ils ont refusé mon paiement de 110 euros en me demandant 600 euros, la totalité de la somme restante jusqu'a la date anniversaire du contrat, sans reprendre l'assurance de mon véhicule évidemment. 
Si vous cherchez une assurance sans coeur qui ne tient pas compte d'un soucis exceptionnel comme celui-là en pleine crise sanitaire, vous avez frappé à la bonne porte ! Direct assurance, c'est l'assurance de vous faire traiter comme de la crotte meme si vous êtes un bon client qui n'a jamais eu de soucis.</t>
  </si>
  <si>
    <t>loloex-51367</t>
  </si>
  <si>
    <t>Encore une super belle rémunération pour mon contrat AFER ! depuis 7 ans je n'ai qu'à me réjouir d'avoir été parrainé par mes parents ..Trés loin devant ses concurrents une fois encore avec 2,65% nets ! 
Mon livret A ..il y a longtemps qu'il est fermé ..</t>
  </si>
  <si>
    <t>18/01/2017</t>
  </si>
  <si>
    <t>naima-52349</t>
  </si>
  <si>
    <t>Assuree depuis 2009 un seul sinistre le 24.12.16 et jusqu'à aujourd'hui sachant que je suis en tt risque on me balade et mon vehicule toujours pas réparé une franchise de fou et pas de prêt de véhicule</t>
  </si>
  <si>
    <t>12/02/2017</t>
  </si>
  <si>
    <t>taklit-a-117507</t>
  </si>
  <si>
    <t xml:space="preserve">Super très bonne accueil téléphonique satisfaits du tarifs je recommanderai sans hesiations à mes proches amis famille bonne continuation à toute l équipe 
</t>
  </si>
  <si>
    <t>paul-p-105767</t>
  </si>
  <si>
    <t xml:space="preserve">On est satisfait apres un litige BIEN REPARE
Ceux qui vous coutent RIEN comment peuvent ils etre satisfaits ?
Il seraient satisfaient si  la cotisation etait reajustée .*
</t>
  </si>
  <si>
    <t>dirassurclientdecu-50505</t>
  </si>
  <si>
    <t>service déplorable. Injoignables depuis près d'un mois. prix excessif alors que je ne suis même pas en tous risques.</t>
  </si>
  <si>
    <t>20/12/2016</t>
  </si>
  <si>
    <t>marcel-27970</t>
  </si>
  <si>
    <t xml:space="preserve">je suis satisfait du service  et de la facilité de communication.
toute mes assurances sont regroupées chez vous.
les membres de ma famille sont également assurés chez vous
</t>
  </si>
  <si>
    <t>delil-c-121401</t>
  </si>
  <si>
    <t xml:space="preserve">je suis satisfait ca c'est fait tres vite, en attendant j'espere juste ne pas avoir de surprise concernant ma demande d'assurance chez april moto, sinon bon rapport qualité pirx </t>
  </si>
  <si>
    <t>28/06/2021</t>
  </si>
  <si>
    <t>ahmet-s-105519</t>
  </si>
  <si>
    <t>Incroyable service client, je n'ai rien dire ils sont exceptionnel. Réactivité , service respectueux tout juste ce que j'aime. Pas de chichi quand j'effectue un changement réponse en max 15 min</t>
  </si>
  <si>
    <t>rasiguere-78667</t>
  </si>
  <si>
    <t>mon irritation vis à vis d'Axa vient du comportement de l'agence Debourge à Canet en roussillon avec ma voisine lors d'un cambriolage, elle a 93ans , Debourge et une secrétaire ont été odieux.</t>
  </si>
  <si>
    <t>24/08/2019</t>
  </si>
  <si>
    <t>guytout-72330</t>
  </si>
  <si>
    <t>Je suis globalement assez satisfait de mon nouvel assureur auto !</t>
  </si>
  <si>
    <t>jococo-101239</t>
  </si>
  <si>
    <t>Je suis prélevé depuis 3 ans de 60 € sur un bien vendu. Une honte. impossible à joindre on doit passer par la banque lcl qui a fait le nécessaire. 
C'est eux qui me doivent de l'argent presque 2000€</t>
  </si>
  <si>
    <t>LCL</t>
  </si>
  <si>
    <t>10/12/2020</t>
  </si>
  <si>
    <t>rodo-66563</t>
  </si>
  <si>
    <t>ATTENTION : faux démarchage par téléphone. Ils vous font croire à des indemintés dont vous avez droits pour vous faire signer un contrat qui n'a rien à voir.</t>
  </si>
  <si>
    <t>03/09/2018</t>
  </si>
  <si>
    <t>roman60-75819</t>
  </si>
  <si>
    <t xml:space="preserve">refuses de s'aligner au prix affiché sur les devis et refuses toute négociation poussant même a partir chez la concurrence, invraisemblable j'ai jamais vu un service client avec autant de mépris pour ses clients de longue date </t>
  </si>
  <si>
    <t>11/05/2019</t>
  </si>
  <si>
    <t>szodi-61233</t>
  </si>
  <si>
    <t xml:space="preserve">depuis 27 ans chez macif et quand je voulais assurer mon fils avec la voiture (malus1.25) déjà assuré chez eux, j'ai même demander conseil pour la nouvelle voiture chez macif en novembre pour ne pas avoir de surprise , il me conseil un 75 cv Clio 4 maximum pour le fils "ce que j'achète " , mais au mois de février la voiture arrive  et maintenant il refuse de l'assurer .
merci MACIF </t>
  </si>
  <si>
    <t>yoli-63300</t>
  </si>
  <si>
    <t>très satisfaite du retour du conseiller</t>
  </si>
  <si>
    <t>16/04/2018</t>
  </si>
  <si>
    <t>wiles-k-108069</t>
  </si>
  <si>
    <t>Beaucoup de renseignements au téléphone -, opératrice très agréable et patiente. 
explication de l'offre parrainage et de l'assurance multi auto ainsi que des 15% de réduction sur une assurance habitation.</t>
  </si>
  <si>
    <t>gege1952-55574</t>
  </si>
  <si>
    <t>j'ai eu le plaisir de contacter Peyrac Assurances pour choisir une assurance pour ma moto. je suis tomber sur une charmante jeune fille qui a pris du temps pour répondre à mes questions. après avoir comparé les prix et les garanties avec d'autres assurances, mon choix a vite été fait.
L'adhésion a été ultra rapide et j'ai eu les documents dans la minute.</t>
  </si>
  <si>
    <t>22/06/2017</t>
  </si>
  <si>
    <t>rachid-s-112328</t>
  </si>
  <si>
    <t xml:space="preserve">Clarté des devis.
réactivité des opérateurs.
Les devis sont simples et rapides.
Les prix affichés sont très raisonnables.
la présentation du site est claire et accessible.
</t>
  </si>
  <si>
    <t>antigone-82139</t>
  </si>
  <si>
    <t>je suis assurée depuis 24 ans, jusqu'à maintenant je n'avais jamais eu de problème, ni même d'accident de voiture et en plus je suis assurée tout risque. Au mois de septembre un bus à reculé dans ma voiture. et voici 3 mois que j'attends une réponse de la maïf. Le 1e souci et que l'expert mandaté n'est pas venu voir les travaux et à dit ok sauf que je dois les payer car la maif n'a pas fait le nécessaire</t>
  </si>
  <si>
    <t>20/12/2019</t>
  </si>
  <si>
    <t>evlimail-49589</t>
  </si>
  <si>
    <t>Service client catastrophique au téléphone, les chargées ont du mal à comprendre les demandes pourtant très claires et quand elle ne comprennent pas elle vous raccrochent au nez. Visiblement ça les embête de travailler au téléphone. Dans ce cas if faut changer de métier!</t>
  </si>
  <si>
    <t>26/11/2016</t>
  </si>
  <si>
    <t>yassine-71711</t>
  </si>
  <si>
    <t>A éviter à tout prix, service de merde , des emlpoyés impolis, en plus pour chaque de demande d'info il faut payer leur numéro de merde, aprés sinistre compter sur votre poche, aucune prise en charge , je suis vraimen</t>
  </si>
  <si>
    <t>27/02/2019</t>
  </si>
  <si>
    <t>myriam-b-126838</t>
  </si>
  <si>
    <t>Je suis satisfait simple et pratique parfait, je vais pour roulez serenement avec direct assurance qui m'a assurait rapidement merci à vous de votre confiance</t>
  </si>
  <si>
    <t>06/08/2021</t>
  </si>
  <si>
    <t>cecile-m-134185</t>
  </si>
  <si>
    <t>Pas évident de souscrire par internet quand on n'y connais pas grand chose. Mais pour mon assurance moto je suis tombé sur un motard sympathique. Au plaisir d'échanger avec vous pour de nouvelle assurance en espérant que tout se passe aussi bien qu'a la MAAF.</t>
  </si>
  <si>
    <t>marie-laure-m-135232</t>
  </si>
  <si>
    <t>Satisfaite du service santé april recommande cette mutuelle à tout mon entourage merci pour votre proposition de santé elle me convient très bien vus ma situation</t>
  </si>
  <si>
    <t>nadia-v-125779</t>
  </si>
  <si>
    <t xml:space="preserve">je suis entièrement Satisfaite de votre offre de service
de votre accueil
de votre réactivité
des alertes que vous nous faites de façon régulière systématiquement à chaque échéance  
</t>
  </si>
  <si>
    <t>31/07/2021</t>
  </si>
  <si>
    <t>lysiane-h-112978</t>
  </si>
  <si>
    <t xml:space="preserve">Content des services rendus
Bon site internet clair toujours disponible
Mais le temps d'attente au téléphne est bien trop long
A part ça tout va bien
</t>
  </si>
  <si>
    <t>patatz80250-98770</t>
  </si>
  <si>
    <t>Ouverte du dossier très  vite. Dégât rapidement traité 
 Le  remboursement a été effectué sous 3 jours une fois les réparations faites. Au top a recommander</t>
  </si>
  <si>
    <t>14/10/2020</t>
  </si>
  <si>
    <t>mk-85645</t>
  </si>
  <si>
    <t>bonjour
ma soeur avait souscrit un CONTRAT GARANTIE OBSEQUES, à son décès fin JUILLET 2019, nous avons contacté la MACIF, leur avons envoyé tous les documents requis, avons finalement décidé de régler les obsèques, devant leur inertie, et 5 mois plus tard, en dépit de mes relances, ils ne nous donnent aucune réponse.</t>
  </si>
  <si>
    <t>08/01/2020</t>
  </si>
  <si>
    <t>lb-131571</t>
  </si>
  <si>
    <t>Je viens de recevoir l accord sur le devis dentaire après un entretien téléphonique avec MARIAMA. En effet la demande avait été faite par mail et Je trouve dommage que l on doit téléphoner car les infos de suivent pas.</t>
  </si>
  <si>
    <t>elodie547-58324</t>
  </si>
  <si>
    <t>Les faits parlent d'eux-mêmes: tentative de vol sur mon véhicule, le dépanneur a mis plus de 2 h à arriver (premier engagement non respecté), mon véhicule a été amené chez un dépanneur un dimanche et la conseillère m'a indiqué qu'ils avaient 48h pour trouver un garage partenaire. FAUX ! Ils n'ont pas trouvé de garage partenaire pendant 1 mois (deuxième engagement non respecté), ont transféré mon véhicule dans une casse pour faire l'expertise (qu'ils appellent centre d'expertise) contre mon gré (mon véhicule a été entreposé au milieu des véhicules stockés pour démolition pendant des semaines), ils ont ensuite transféré mon véhicule chez un garage partenaire 1 mois plus tard avec un rapport d'expertise incomplet (besoin de faire une demande de complément d'expertise pour la portière endommagée), donc encore 1 mois d'attente pour les réparations, soit 2 mois sans véhicule et sans prêt de véhicule (malgré l'option de prêt de véhicule payée pendant les 2 mois d'attente) pour 1,5 jours de travaux sur le véhicule. Leur réponse à mon mécontentement pour le délai : je n'avais qu'à choisir mon garage (quand on m'a annoncé 10 jours plus tard après m'avoir fait croire qu'ils trouveraient un garage rapidement qu'ils ne savaient pas quand ils trouveraient un garage) et faire l'avance des frais, ce que j'ai bien sûr refusé, vu les délais de remboursement indiqués par les internautes. Ils m'ont même dit que si je choisissais un garage maintenant, je devais payer aussi les frais de gardiennage mais ne pouvaient pas me dire quand ils trouveraient un garage partenaire ! Ensuite, j'ai dû moi-même appelé l'expert pour le complément d'expertise, fournir la facture du garage au cabinet d'expertise, appeler le garage pour être tenue informée, appeler l'assistance pour être tenue informée des recherches de garage, la gestionnaire de mon dossier ne m'a jamais tenue informée de rien à part pour me dire "votre demande a été transmise à l'assistance, je n'ai pas de réponse à ce jour", elle ne sait rien faire ni répondre d'autre. Et j'ai finalement retrouvé mon véhicule au bout de 2 mois avec les réparations initiales effectuées mais avec la portière endommagée par leur dépanneur pendant le remorquage. J'ai fait une réclamation qui à ce jour (2 mois plus tard, n'a toujours pas été traitée et mon véhicule n'est donc toujours pas réparé). J'ai évidemment résilié mon contrat chez eux. Un responsable que j'ai eu après m'être battue des heures au téléphone (car sinon ils sont injoignables) m'avait promis un geste commercial pour le préjudice subi mais comme toutes leurs promesses, elle n'a pas été respectée (sous prétexte que j'ai résilié mon contrat). Ils affirment sur leur site qu'ils remboursent 100 euros s'ils ne respectent pas leurs engagements mais ils oublient de dire qu'ils vous verseront (peut-être) ces 100 euros uniquement si vous vous réengagez 1 an chez eux et à compter du renouvellement du contrat. Pour ce qui est des prix, oui ils sont moins chers que d'autres mais sont les seuls à proposer une franchise variable (ce qui revient beaucoup plus cher en cas de sinistre, ce n'est pas un détail) et ils augmentent les prix sans informer leurs clients ! Je me suis retrouvée avec des mensualités augmentées et quand j'ai appelé on m'a dit que c'était dû à l'augmentation du taux de sinistres ! Je n'ai jamais été informée de cette augmentation. Enfin, si vous cherchez bien, d'autres assureurs avec une meilleure réputation proposent des tarifs équivalents avec de meilleurs garanties (franchise fixe et moins élevée notamment). Pour ceux qui ne le savent pas, Direct Assurance fait partie du groupe AXA...</t>
  </si>
  <si>
    <t>24/10/2017</t>
  </si>
  <si>
    <t>frank-l-115959</t>
  </si>
  <si>
    <t xml:space="preserve">JE SUIS SATISFAITE DE CETTE ASSURANCE 
LES EXPLICATION SONT SIMPLE 
LE PRIX ME CONVIENT 
SIMPLE ET RAPIDE 
JE RECOMMANDE CETTE ASSURANCE 
TRES PRATIQUE
 </t>
  </si>
  <si>
    <t>obliteratedsoul-52826</t>
  </si>
  <si>
    <t>En invalidité 2eme catégorie depuis Septembre 2016, l'AG2R doit verser un complément en plus de la CPAM, je n'arrive pas à faire valoir mes droits, mon employeur à fait le nécéssaire et il n'y a toujours aucun versement malgré des visites fréquentes du médecin expert et des courriers contradictoires. Le service client ne dit pas la même chose d'un appel à l'autre et m'a expliqué n'avoir qu'un pouvoir limité de consultation sur mon dossier. En attendant je n'ai que les 380euros de cpam par mois pour vivre ...</t>
  </si>
  <si>
    <t>27/02/2017</t>
  </si>
  <si>
    <t>antoine2611-70703</t>
  </si>
  <si>
    <t>Bonjour,
Assuré tous risques chez direct assurance,je me suis fait emboutir ma voiture dans la rue (j'ai porté plainte au commissariat, preuve de ma bonne fois).L'expert (cabinet BCA expertise) a conclu que je mentais et que j'avais eu un accident (
(son analyse semble couler de source mais ne tient pas compte d'éléments évidents confirmant mes dires -à se poser des questions sur l'impartialité de cet expert). Direct assurance ne prend donc pas en charge la réparation. Je cherche à présent à faire une contre expertise (à mes frais évidemment) mais aucune réponse de Direct Assurance depuis 6 semaines malgré mes nombreux appels et les 4 recommandés de mon avocat (oui j'ai pris un avocat!). Aucun service clients chez cet assureurs mais un call center à l'étranger qui s'engage à vous rappeler mais ne vous rappelle jamais (sans doute une politique en interne pour décourager les assurés) 
J'avais prix une assurance tous risque formule confort et résultat je conduis une voiture endommagée depuis deux mois avec de l'air qui rentre dans l'habitacle (me fille de deux mois est tombé deux fois malade et je suis obligé à présent de louer une voiture en attendant que Direct assurance daigne me répondre (oui avec les frais d'avocats j'ai largement dépassé les frais de réparation de la voiture mais j'en fait une question de principe). J'ai été obligé d'engager un avocat, à grands prix pour faire valoir ma bonne fois. Les premières analyses de l'expert indépendant contacté par mon avocat sont édifiantes sur la qualité du rapport d'expertise mandaté par Direct assurance. l'expert a fait un rapport à charge ne tenant pas compte d'éléments évidents attestant mes dires. Sans réponse de direct assurance, mon avocat se doit d'assigner Direct Assurance... la formule "pack confort" prend tout son sens...
Un conseil à tous : à vouloir économiser quelques euros, et malgré une formule tours risque "confort", vous devrez au moindre problème, vous battre avec des experts partiaux, des call center qui ne répondent pas, dépenser des frais d'avocats et votre contrat ne sera jamais appliqué! Bref assureur à fuir!</t>
  </si>
  <si>
    <t>29/01/2019</t>
  </si>
  <si>
    <t>olinski-m-111053</t>
  </si>
  <si>
    <t>tarif revu à la hausse suite à un vol de voiture dont je ne suis pas responsable, 70 € supplémentaire sur l'année, attendre 3 ans pour un sinistre non responsable, pour retrouver un tarif normal.....</t>
  </si>
  <si>
    <t>ode-79861</t>
  </si>
  <si>
    <t xml:space="preserve">On "oublie" de vous parler des exclusions de la couverture mobiliere et des options existantes. Resultat vous n etes jamais assure en realite  ! 
Faites TOUT ecrire noir sur blanc notamment sur les contrats de couverture juridique  !!! </t>
  </si>
  <si>
    <t>21/10/2019</t>
  </si>
  <si>
    <t>antonin-g-110963</t>
  </si>
  <si>
    <t>prix correct, très facile et rapide pour souscrire à son contrat, des options plutôt interessantes, pour une assurance moto je recommande sans problème</t>
  </si>
  <si>
    <t>19/04/2021</t>
  </si>
  <si>
    <t>pvt-90855</t>
  </si>
  <si>
    <t xml:space="preserve">Mon taux de satisfaction concernant cette prévoyance est proche de l'azote liquide c'est-à-dire - 196
Que dire de cette entité (ayant la gestion de tous les intérimaires de France) si ce n'est que son matelas financier doit être d'une épaisseur monumentale c'est en autre une complémentaire qui ne complète absolument rien en cas de problème rencontré…
Intérimaire depuis de très très longues années je cotise tous les mois (12 mois sur 12) à cette complémentaire.
Accident de travail (pendant la mission) le 15 mars 2020, je perçois de la part de la SECU une I-J de 53,89 brut par jour pendant les 28 premiers jours, ayant une moyenne mensuelle de salaire de plus de 2750 euros brut (45h00 de nuit par semaine + 13ème mois).
J'appelle leur service et une personne à qui j'explique que 53€ de la secu ne couvre absolument pas ma perte de salaire, celle-ci a l'outrecuidance de me dire : ne vous plaignez pas il y en a qui touche 5€ par jour…
Ce à quoi je lui réponds qu'en travaillant 45h00 de nuit par semaine cette indemnité journalière est proportionnelle à ce que je touche et cotise mensuellement, que l'AG2R en définitive n'est ni plus ni moins qu'une complémentaire qui ne complète rien…  
Le 23 avril 2020, je reçois un mail me disant : Nous vous avons réglé à tord un montant de 300€, nous vous avons déduit 37,90€ sur les prestations dues pour la période allant du 19/03 au 15/04.
Là, je reste dubitatif on me demande de rembourser une somme que je n'ai même pas touché puisque je n'ai pas reçu de chèque... 
Le 02 juin 2020, rappel d'AG2R par mail : nous vous rappelons que vous nous restiez redevable d'un montant de 262,10 euros blablabla, alors que j'ai joint leur service pour leur dire que je n'encaisserai pas ce foutu chèque...
Je commence à être excédé de l'attitude laxiste (pour être poli) de cette entité qui fait la sourde oreille à toutes demandes en restant dans un flou artistique afin de noyer le poisson dans le bocal et ainsi engranger des sommes indécentes, enfin il est tant que les choses changent et à la vue de ces multiples témoignages allant dans un sens unique à savoir du négatif et du négatif.
A bon entendeur…
</t>
  </si>
  <si>
    <t>camus-b-113164</t>
  </si>
  <si>
    <t>Assurance idéale pour jeune permis, un service client très réactif et compréhensible, j'ai été pris en charge plusieurs fois en sachant parfaitement de quoi nous parlions. Je recommande</t>
  </si>
  <si>
    <t>dall'agnola-a-115358</t>
  </si>
  <si>
    <t>Plateforme intuitive, prix attractif. J'ai connu cette assureur par le lynx, et il m'a fais économiser plus de 600€ sur mon ancien contrat de voiture. Je recommande.</t>
  </si>
  <si>
    <t>30/05/2021</t>
  </si>
  <si>
    <t>kakys-59706</t>
  </si>
  <si>
    <t>A éviter! Je vais résilier les 3 contrats d'assurance que j'ai souscrits chez eux. Ils font un prix d'appel pour une nouvelle assurance auto mais personne ne spécifie quand vous souscrivez que ce tarif n'est valable qu'un mois! Quelle surprise quand je reçois mon appel a cotisation majoré de presque 150€...! La conseillère que je viens d'avoir au téléphone me dit que ce n'est pas du vol, je n'avais qu'à lire les conditions générales!</t>
  </si>
  <si>
    <t>15/12/2017</t>
  </si>
  <si>
    <t>bidouresse76-65868</t>
  </si>
  <si>
    <t xml:space="preserve">Adhérente depuis plus de 40 ans au GMPA, je dépends d'ALLIANZ pour le dédommagement d'une demande d'IAD. Pour la seconde fois, je ne suis pas éligible à cette prime. Ceci se comprend aisément : GMPA dans son glossaire évoque l'IAD simplement sur le caractère d'aptitude professionnelle. Il en va tout autrement pour ALLIANZ qui, dans son guide de prévoyance, ajoute la notion de DEPENDANCE. Son libellé figure sur le site du GMPA au titre de la PTIA. D'ailleurs le certificat médical à compléter pour demande d'IAD, inscrit les aptitudes employées pour définir le niveau G.I.R. (Groupe Iso Ressources), utilisé pour évaluer le niveau de dépendance. Même si je suis déboutée une nouvelle fois, je vais appeler l'attention du Secrétaire Général de l'Autorité de Contrôle Prudentiel et de Résolution (ACPR). Vous pouvez la saisir soit par LRAR, soit directement par mail. Il existe 2 imprimés, dont l'un concerne les assurances. Le BRA (Bureau des Relations avec les Assurés) a rappelé que : "les exclusions devaient être clairement définies dans les contrats afin de permettre aux souscripteurs de connaître exactement l'étendue de leurs garanties. A défaut, il a précisé que les EXCLUSIONS NE POUVAIENT ETRE OPPOSEES AUX ASSURES. Il attire aussi l'attention des assureurs sur le fait que la TERMINOLOGIE employée dans les contrats se doit d'être CLAIRE. </t>
  </si>
  <si>
    <t>30/07/2018</t>
  </si>
  <si>
    <t>damien-l-128096</t>
  </si>
  <si>
    <t>Les services en ligne est Rapide  et efficace tous ce que l on souhaite au lieu d attendre au téléphone pendant des heures au tél que quelqu’un un veuille bien répondre …</t>
  </si>
  <si>
    <t>15/08/2021</t>
  </si>
  <si>
    <t>didier-a-130860</t>
  </si>
  <si>
    <t>C'était rapide et pratique  j'ai compris rapidement, je pense assuré aussi ma voiture principale 
c'était facile je conseille direct Assurance 
merci.</t>
  </si>
  <si>
    <t>angie93699-71453</t>
  </si>
  <si>
    <t xml:space="preserve">Attention le conseiller au téléphone vous sermonne si vous ne prenez pas le contrat chez eux
Très insistants ils m appellent  20 fois par semaine pour au final quand je leur ai dit que j avais pris ailleurs être très désagréable </t>
  </si>
  <si>
    <t>19/02/2019</t>
  </si>
  <si>
    <t>jean-pierre-v-124018</t>
  </si>
  <si>
    <t>Je ne suis pas satisfait a la suite de mon premier sinistre non responsable 2 mois ont passé et mon indemnisation n'ait toujours pas chiffrée. Il ne faut pas avoir de sinistre a déclarer dans cette assurance ou les interlocuteurs viennent d'une autre planète. Je vais résilier tous mes contrats chez eux.</t>
  </si>
  <si>
    <t>lilas-88896</t>
  </si>
  <si>
    <t xml:space="preserve">Comment ce fait il que comme par hasard trois fois de suite les documents pour être remboursé se perdent ? Ou et donc passé le bon fonctionnement de cette mutuelle ? Je pense sérieusement à en changer . J'ai une petite retraite d'agent de service et toute cette attente de remboursements avec plusieurs réclamations sont insupportables . </t>
  </si>
  <si>
    <t>15/04/2020</t>
  </si>
  <si>
    <t>fab-63545</t>
  </si>
  <si>
    <t xml:space="preserve">J'ai souscris une assurance pour mon pret habitat depuis 2007 et je suis tombé malade (burnout) depuis juillet 2015 en arret maladie régulièrement puis depuis avril 2016 mon medecin me prescrit un mi-temps thérapeutiques et en 2017 comme j'ai eu des difficultés financières mon conseiller banquaire a la bnp ma dit de faire une demande de prise en charge on me dit au telephone que mon dossier etait bon puis 2 mois apres on me dit que non car il fallait que j'ai 3 mois d'arrêt consecutif bref entre temps mon etat de sante c"est agraver et j'ai recue un courrier pour refaire une demande alors que maintenant je suis en arret depuis le 8 novembre 2018 jusqu'à ce jour et la on me ressort un autre prétextes comme quoi je site (la raison de votre arret entre dans une des clause d'exclusion du contrat d'assurance )j'ai l'impression qu'on se moque de moi je trouve que ses pas serieux alors a quoi elle sert cette assurance il attende que je me suicide cest pas normale je vais aller voir un avocat quant j'était en bonne santé j'ai jamais rien demandé je suis indigné par ces methode
 </t>
  </si>
  <si>
    <t>30/04/2018</t>
  </si>
  <si>
    <t>priska-r-117916</t>
  </si>
  <si>
    <t>Min devis passe de 322€ à 425€ en 24h. J’ai décidé donc d’annuler en prenant un peu de marge : souscription le 14/06 et résiliation le 30/06. J’ai payé 64,52€ et comme le contrat devrait être à 35,44€ par mois, ils ne me rembourse que 2,28€. CHERCHER L’ERREUR!</t>
  </si>
  <si>
    <t>charlotte--v-124315</t>
  </si>
  <si>
    <t>Prix correct et service au top. Devis explicite et nous laisse le choix rapidité de la transmission des documents. Service client efficace. Excellent rapport qualité/prix</t>
  </si>
  <si>
    <t>22/07/2021</t>
  </si>
  <si>
    <t>nagazi-w-108901</t>
  </si>
  <si>
    <t xml:space="preserve">Le Service client est particulièrement a l'écoute et donne de très bonne explication. Bravo! Les coûts sont très attractifs.
Tres satisfait. Je recommande. </t>
  </si>
  <si>
    <t>02/04/2021</t>
  </si>
  <si>
    <t>fanny-98412</t>
  </si>
  <si>
    <t xml:space="preserve">On m'a refilé cette assurance sans même m'avertir et derrière j'ai été prélevé sans rien pouvoir faire!! Je trouve ça scandaleux ! Les assurances ne devraient pas pouvoir reconduire sans demander l'autorisation </t>
  </si>
  <si>
    <t>moustapha-r-121593</t>
  </si>
  <si>
    <t>Je suis satisfait du service, les prix sont convenables, et je pense prendre mon assurance habitation et moto chez vous. Vous êtes les meilleurs sur le marché, je pense. BRAVO</t>
  </si>
  <si>
    <t>seraf-y-115642</t>
  </si>
  <si>
    <t xml:space="preserve">Je suis satisfait du service, personnel très à l’écoute et très sympa avec le meilleur prix je recommande même pour un jeune conducteur qui a du mal à comprendre toutes les paperasses </t>
  </si>
  <si>
    <t>dominique-s-109644</t>
  </si>
  <si>
    <t xml:space="preserve">Nous sommes très satisfaits du prix et surtout des conseils venant de vos collaborateurs ! aussi bien sur nos véhicules que pour notre habitation - Nous recommandons souvent de passer par Direct Assurances
Cordialement </t>
  </si>
  <si>
    <t>piedebout-l-116350</t>
  </si>
  <si>
    <t xml:space="preserve">Le prix de l'assurance est vraiment très intéressant.
Je suis vraiment très satisfait de cette assurance.
Je recommande l'olivier assurance.          </t>
  </si>
  <si>
    <t>bemerle-d-125909</t>
  </si>
  <si>
    <t xml:space="preserve">Je trouve juste que le tarif et légèrement élevé au vue de l’Annee du modèle de mon véhicule mais vous été au top et surtout le conseiller que j’ai eu au téléphone a était très pro </t>
  </si>
  <si>
    <t>geocari-55332</t>
  </si>
  <si>
    <t>Tout est bon pour refuser les prises en charge! : réponses 'officielles' totalement contraire à l'avis exprimé sur place par les experts; décisions unilatérales de la MACIF contraire au bon sens; vécu cela dans deux cas distincts; 
enfin assureur très difficile à atteindre</t>
  </si>
  <si>
    <t>13/06/2017</t>
  </si>
  <si>
    <t>vansevenant-s-137015</t>
  </si>
  <si>
    <t>Les conseillers au téléphone ont vraiment bien géré la situation, impliquant une séparation. Merci à toute l'équipe pour son implication et sa bienveillance</t>
  </si>
  <si>
    <t>eric-c-123285</t>
  </si>
  <si>
    <t>Votre plate forme est intuitive et agréable.
Le système de contrat de base + option est intéressant.
La facilité et la rapidité de souscription sont vraiment un plus</t>
  </si>
  <si>
    <t>marina-d-131878</t>
  </si>
  <si>
    <t>Je suis satisfaite de la rapidité de souscription.
Site facile d'utilisation, différentes propositions permettent de faire un choix aussi bien financier qu'en terme de couverture.</t>
  </si>
  <si>
    <t>adrien-86379</t>
  </si>
  <si>
    <t>Je suis satisfait de cet assureur ! je suis passé de 430 euros d'assurance chez une agence traditionenelle à 230 euros pour une offre en ligne, pour un meme service. Certes, il n'y a plus d'agence mais on ne va pas chez son assureur tous les jours ! 
Ma référence parrainage 30euros chacun : 5368331</t>
  </si>
  <si>
    <t>27/01/2020</t>
  </si>
  <si>
    <t>azzeddine-s-104942</t>
  </si>
  <si>
    <t>JE SUIS SATISFAIT DU SERVICE 
LE PRIX ME CONVIENNENT
SIMPLE ET PRATIQUE
EST AUSSI POUR LA ASSISTANCE DE L'ACCUEIL EST TRES GENTILLESSE DE SA CONVERSATION AIMABLE</t>
  </si>
  <si>
    <t>joao-54946</t>
  </si>
  <si>
    <t>Je suis client chez Direct Assurance depuis 3 ans, et j'en vois déjà de toutes les couleurs... Prix initiaux certes très attractifs, mais ils rattrapent vite leur retard ! En deux ans, 0 accidents, et augmentation de mes 3 contrats chez eux (2 contrats auto et 1 habitation) dont un de 200 euros !!! Le pire, c'est que cela se fait tout naturellement sans explications. De plus, service client déplorable, garanties pauvres, et erreurs de gestion !!! Bien évidement, toujours à leur avantage !!!</t>
  </si>
  <si>
    <t>28/05/2017</t>
  </si>
  <si>
    <t>madala--134352</t>
  </si>
  <si>
    <t xml:space="preserve">Véhicule sinistré , depuis fin août 
Toujours en sinistre fin septembre et en plus des frais de gardiennage à mes frais. Aucune indemnité pour le moment. Mais systématiquement les mêmes demandes de documents. 1 étoile car obligé. à fuir à tout prix! </t>
  </si>
  <si>
    <t>24/09/2021</t>
  </si>
  <si>
    <t>philippe-t-131808</t>
  </si>
  <si>
    <t>Je suis satisfait du tarif pratiqué.
C'est le deuxième véhicule que j'assure chez Direct Assurance, qui me convient parfaitement à tout point de vue (tarif et garantie).</t>
  </si>
  <si>
    <t>regis-95294</t>
  </si>
  <si>
    <t xml:space="preserve">Client prévoyance des indépendants depuis 2006 j'ai eu un seul arrêt   De 15 jours en 14 ans et la deux mois car je suis une  personne à risque je suis restaurateur je n'est pas pu faire de vente à emporter quand je tel  un coup ont me dit qu'il manque des documents , un coup ont me dit qu ils comprennent pas pourquoi j'ai pas été indemnisé, un coup mon dossier est pas pris en compte c'est navrant il y en a mare que les assureurs ne sont pas là quand ont a besoin !!!! </t>
  </si>
  <si>
    <t>27/07/2020</t>
  </si>
  <si>
    <t>sylvain-g-108302</t>
  </si>
  <si>
    <t xml:space="preserve">je suis satisfais du prix qui ma été propose par rapport au option choisi très bon rapport qualité prix. je recommanderais cette assurance Direct assurance.     </t>
  </si>
  <si>
    <t>28/03/2021</t>
  </si>
  <si>
    <t>rodge-64412</t>
  </si>
  <si>
    <t>HONTEUX ......malgré l envoi des documents (demandés par LCL) pour la résiliation d un contrat auto je suis toujours prélevé .Mon nouveau véhicule est assuré chez Pacifica</t>
  </si>
  <si>
    <t>02/06/2018</t>
  </si>
  <si>
    <t>max-107428</t>
  </si>
  <si>
    <t>Je ne recommande pas du tout cette mutuelle, elle vous augmente vos cotisations tous les ans, vous supprime des droits sans vous avertir (lettre de mise en demeure en cours), impossible d avoir des réponses ni même des interlocuteurs! A fuire rapidement!</t>
  </si>
  <si>
    <t>zoomer-54932</t>
  </si>
  <si>
    <t>Résiliation après  2 accidents non responsables, mais surtout après la contestation d'une réparation, malfaçons constatées à la reprise du véhicule, non réparation d'un choc à une roue et garagiste véreu qui lacéré une durite pour se venger de ne pas avoir réussi à me faire payer la location du véhicule censée être gratuite...merci eurofil</t>
  </si>
  <si>
    <t>27/05/2017</t>
  </si>
  <si>
    <t>sifedine-81445</t>
  </si>
  <si>
    <t>Bonsoir je m'appelle aissahine sifedine  mon numéro de référence es le 1950301 et mon numéro de sinistre le 2019746762 bonjour je suis assuré a l'olivier assurance en tout risque depuis 1an je me suis fait voler mon véhicule le 21 octobre 2019 jai envoyé tout les documents ainsi que la clés .attestation de vente.etc...l'expert doit apeller pour une proposition j'attends toujour es vue les commentaire je commence a m'inquiéter contacter moi rapidement  que je puisse bénéficier des privilège que l'assureur promet  en attendant sa fait plus de 1mois que je suis a pied !!!</t>
  </si>
  <si>
    <t>28/11/2019</t>
  </si>
  <si>
    <t>keddad-89251</t>
  </si>
  <si>
    <t xml:space="preserve">Assuré chez cette entreprise. J'ai subi un accident de voiture non fautif le 24/02/2020. Suite à cela l'entreprise a mandaté un expert qui a estimé le rachat du véhicule. Les documents envoyés , nous étions dans l'attente de la transaction. Sauf qu'avec le confinement les délais sont allongés, qu'il est impossible d'obtenir les documents demandés par l'assureur et Active assurance refuse de rembourser les mensualités prélevée et qu'elle continue de prélever. 
Une dame du service client m'avait pourtant assuré que tout serait remboursé à réception des documents et qu'il ne fallait pas s'alarmer. Discours complètement contredit aujourd'hui par le SC qui me raccroche au nez ! A fuir !
Il est totalement inacceptable de payer une assurance d'une voiture pour laquelle il est impossible de rouler ! </t>
  </si>
  <si>
    <t>29/04/2020</t>
  </si>
  <si>
    <t>lo-66464</t>
  </si>
  <si>
    <t>J'ai obtenu un devis très intéressant pour mon assurance de prêt comparé à ma banque. J'ai reçu mon contrat rapidement ce qui m'a permis de conclure mon projet immobilier dans les temps.</t>
  </si>
  <si>
    <t>Afi Esca</t>
  </si>
  <si>
    <t>30/08/2018</t>
  </si>
  <si>
    <t>mohanidas-104009</t>
  </si>
  <si>
    <t xml:space="preserve">Je deconseille cette assurance même si vous ete bon payeur et que vous ne faite pas d accident il vous jette tous sa parce que des gens de chez eux font des erreur de contrat.j ai jamais vu une assurance qui jette un assurer parce que des gens de chez eux font des erreur c est inadmissible </t>
  </si>
  <si>
    <t>sergio-t-112768</t>
  </si>
  <si>
    <t xml:space="preserve">peut faire mieux étant donné mon profil d'assuré....514 euros par an avec 50% de bonus depuis 9 ans je trouve que cela ne récompense pas suffisamment mon profil de bon client. </t>
  </si>
  <si>
    <t>jlnak-70420</t>
  </si>
  <si>
    <t>suite à un accident de scooter bien content d avoir souscrit à une assurance complémentaire qui m versé 900 euros sur mon compte net d impôt merci pour votre serieux et votre professionnalisme. Je recommande</t>
  </si>
  <si>
    <t>schmittbuhl-m-116028</t>
  </si>
  <si>
    <t>Des prix bas et une couverture globale correcte au vu des franchises mais la franchise bris de glace est bien trop élevée, c'est dommage elle devrait être modulée en fonction du niveau de franchise choisi.</t>
  </si>
  <si>
    <t>nard62-131568</t>
  </si>
  <si>
    <t xml:space="preserve">Très déçu par cette assurance!!! 
Je n’hésiterai pas à faire de la mauvaise pub auprès de mon entourage.
Scandaleux ce que j’ai vécu cet été avec ma femme et mes enfants !!!
Pour au final recevoir un vulgaire message négatif de leur part ????après avoir eu quand même 9 interlocuteurs différents.( la grosse blague ????) 
Ce qui est très agréable chez eux c’est la fin de leur message.(merci de votre confiance ????????)
En fait ils auraient dû m’envoyer.Merci d’avoir souscrit chez pacifica pour l’avoir  dans le BABA!
Une honte cette assurance !!!
</t>
  </si>
  <si>
    <t>patrick-m-125112</t>
  </si>
  <si>
    <t xml:space="preserve">Je suis satisfait du service et des prix de direct aussurance. En étant jeune conducteur j’ai pu avoir des bons tarifs. Dans d’autre simulations d’assurance que j’ai pu effectué avant les prix étaient excessifs pour les jeunes conducteurs comme moi.
Cordialement </t>
  </si>
  <si>
    <t>renata-56028</t>
  </si>
  <si>
    <t xml:space="preserve">Bonjour j'ai souscrit a cet mutuel car elle me parer bien Bref je ne suis pas satisfaite toujours pas de carte de tiers payant pas de contrat  et pas possible de demander la prise en charge car actuellement hospitaliser pour une grosses pathologique  et la formoule initiale +2 ne corespond pas a ma situation vue le frais que ca va nous couter 75 euros la chambre et autre on va être obliger de faire un crédit pour payer l’hôpital franchement pas très sérieux </t>
  </si>
  <si>
    <t>15/07/2017</t>
  </si>
  <si>
    <t>beaud-f-115722</t>
  </si>
  <si>
    <t>Souscription facile et informations sur le site claires et précises.
Tarifs concurrentiels et abordables. Service clients téléphonique réactif et de bons conseils.</t>
  </si>
  <si>
    <t>arar123-51540</t>
  </si>
  <si>
    <t xml:space="preserve">Excellente assurance, jamais eu de problème avec eux tout fonctionne bien contrairement à ce qu'on peut lire ici </t>
  </si>
  <si>
    <t>22/01/2017</t>
  </si>
  <si>
    <t>florian-c-110818</t>
  </si>
  <si>
    <t>Pour ma part, les prix sont plus que correcte. Par contre le site ainsi que l'appli sont trop "simple", il manque des infos je trouve comme dans l'assistance dépannage par exemple et l'évolution futur que nous réserve nos contrats d'assurance</t>
  </si>
  <si>
    <t>18/04/2021</t>
  </si>
  <si>
    <t>daniel-d-133619</t>
  </si>
  <si>
    <t xml:space="preserve">je suis satisfait du service et de l 'accès aux renseignements.
le prix me semble correct par rapport aux autres assurances.
Donc je suis satisfait de cette assurance
</t>
  </si>
  <si>
    <t>eliseh-100559</t>
  </si>
  <si>
    <t>Remboursements faciles et rapides avec l'application...
Parfois, le site internet bug un peu.... mais dans l'ensemble aucuns soucis ! Téléchargement des attestations appréciables sur l'application !</t>
  </si>
  <si>
    <t>24/11/2020</t>
  </si>
  <si>
    <t>michel-a-112239</t>
  </si>
  <si>
    <t>Très bien rapide efficace bonne compréhension clair je suis satisfait je vais peut être assurer ma deuxième moto si prix compétitif a voir selon étude de devis</t>
  </si>
  <si>
    <t>vincent-f-115747</t>
  </si>
  <si>
    <t>Vraiment bon rapport qualité/prix, A voir sur le long terme.
Si je suis satisfait, je le recommanderai à quelqu'un.
Création du contrat rapide et efficace.</t>
  </si>
  <si>
    <t>david-b-115649</t>
  </si>
  <si>
    <t>Bon service, bon prix.
Parfait fonctionnement du site internet, agréable et facile à utiliser.
L'assistance téléphonique est également compétente et agréable.</t>
  </si>
  <si>
    <t>alessio-c-130493</t>
  </si>
  <si>
    <t>Satisfait du service et du prix payé. Service client à l'écoute et efficace. Je conseillerais Direct assurance auprès de mes amis. Satisfait du service</t>
  </si>
  <si>
    <t>sylvain1212-49921</t>
  </si>
  <si>
    <t>Je suis chez Peyrac Assurances depuis 3 ans, et je viens d'avoir un accident. La prise en charge a été simple et rapide, on m'a bien indiqué les démarches. Et surtout le gros plus c'est qu'au bout de 3 ans, il n'y a plus de franchise à payer chez eux. Donc franchement, y a rien à redire, je suis très satisfait.</t>
  </si>
  <si>
    <t>05/12/2016</t>
  </si>
  <si>
    <t>jefflem-60175</t>
  </si>
  <si>
    <t>Souscription rapide et bonne prise en charge. tarif attractif. Simplicité des échange via la plateforme</t>
  </si>
  <si>
    <t>04/01/2018</t>
  </si>
  <si>
    <t>philippe-t-121850</t>
  </si>
  <si>
    <t xml:space="preserve">Complexe et compliqué pour assurer un second ou un troisième conducteur. Dès que l'on sort d'une demande classique (Ouverture ou fermeture contrat) tout devient étrangement onéreux ou impossible !!!!!!!!!!!!!! </t>
  </si>
  <si>
    <t>inmacy-55682</t>
  </si>
  <si>
    <t xml:space="preserve">Dramatique depuis le 7 mars je suis à bout Avec reunica ag2r mon dossier est depuis le mois de février en cours de traitement. Lorsque j Appel in me dis on prends note de votre Appel mais rien est fait </t>
  </si>
  <si>
    <t>28/06/2017</t>
  </si>
  <si>
    <t>fab-114717</t>
  </si>
  <si>
    <t xml:space="preserve">Très bon assureur qui m'a accompagné parfaitement lors de mon sinistre auto. J'ai pu compter sur un remboursement rapide et surtout de précieux conseils pour savoir quoi faire ! Je recommande chaudement. </t>
  </si>
  <si>
    <t>saint-pol-v-139658</t>
  </si>
  <si>
    <t>Je suis satisfait de l'inscription, j'espère de tout cœur que c'est une bonne assurance, en tous les cas c'est une assurance réactive, avec de bon tarif</t>
  </si>
  <si>
    <t>antonio-76174</t>
  </si>
  <si>
    <t>la rapidité et le professionnalisme de mes correspondants</t>
  </si>
  <si>
    <t>23/05/2019</t>
  </si>
  <si>
    <t>avila-97932</t>
  </si>
  <si>
    <t xml:space="preserve">assurée depuis 1960, je quitte la MAIF, très mécontente pour la première fois . Certes, cette Clio AY134GL, assurée à la MAIF depuis le début, est ancienne (2004); le moteur a été changé il y a 2 ans (moteur d'occasion mais très sain jusqu'à présent), l'intérieur en très bon état (pas d'usure) et elle fonctionne parfaitement. Le problème, c'est la carrosserie : elle vient de subir un choc frontal (freinage brusque de la voiture qui précédait, par chance à vitesse réduite mais sur nappe de graisse), ce qui a endommagé le pare-choc avant, la calandre et le capot (à changer tous trois). Aucun dommage interne. L'expert me propose un rachat pour 800 €, ce qui est scandaleux, quand on sait qu'après réparation, cette Clio sera revendue au moins 4000-5000€ si on en croit l'argus et autres organismes d'évaluation des occasions. Je paie régulièrement par mensualités depuis 1960, ayant subi  les augmentations successives de l' assureur, ce qui justifierait une prise en charge pour la réparation de mon véhicule et non pour sa cession à bas prix, même s'il y a eu évidemment quelques réparations prises en charge par la MAIF sur les divers véhicules que j'y ai assuré depuis 60 ans. Le coût des réparations serait, parait-il, supérieur à la valeur marchande de cette Clio, ce qui est peut-être le cas si l'on s'en tient à sa valeur AVANT réparation, mais justement, une assurance n'est-elle pas faite pour prendre en charge lesdites réparations, ce qui lui restitue une valeur bien supérieure (voir plus haut)?  </t>
  </si>
  <si>
    <t>28/09/2020</t>
  </si>
  <si>
    <t>cassandra-m-116832</t>
  </si>
  <si>
    <t>Je suis satisfaite du service. Les prix sont abordables bien qu'élevé quand nous sommes étudiants. L'ergonomie du site est bien et beaucoup de choix s'offrent à nous.</t>
  </si>
  <si>
    <t>12/06/2021</t>
  </si>
  <si>
    <t>lbm85-89960</t>
  </si>
  <si>
    <t xml:space="preserve">Je suis gérante d'une entreprise en VENDEE et ai souscrit pour celle-ci à la création de la société en 2014 2 CONTRATS avec l'Agence d'AXA TOURS : une multirisque professionnelle et une assurance véhicule pour lesquelles des prélèvements automatiques correspondants au primes contractuelles étaient en place.
A la clôture de l'exercice comptable 2019, mon expert-comptable m'a alerté sur le fait qu'il y avait eu sur cette année une augmentation très forte et anormale des prélèvements de l'assureur par rapport aux contrats existants et que nous avions 2 prélèvements en plus de 2 x 354.77 € qui n'existaient pas les autres années expliquant cet écart et rattachés à aucun contrat en notre possession.
Nous avons donc demandé des explications à l'agence pour connaitre la raison de cet écart et de ces 2 prélèvements.
Après de multiples relances ils ont fini par nous répondre que cela était normal et correspondait à une Assurance RCE et que ces prélèvements existaient également précédemment... Nous leur avons alors confirmé que nous n'avions que les 2 contrats professionnels cités ci-dessus avec eux et que nous n'avions jamais validé et signé un nouveau contrat RCE pour 2019, tout en leur produisant une copie de nos pièces comptables et bancaires issues des bilans et rattachées au poste assurance depuis 2014 jusqu'au 1/10/2019. (date à laquelle les contrats se sont arrêtés avec AXA).
Ces documents montrent parfaitement l'absence d'équivalent sur les autres années. Ils nous ont alors quand même répondu que ce contrat existait pour eux et qu'ils ne savaient pas retrouver dans leur base l'historique des versements depuis 2014, qu'ils devaient en faire une demande au siège mais que cela prendrait du temps...Notre entreprise est une TPE mais nous savons vérifier avec un simple logiciel comptable de base ou une simple connexion internet au site bancaire en quelques secondes ce genre d'opérations, ce n'est donc pas le cas d'AXA...
Au regard de la très mauvaise volonté de l'Agence à solutionner le problème, je leur ai demandé de nous fournir la preuve de l'existence de ce contrat, à savoir un double du contrat validé et signé par nos soins que nous n'avions pas et derrière lequel ils se retranchaient. Cela prend aussi quelques secondes et aurait clôturé immédiatement le dossier si il avait été en leur possession. Ils ont été en mesure de nous transmettre les autres contrats mais pas celui là...
Après de multiple relances mails pour nous fournir une copie de ce contrat signé justifiant ces prélèvements et près de 2 mois plus tard à ce jour, nous n'avons toujours absolument rien reçu et aucune nouvelle de leur part. Nous leur avons envoyé il y a 2 semaines maintenant une mise en demeure recommandée (à destination de l'Agence et du siège d'AXA FRANCE) de nous fournir ce contrat ou de nous rembourser les sommes indument perçues, restée également sans aucune réponse. Devant cette mauvais foi et volonté manifeste d'AXA de ne pas solutionner le problème ainsi qu'au regard de leur incapacité à nous fournir les justificatifs demandés, nous avons dû entamer une assignation en justice afin de pouvoir récupérer ces sommes indument perçues en utilisant un faux contrat.
Pour l'anecdote, qui confirme l'état d'esprit de cet assureur, nous avions dans le contrat multirisque RCPRO une clause indiquant que si le CA indiqué en référence était plus bas que celui indiqué au contrat celui devait être revu à la baisse et remboursé au prorata dans la limite d'un certain montant incompressible. Cela a été le cas car le montant du CA réel était 2 fois moins important que celui indiqué au contrat depuis le départ sur chacune des années. Nous n'avions pas forcement noté cette clause mais nous nous en somme rendu compte quand en 2019 AXA nous a demandé pour la 1ère fois depuis 2014 de lui communiquer notre CA ce que nous avons fait à leur demande. Nous leur avons donc demandé de procéder à une restitution de la prime perçue qui aurait dû être revue à la baisse conformément au contrat mais cette demande est également restée sans réponse...
je pourrais continuer en vous citant un problème d'assurance habitation où cet assureur n'a pas respecté son contrat sans aucune justification, ce n'est que cela chez eux. Sachez que leur leur position est toujours identique quand ils ne peuvent justifier ce qu'ils font, silence total plus de retour afin de faire trainer et pourrir la situation.
Fuyez vite cet assureur.
</t>
  </si>
  <si>
    <t>multirisque-professionnelle</t>
  </si>
  <si>
    <t>27/05/2020</t>
  </si>
  <si>
    <t>le-bich-diem-l-126263</t>
  </si>
  <si>
    <t xml:space="preserve">Good je vous remercie beaucoup pour vos conseils et rapidité je suis satisfaite ça a été simple et rapide et efficace ma tante m’a conseillée d’aller chz vous direct merci </t>
  </si>
  <si>
    <t>herault-75421</t>
  </si>
  <si>
    <t xml:space="preserve">J'ai souhaité faire un rachat partiel de 5000 euros, cela fait 15 jours que j'attends. J'ai appelé le siège, est la réponse est, il faut attendre au minimum 15 j à 20 jours, bizarre de ne pouvoir avoir son argent plus rapidement avec les moyens actuels. </t>
  </si>
  <si>
    <t>26/04/2019</t>
  </si>
  <si>
    <t>maga-93142</t>
  </si>
  <si>
    <t xml:space="preserve">Apres avoir déclaré un sinistre  sur mon habitation secondaire et apres consultation et proposition d indemnisation   acceptée par l expert Texa mandaté par Sogessur  me voilà désagréablement surprise de recevoir un mail annonçant la retractation de l assurance. Je ne comprends pas.. A quoi bon mandater un expert qui vous confirme que votre option confort couvre ce dommage..Il vous envoie un mail de 
confirmation pour la prise en charge du sinistre a la reception du devis de l entrepeneur. Je me pose la question suivante.. Pourquoi sogessur mandate un expert et ne tient pas compte de la decision de l expert ??? N y a t il pas contradiction et non respect de la légalité ? Je suis donc décidée a mettre a jour cette incoherence.  Esperons que le service litiges soit plus efficient.. </t>
  </si>
  <si>
    <t>03/07/2020</t>
  </si>
  <si>
    <t>cedric-j-132242</t>
  </si>
  <si>
    <t>Merci les furets. Com de m’avoir proposé ce site d’assurances moto, je vais réaliser une grande économie de a près deux cent cinquantes euros         .</t>
  </si>
  <si>
    <t>ave-111739</t>
  </si>
  <si>
    <t>A fuir ? garanties et obligations non respectées, tarifs doubles de la concurrence, prennent le temps pour trouver des excuses mensongères pour ne pas prendre en charge les sinistres.. Compagnie à   éviter en priorité avant toutes les autres.?</t>
  </si>
  <si>
    <t>26/04/2021</t>
  </si>
  <si>
    <t>oscenda-a-114014</t>
  </si>
  <si>
    <t>Prix vraiment corrects, conseillère au téléphone très sérieuse, instructions simples, je recommanderai sans soucis cette assurance, jeune conductrice très contente</t>
  </si>
  <si>
    <t>mams23-77430</t>
  </si>
  <si>
    <t>Je suis cliente chez santiane depuis 6 ans et j'ai toujours eu un très service agréable . Ils sont à l'écoute et très aimables au téléphone. Sabrina est très sympathique avec moi malgré mon incompréhension.</t>
  </si>
  <si>
    <t>08/07/2019</t>
  </si>
  <si>
    <t>bernardo-95000</t>
  </si>
  <si>
    <t>Globalement assez content, je n'ai jamais rencontré de problèmes avec cette mutuelle.  je ne sais pas si j'aurais le même service ailleurs</t>
  </si>
  <si>
    <t>23/07/2020</t>
  </si>
  <si>
    <t>eldiablo48-87910</t>
  </si>
  <si>
    <t>14% d'augmentation des tarifs en 1 an et pas de possibilité de négocier le contrat, alors que tous contrats en France doit être négociable ... c'est lamentable et je pars de cet assureur qui prend le client pour un pigeon après la première année .....</t>
  </si>
  <si>
    <t>03/03/2020</t>
  </si>
  <si>
    <t>ml-56510</t>
  </si>
  <si>
    <t>Je suis en invalidité 2 CPAM depuis 2017, reconduite cette année en Avril 2019. Ma pathologie ALD s est déclaré en 2014. Le principe de l.assurance est de couvrir un risque....aujourd.hui, Cardif estime mon invalidité à 20pc, et me trouve capable d'exercer un autre métier....donc pas d indemnisation. A tout les coups ils gagneront! Pourquoi examiner notre endettement à la souscription si lors d un sinistre on nous envoie accepter un mi temps misérable! Fuyez les. J.ai RDV demain et j ouvre un dossier avec un avocat spécialisée, car c est pratique courante de consolider une pathologie sur leur critères et ne pas rembourser les capitaux. Je suis, j étais conseiller n patrimoine, cette assurance BNP était obligatoire, si j avais su....</t>
  </si>
  <si>
    <t>matthieu-g-126480</t>
  </si>
  <si>
    <t xml:space="preserve">Je suis satisfait du service tarif très abordable je recommande vivement parfait pour des jeunes conducteurs aussi que souvent les autre assurance ne veulent pas </t>
  </si>
  <si>
    <t>ruayna-h-109199</t>
  </si>
  <si>
    <t xml:space="preserve">Facilité de souscription du contrat
Tarifs intéressants
site internet clair et précis
rapidité pour la saisie des éléments demandés
acceptation conducteur débutant
</t>
  </si>
  <si>
    <t>05/04/2021</t>
  </si>
  <si>
    <t>thiery-s-108167</t>
  </si>
  <si>
    <t>Satisfait du service (renseignements simplifiés et efficace)
Bons avantages, a l'écoute de l'assuré, avec des prix abordables.
Je recommande l'olivier assurance vivement</t>
  </si>
  <si>
    <t>samuel-b-105354</t>
  </si>
  <si>
    <t>tarif + ... suivant véhicule à vérifier et écart d'une année sur l'autres pour un même modèle ! !  relationnel souvent compliqué et contrat pas toujours net</t>
  </si>
  <si>
    <t>serge-a-132659</t>
  </si>
  <si>
    <t xml:space="preserve">Rien n'est fait au niveau tarif pour les clients qui ont beaucoup de contrats comme nous !!!.Nous avons 4 contrats véhicules , habitation, Famille, loisir.
Un petit geste commercial serait là bien venu.:) 
</t>
  </si>
  <si>
    <t>hobie-19173</t>
  </si>
  <si>
    <t xml:space="preserve">Fuyez avant qu’il ne soit trop tard. Ne signez pas un contrat d’assurance vie avec BNP Paribas. Incompétence, mensonges, non respect du client...
Vous souhaitez faire un rachat partiel ? Vous commencez le parcours du combattant. Vos desiderata ne sont pas pris en compte. A fuir.
Une étoile c’est trop. </t>
  </si>
  <si>
    <t>lassaad-l-129918</t>
  </si>
  <si>
    <t>Je viens de faire l'inscription en ligne et elle est simple et pratique. 
Le prix proposer est acceptable par rapport à d'autres assurances.
Je le recommande.</t>
  </si>
  <si>
    <t>28/08/2021</t>
  </si>
  <si>
    <t>madsouris-107844</t>
  </si>
  <si>
    <t>Rapport qualité prix excellent. Que ce soit pour un accident ou un dépannage à domicile service rapide et efficace. Conseiller à l'écoute et nous conseille parfaitement</t>
  </si>
  <si>
    <t>picot-j-126161</t>
  </si>
  <si>
    <t>Les prix me conviennent parfaitement!
La rapidité en ce qui concerne le traitement des documents est impressionnante, en 15 minutes j'était assurer et la semaine suivante j'avait reçu la carte verte provisoire.</t>
  </si>
  <si>
    <t>macha-106439</t>
  </si>
  <si>
    <t>Depuis 29 ans je suis assurée à la Macif avec un bonus maximal. Malheureusement les dernières années j'avais plusieurs petits incidents responsables avec peu de dégâts. En premier temps la Macif m'a supprimé la tourisque et mis en tiers et finalement mis fin à mes garanties le 31 mars prochain. Malgré mes 5 courriels adressés à cette assurance, jusqu'à ce jour le 12 mars je n'ai toujours pas eu de réponse. J'ajoute que j'ai également mon contrat habitation et une assurance-vie chez eux.
Je déconseille vivement la MACIF!</t>
  </si>
  <si>
    <t>zanouji-y-121248</t>
  </si>
  <si>
    <t>Je suis satisfait du service, 
Ravi d'avoir une assurance proche de ses clients
En esperant continuer sur cette lancée, je recomanderai jusque la au moins pour l'acceuil clientele qui est plutot pas mal.</t>
  </si>
  <si>
    <t>nico168102-104575</t>
  </si>
  <si>
    <t xml:space="preserve">Très bonne écoute téléphonique et réactivité de l interlocuteur qui a fourni les documents demandées dans un délai extrêmement rapide.
Efficacité appréciable </t>
  </si>
  <si>
    <t>jworld-99394</t>
  </si>
  <si>
    <t xml:space="preserve">Ils ont réussi à me faire payer un an d'assurance pour une voiture dont je me débarrassait.. à la casse. Sans parler de la clarté de leurs contrat, impossible d'avoir les détails et de savoir pourquoi précisément je paye. </t>
  </si>
  <si>
    <t>30/10/2020</t>
  </si>
  <si>
    <t>selligda-97199</t>
  </si>
  <si>
    <t xml:space="preserve">On verra à  l usage comme l on dit 
Prix assez compétitifs
Voir les conditions de sortie et notamment les lettres recommandées je crois !!!
Inscriptions et démarches très  correctes 
</t>
  </si>
  <si>
    <t>sebastien-b-122129</t>
  </si>
  <si>
    <t>Souscription facile mais je n'ai rien eu à faire d'autre avec cet assureur pour le moment.. A voir par la suite.
Prix compétitifs. Rien à ajouter pour le moment</t>
  </si>
  <si>
    <t>kirat22-53817</t>
  </si>
  <si>
    <t>Un tarif qui augmente tous les ans malgré un bonus plus important et un même véhicule qui Vieillit et dont la valeur baisse. Ce qui est illogique. Obligé de les appeler tous les ans pour leur expliquer et faire jouer la concurrence qui ont des tarifs d'appel plus intéressant. Et il faut en arriver là pour que direct assurance propose un tarif compétitif. C'est agaçant de se battre tous les ans avec eux.</t>
  </si>
  <si>
    <t>cloclo29-97549</t>
  </si>
  <si>
    <t>Lamentable, service à éviter +++ maison vendue depuis le 8 juillet dernier et malgré courriers en recommandé, appel téléphonique et mails aucun retour de leur part pour résilier le contrat d'assurance. Je vais faire appel à un avocat pour m'aider dans les démarches et cela me met en colère d'être obligée de mettre une étoile !!!!!!</t>
  </si>
  <si>
    <t>MetLife</t>
  </si>
  <si>
    <t>18/09/2020</t>
  </si>
  <si>
    <t>jean-christophe-v-110049</t>
  </si>
  <si>
    <t xml:space="preserve">Démarches rapides et site simple et fonctionnel. Le contacte téléphonique très aimable, réactif et très professionnel . Vraiment sans soucis. Si la prise en charge en cas de sinistre est à l'avenant vous êtes au top. </t>
  </si>
  <si>
    <t>12/04/2021</t>
  </si>
  <si>
    <t>eman24-50516</t>
  </si>
  <si>
    <t>Une mutuelle où l'on cotise proportionnellement à ses revenus (brut + primes ou aides en nature). On adhère ou pas, mais perso j'ai la sécu et la mutuelle MGEN, mon prêt bancaire aussi, et tout roule. je dois en effet payer plus cher qu'ailleurs, c'est une question de solidarité. Quand j'ai eu ma hernie, la MGEN a "assuré" ^_^</t>
  </si>
  <si>
    <t>axel-m-122173</t>
  </si>
  <si>
    <t>Je suis satisfait de l'interactivité du personnel de la GMF
Un effort aurait dû être fait sur les prix pour les clients fidèle qui n'ont pas beaucoup d'incident.
Exemple. En deux ans je suis allé chez le médecin 2 fois.
En plus de 10 ans, je n'ai jamais eu besoin des aides lié a mon assurance domicile n'y de ma protection juridique.
Et je paie encore le même prix</t>
  </si>
  <si>
    <t>bertrand-r-103004</t>
  </si>
  <si>
    <t>j'ai peur vous demandez de transmettre les documents depuis votre espace personnel j'ai rien plein de déménagement plein de cartons ??? merci de m'expliquer et si je peux prendre l'assurance chez vous j'attends une réponse sur email cdlt</t>
  </si>
  <si>
    <t>21/01/2021</t>
  </si>
  <si>
    <t>jonathan-n-117166</t>
  </si>
  <si>
    <t>Satisfait des services proposés, beaucoup d'options mais la base suffit largement, surtout pour un usage privé. Content dans la globalité du site et de ce qui est proposé</t>
  </si>
  <si>
    <t>mohammed-k-123339</t>
  </si>
  <si>
    <t xml:space="preserve">Bonjour 
j'ai n'ai jamais eu de sinistre donc je ne peux pas juger votre service en cas d'urgence, 
En revanche je suis satisfait de votre offre (sauf pour la franchise de  25% prix de facture en cas de brise de glace) et votre boitiers
vous êtes un peu plus chère par rapport à vos confrères. 
généralement je suis plutôt satisfait je le serai encore plus si j'aurai une petite réduction de prix :) 
Merci.
Cordialement </t>
  </si>
  <si>
    <t>nicole-a-109658</t>
  </si>
  <si>
    <t>je suis satisfaite du service
rapidité de contact et de retour
remplissage simple des documents
contact téléphonique si nécessaire.
envoi rapide des documents</t>
  </si>
  <si>
    <t>sonia-o-126745</t>
  </si>
  <si>
    <t xml:space="preserve">Je démarre tout juste. Un premier avis..
Mais ça a l'air peu cher. Ça diviserait par deux ma facture actuelle.
J espère que ce sera concluant par la suite.
</t>
  </si>
  <si>
    <t>baudry-l-121356</t>
  </si>
  <si>
    <t xml:space="preserve">Le choix des champs d'étude n'est pas très varié. Je suis en formation dans le secteur social, et aucune option ne correspond à ce champ. Il faudrait créer plus d'options. </t>
  </si>
  <si>
    <t>jean-christophe-n-122194</t>
  </si>
  <si>
    <t>Très rapide, site internet bien fait, tarifs qui ne sont pas excessifs mais pourrait être un peu plus compétitif pour la petite valeur du bien assuré mais au top ^^</t>
  </si>
  <si>
    <t>solenn78-92508</t>
  </si>
  <si>
    <t>Devis simple et rapide, site parfaitement compréhensible.
Garanties bien expliquées..
Le tarif semble correct pour la prestation proposée.
Je vais continuer de l’etudier</t>
  </si>
  <si>
    <t>tiago-loureiro-f-124857</t>
  </si>
  <si>
    <t>rapide et facileC'était facile d'obtenir l'assurance et j'étais sympathique, merci beaucoupIl était facile d'obtenir l'assurance et étaient sympathiques, merci beaucoup pour le service et a résolu le problème très rapidement.</t>
  </si>
  <si>
    <t>26/07/2021</t>
  </si>
  <si>
    <t>tito-116184</t>
  </si>
  <si>
    <t xml:space="preserve">Nul en cas de problème débrouiller vous je déconseille à FUIRE prendre une vraie assurance éviter pacifica service client absent,  Si j'avais la possibilité de mettre aucun étoile je l'aurais fait, ils méritent zéro étoile </t>
  </si>
  <si>
    <t>07/06/2021</t>
  </si>
  <si>
    <t>bernard-j-116285</t>
  </si>
  <si>
    <t>je n'ai pas eu besoin d'avoir recourt à vos services pour le moment, pourvu que ça dure très longtemps et tout sera parfait. Continuez à appliquer une tarification  attractive</t>
  </si>
  <si>
    <t>fouine72-81620</t>
  </si>
  <si>
    <t xml:space="preserve">A faire en maladie professionnelle depuis septembre 2018 manque toujours des papiers avec une quotité à 100 une assurance à 45 par mois pour me dire que ce sera que indemnisé sur la perte de salaire c'est une blague du coup perte de temps à envoyer les papiers pour rien avoir je part de chez eux c'est une honte </t>
  </si>
  <si>
    <t>05/12/2019</t>
  </si>
  <si>
    <t>youyoune-53275</t>
  </si>
  <si>
    <t xml:space="preserve">j'ai eu un sinistre vandalisme sur ma voiture on m'a dirigé sur un garage agrée à côté de chez moi l'expert est venu et a tout prit en charge </t>
  </si>
  <si>
    <t>14/03/2017</t>
  </si>
  <si>
    <t>vdmo-103411</t>
  </si>
  <si>
    <t>Ecoute, professionnalisme, gentillesse, très commerciaux et excellent rapport qualité / prix ! Bref je n'ai que des compliments à faire à la MAAF ! et je ne changerai pour rien au monde d'assureur !</t>
  </si>
  <si>
    <t>29/01/2021</t>
  </si>
  <si>
    <t>didine-68464</t>
  </si>
  <si>
    <t xml:space="preserve">Fuillez ne prenez pas cette assurance Si c'était possible je n'aurais mis aucune étoile pas de résiliation possible et toujours une excuse pour ne pas rembourser les frais vétérinaire donc je paye mon vétérinaire en plus de la mutuelle </t>
  </si>
  <si>
    <t>09/11/2018</t>
  </si>
  <si>
    <t>yohann-p-123932</t>
  </si>
  <si>
    <t xml:space="preserve">Nous avons demenage et donc fait arreter l'assurance de notre ancienne assurance. Satisfait de direct assurance, car n'ayant jamais eu de sinistres a declarer. On se retrouve maintenant a devoir payer l'assurance de notre ancien appartement car la resiliation n'a jamais ete prise en compte. Et le contrat n'apparait pas sur mon espace en ligne. Les seules personnes que l'ont peut avoir au telephone sont la societe de recouvrement. Direct assurance ne veux rien savoir. Il communiquent seulement par sms. Donc on se retrouve a devoir payer pour une contrat que nous avons resilie, et auqeul on a meme pas acces.
Les pires de l'assurance en ligne. </t>
  </si>
  <si>
    <t>mimi60-76694</t>
  </si>
  <si>
    <t>J 'aimerais pouvoir etre mieux rembourser au niveau des lunettes et des dents.</t>
  </si>
  <si>
    <t>12/06/2019</t>
  </si>
  <si>
    <t>babacar-f-106265</t>
  </si>
  <si>
    <t>oui c''est simple et pratique au niveau prix c''est pas le moins cher sur le marche mais c''est acceptable!!La proposition est définie donc je n''ai rien a ajouter</t>
  </si>
  <si>
    <t>mary-80118</t>
  </si>
  <si>
    <t>GWENDAL m'a très bien accueillit, et a bien traité mon problème. il a su répondre en peu de temps et me trouver une solution rapidement.</t>
  </si>
  <si>
    <t>16/10/2019</t>
  </si>
  <si>
    <t>ac-136477</t>
  </si>
  <si>
    <t>J'ai été victime d'un sinistre au mois de juin suite à de forts coups de vent. L'eau rentre dans la maison. Impossible d'avoir un artisan avant un mois, ils refusent qu'on appelle un gars du coin et ils vous envoient finalement un artisan de Rouen alors que j'habite Rennes. Le devis n'a jamais été validé par PACIFICA qui a laissé traîner, finalement en octobre rien n'est fait malgré mes nombreuses relances. J'appelle tous les jours, personne ne veut me donner le nom de l'artisan pour que je l'appelle. L'expert a été envoyé après mes demandes deux mois après le sinistre, et il leur faut encore 8 jours pour valider un devis.
Le "service travaux" qu'on me passe doit être localisé dans un quelconque pays étranger et les personnes ne veulent pas se présenter. On vous promet un rappel qui ne vient jamais. J'ai demandé à parler au responsable mais là encore, c'est impossible.
Trois mois après le sinistre, l'eau rentre toujours... et tout le monde s'en fiche...
Bref, je n'ai jamais vu ça, je déconseille TOTALEMENT !!</t>
  </si>
  <si>
    <t>glerean-f-109637</t>
  </si>
  <si>
    <t xml:space="preserve">PAS D4AVIS PAR APPORT A L'ASSURANCE QUE JE VIENS DE SIGNER.
LE PORTAIL EST DE FACILE ACCES SAUF QUE A CHAQUE SELECTION D'ONGLET ME DEMANDE DE ME RECONNECTER ..... </t>
  </si>
  <si>
    <t>webwarrior-85995</t>
  </si>
  <si>
    <t>cette societe d assurance a de nombreuses plaintes contre elle suite a un refus de regler ce qu elle doit moi meme actuellement en procedure avec elle avec gain de cause en premiere instance</t>
  </si>
  <si>
    <t>08/09/2020</t>
  </si>
  <si>
    <t>micha1305-68659</t>
  </si>
  <si>
    <t>Satisfait de compagnie d'assurance automobile.</t>
  </si>
  <si>
    <t>15/11/2018</t>
  </si>
  <si>
    <t>gerard-b-107289</t>
  </si>
  <si>
    <t>Entière satisfaction du conseiller qui avec patience m'a permis de conclure le dossier d'assurance..Pas de connaissance en informatique et téléphone.Des instructions claires.Merci</t>
  </si>
  <si>
    <t>naim-m-127167</t>
  </si>
  <si>
    <t>Simple et pratique ; 3 fois recaler pour manque de caractere vraiment un probleme a ce niveau la ! du coup je baisse ma note pour la deuxieme fois ! a bientot</t>
  </si>
  <si>
    <t>christine-r-117279</t>
  </si>
  <si>
    <t>Je suis satisfaite du service jusqu'à présent, celui-ci correspond à mes besoins et je n'ai pas eu à recourir suite à un sinistre. Ayant une démarche à faire maintenant , j'espère continuer à être satisfaite dans l'avenir.</t>
  </si>
  <si>
    <t>louden69-70409</t>
  </si>
  <si>
    <t>-  à fuire pas content de c'ette assurances !
Que des soucie de l'enregistrement au remboursements pas de compétence à croire qu'il payer au remdement j'espère pour eux qui fasse le ménage sur dès personnes incompétentes !...</t>
  </si>
  <si>
    <t>yann-s-113708</t>
  </si>
  <si>
    <t>la procédure est simple, il y a toujours quelqu'un de disponible pour l'assistance par téléphone. C'est rapide et efficace et les prix sont attractifs</t>
  </si>
  <si>
    <t>delphine-b-121501</t>
  </si>
  <si>
    <t xml:space="preserve">Les tarifs ne cessent d'augmenter chaque année.
Bonnes prestations, prise en charge rapide en cas de sinistre et indemnisation rapide également.
Mais prestation de fidélité inexistante, a revoir.
</t>
  </si>
  <si>
    <t>marredetreplume-60155</t>
  </si>
  <si>
    <t>Client de Generali depuis plus de 20 ans je dechante aujourd'hui et cherche à  remettre mes contrats ( assurances biens, Madelin et Perp) sur d'autres cie moins mercantiles et plus à même d'être a l'écoute et de répondre à leurs assurés. Leurs seuls objectifs depuis 3 ans, satisfaire de rendement de leurs actionaires sur le dos des capitaux que nous leurs confions. Perte de confiance généralisée de nombre de leurs clients est une évidence dont ils n'ont que faire. Quelle arrogance. A quand une action classe sur leur changement unilatéraux de leurs garanties??</t>
  </si>
  <si>
    <t>03/01/2018</t>
  </si>
  <si>
    <t>kelban-g-131480</t>
  </si>
  <si>
    <t>Je suis satisfaite.
Je suis satisfaite du service et surtout des retours rapides et efficaces.
Je suis satisfaite également du personnel en agence.
Rien à signaler pour le moment.</t>
  </si>
  <si>
    <t>delaya-69698</t>
  </si>
  <si>
    <t>Gentillesse et compréhension.
Les conseillères au téléphone sont d'une extrême patience, ce qui est plutôt agréable.
Je recommande sans hésitation cette assurance (et non, je ne travaille pas pour eux ;) )</t>
  </si>
  <si>
    <t>27/12/2018</t>
  </si>
  <si>
    <t>claude-72406</t>
  </si>
  <si>
    <t>client depuis 25 ans sans sinistre
Je casse ma plaque de cuisson
Pas de garantie, j'aurais du prendre une extension</t>
  </si>
  <si>
    <t>22/03/2019</t>
  </si>
  <si>
    <t>olivier-115704</t>
  </si>
  <si>
    <t xml:space="preserve">Bonjour, 
je n'ai toujours pas reçu ma pension du premier trimestre 2021.
J'appelle toutes les semaines depuis fin mars, à chaque fois la personne ne voit rien qui bloque, me dit qu'elle fait une demande en urgence, et rien ne se passe. 
J'ai envoyé plusieurs mails, sans jamais avoir la moindre explication en retour. 
J'ai cru comprendre à un moment que cela pouvait être lié à la question de l'indus que je vous dois. 
Mais celui-ci m'a été signifié le 2 avril 2021, après ce premier trimestre, et surtout 7 mois après que je vous ai informé avoir touché un salaire exceptionnel. 
Et j'ai demandé un échéancier que je paye chaque mois. 
Le 2 avril, toujours après ce premier trimestre, vous m'avez demandé une attestation pôle emploi. Je vous l'ai fournie le 7 avril, je n'ai eu aucun retour. 
Le 7 mai, toujours après ce premier trimestre, j'ai reçu une demande de pièces de la part du médecin conseil, et sans aucune mention que l'attente de ma réponse soit suspensive du versement de ma pension. 
Depuis 2 mois, après que ma pension n'ait pas été versée sans aucun avertissement, je n'ai toujours pas d'explication de votre part, malgré mes nombreuses relances. 
Vous avez même clôt la réclamation que j'ai faite sur votre site, sans aucune explication. 
Je vous informe donc que j'ai décidé de porter plainte pour maltraitance de personne en invalidité. 
Cordialement, 
Olivier Mortreuil
</t>
  </si>
  <si>
    <t>pattanton-76408</t>
  </si>
  <si>
    <t>Après un cambriolage en attend depuis plus de trois mois aucune nouvelle de mon dossier ,impossible de joindre  sogessur par téléphone.Après plusieurs tentatives (plus de trente appels)je réussir a les contacter, leur réponse et que mon dossier et clôturer par erreur de leur part,depuis plus de nouvelle.</t>
  </si>
  <si>
    <t>02/06/2019</t>
  </si>
  <si>
    <t>frederic-b-109185</t>
  </si>
  <si>
    <t>je suis satisfaite du service
personne tres agreable et serieuse. Elle s'est tres bien occupee de moi.Un suivi tres serieux
super je recommande vivement</t>
  </si>
  <si>
    <t>preaux-o-137850</t>
  </si>
  <si>
    <t>Pleinement satisfait par ces premiers contacts et formalité ainsi que
par le tarif proposé. Pensons revenir vers vous pour d'autre contrats notamment habitation.</t>
  </si>
  <si>
    <t>20/10/2021</t>
  </si>
  <si>
    <t>giomars-81366</t>
  </si>
  <si>
    <t>J'avais rendez vous ce mardi 26/11/2019 à 14h à l'agence MACIF de Castellane à Marseille (13006) pour finaliser une assurance sur un scooter 125. 
La personne qui m'a reçu m'a affirmé (1) que je devais passer la formation à la conduite des motocyclettes et L5E et (2) que la MACIF ne reprend pas le malus/bonus de l'assurance voiture pour l'appliquer à l'assurance moto 125.
Évidemment ces éléments se sont révélés être faux mais si je n'avais pas été vigilent j'aurai dépensé de l'argent et du temps à repasser une formation conduite et payer plus cher mes cotisations d'assurance MACIF.
Bravo la qualité du service!</t>
  </si>
  <si>
    <t>26/11/2019</t>
  </si>
  <si>
    <t>miriouch9-104017</t>
  </si>
  <si>
    <t xml:space="preserve">Assurances la moins cher que j'ai trouvé avec un bon service client ainsi qu'une rapidité dans les démarches , et aussi prise en charge rapide lors de sinistre avec prêt de véhicule. </t>
  </si>
  <si>
    <t>11/02/2021</t>
  </si>
  <si>
    <t>loulou0802-51210</t>
  </si>
  <si>
    <t xml:space="preserve">Nul en attente de remboursement d.un sinistre non responsable car il manque toujours une pièce ou bien car la facture reçue ne convient pas, consternant j'envisage une action juridique pour déni de service. Pas de communication pas de réponse une catastrophe </t>
  </si>
  <si>
    <t>12/01/2017</t>
  </si>
  <si>
    <t>trahard-t-116485</t>
  </si>
  <si>
    <t xml:space="preserve">RAS je n ai pas encore essayé donc je vous dirais plus tard. J’espère ne pas avoir de soucis ni d’étalement avoir à faire à vos services. Mais un bon accueil en tout cas. </t>
  </si>
  <si>
    <t>sylvain-m-117959</t>
  </si>
  <si>
    <t>Très simple dommage de ne pas avoir souscrit plutôt il est navrant de constater chez vos concurents des prix elevees et une qualite de reponse qui laisse a desirer</t>
  </si>
  <si>
    <t>pduvivier-1517</t>
  </si>
  <si>
    <t>Je suis satisfait du service, les prix me conviennent,  les délais d'intervention au niveau de l'assistance sont très rapide , le dialogue avec les conseillers sont très courtois en un mot très bon rapport prix , assurances et service</t>
  </si>
  <si>
    <t>22/08/2021</t>
  </si>
  <si>
    <t>jocelyn-f-105915</t>
  </si>
  <si>
    <t>Je suis satisfait de vos services, mais je souhaiterais avoir des remises ou des réductions plus régulièrement du au nombre d'années que j'ai souscrit dans votre assurance.</t>
  </si>
  <si>
    <t>emay31-115910</t>
  </si>
  <si>
    <t>Service d’expertise externe manifestement aux ordres de l’assurance pour minimiser les conséquences des dégâts des eaux malgré les conclusions faites par le spécialiste en recherche de fuite et malgré les vidéos qui prouvent pendant l’intervention de réparation que les dégâts supplémentaires auraient dû être pris en compte. Seule solution : partir en contre expertise et sachant que l’expert de l’assurance ne sera pas d’accord avec votre expert , vous finirez devant les tribunaux. C’est très bien fait pour vous pousser à renoncer surtout si vous n’avez ni le temps ni les moyens d’engager une telle procédure.
Évaluation des meubles au tiers de leurs valeurs et application systématique de 70% de vétusté. Pourtant 2 ans plus tôt, la Macif m’avait appelé pour mettre à jour mon contrat et m’avait demandé de confirmer l’estimation de la valeur des meubles. Elle s’est bien gardée à ce moment là de me préciser que seulement 30% de leurs valeurs seraient pris en compte.
Enfin, une pièce peinte à la chaux terminée 2 mois avant le sinistre a été touchée par le dégât des eaux. Seul le mur touché est pris en compte. Il y aura forcément une différence de teinte avec l’ensemble. Là aussi, il n’y a pas à discuter et en plus on vous applique une vétusté de 20%.</t>
  </si>
  <si>
    <t>mimi-87279</t>
  </si>
  <si>
    <t>J ai contacté le service client et l attente au téléphone était rapide le conseiller gwendal a était parfait ses explications etait claires et rapide</t>
  </si>
  <si>
    <t>18/02/2020</t>
  </si>
  <si>
    <t>jo-138341</t>
  </si>
  <si>
    <t>Accident seul en cause, j'ai apprécié la prise  en charge de la réparation auprès du garage sans avoir un seul centime à débourser .Par ailleurs j'apprécie le suivi  de la mise en œuvre des réparations ,j'ai eu un appel de PACIFICA pour  savoir ou en était la réparation. Tres bien</t>
  </si>
  <si>
    <t>26/10/2021</t>
  </si>
  <si>
    <t>jourun-75370</t>
  </si>
  <si>
    <t>Courtiers aux méthodes plus que douteuses qui gâchent l'intérêt à porter aux offres NEOLIANE, qui méritent d'être étudier.
J'ai pu constater leur sérieux et leur faire remonter l'information en les appelant directement. 
Erika, a très bien géré mon appel, et m'a clairement expliqué et accompagné dans la marche à suivre pour me rétracter.</t>
  </si>
  <si>
    <t>adrien-53981</t>
  </si>
  <si>
    <t>a fuir. prix intéressant mais attention si vous ne n'avez besoin de rien vous êtes chez le bon assureur qui vous appelle mon cher sociétaire.les interlocuteurs changent régulièrement.</t>
  </si>
  <si>
    <t>himalaya44--96180</t>
  </si>
  <si>
    <t>Grosse déception au niveau de la garantie vitalité 1.
Je paie 40,05 €/mois et ils me remboursent sur l’achat d’une monture + une paire de verres progressifs seulement 0,15 cts. Quelle honte !!!</t>
  </si>
  <si>
    <t>11/08/2020</t>
  </si>
  <si>
    <t>laurent-92031</t>
  </si>
  <si>
    <t>J'ai eu 2 sinistres en 2019. A ce jour, aucun n'est traité.
Le premier suite à une coupure de courant au mois d'août dernier. La macif soustraite la gestion des sinistres à un cabinet d'expert. Les conseillers de la macif ne font même pas boîte aux lettres car ils ne transfèrent même pas les échanges au cabinet d'expertise. La macif avait avant de devenir une banque des conseillers qui étaient capables de gérer les sinistres : ce n'est plus le cas !
Fuyez cette « assurance »</t>
  </si>
  <si>
    <t>burgard-a-128106</t>
  </si>
  <si>
    <t>Je suis satisfait du service et des devis proposer, les tarifs sons correct, les garanties de couverture son amplement suffisant au vu des tarifs proposés</t>
  </si>
  <si>
    <t>fointard-75373</t>
  </si>
  <si>
    <t>FUYEZ.
Le 21/01/2019 j'ai déclaré deux sinistres (accidents de la route en moto), l'un s'est produit le 17/01/2019, l'autre le 21/01/2019.
J'étais responsable pour le premier et cela ne leur a pris qu'une semaine pour m'annoncer que je ne serai pas indemnisé.
Quant au second sinistre, alors que l'autre conductrice impliquée ne cessait de répéter qu'elle était indéniablement responsable sur les lieux de l'accident, je n'ai toujours pas de réponse quant aux responsabilités engagées TREIZE semaines plus tard.
les coordonnées des témoins de l'accident ont été fournies fin janvier mais les témoignages associés n'ont été transmis par le courtier à la compagnie d'assurance qu'un mois plus tard, fin février.
Sans nouvelles, j'ai régulièrement rappelé pour être informé de l'avancement du dossier, toujours "dans l'attente du retour de la compagnie" qui semble ne jamais venir et que peyrac refuse de relancer régulièrement lorsque j'en fais la demande.
Je procède à une nouvelle relance téléphonique le 15/04/2019 qui donne lieu à une réponse par mail le lendemain : la compagnie d'assurance n'a en fait jamais reçu le témoignage envoyé fin février et personne n'a pris la peine de vérifier que les pièces aient été reçues. Il semble en fait que personne ne suive le dossier.
Le 24/04/2019 j'envoie un mail récapitulant toutes ces étapes et demandant des réponses ainsi qu'un geste commercial. Pas de réponse.
Je rappelle donc peyrac le lendemain qui me confirme pourtant avoir bien reçu mon mail (mais c'est encore une fois à moi de me battre pour que mon dossier soit traité).
Durant ce coup de fil, on m'explique que les 7 semaines perdues à attendre que la compagnie recoive le témoignage le sont car "d'habitude quand un mail n'est pas distribué on recoit une notification". On m'explique aussi que les frais de gardiennage (10 euros par jour figurants sur le devis) restent à ma charge alors que la moto a initialement été déposée il y a plus de 80 jours au garage et que SEPT SEMAINES ont été perdues faute de suivi. Concernant mon matériel endommagé (cuir/bottes/casque), on m'explique que c'est à moi de recontacter l'expert pour qu'il puisse l'examiner et biensur, concernant le geste commercial, on contourne systématiquement ma question pour éviter d'y répondre.
J'attends toujours "un retour de la compagnie dans les plus brefs délais", entre temps la moto ne démarre plus car après 3 mois inactive au garage, elle est à plat. Sourde oreille quant à mes questions à ce sujet aussi, j'imagine que cela va rester à ma charge, tout comme l'abonnement de transports en commun que je dois payer depuis trois mois. Et je dois aussi me résoudre à dépendre d'un collègue pour aller à mes entrainements mais toujours aucune mention de cet élément par téléphone. "C'est pas grave".
En résumé, à moins d'apprécier les galères sans nom, FUYEZ AUSSI VITE ET LOIN QUE POSSIBLE, sinon bonne chance.</t>
  </si>
  <si>
    <t>jacob312-52784</t>
  </si>
  <si>
    <t xml:space="preserve">Bonjour à tous,
Il y a lieu de s'interroger sur les interactions entre les plateformes "Le furet¨,¨ASSURLAND¨et la MAAF : La MAAF a-t'elle des actions dans ces sociétés ou paie-t-elle les commissions directeme,t à ces plateformes pour planter leurs clients?
Depuis que je suis à la MAAF je ne reçois plus de propositions à  des tarifs intéressants moins chers que la MAAF qui atteint des sommum malgra le confinement  et les réduction de % des  bonus est au même prix quasiment que l'année précédente </t>
  </si>
  <si>
    <t>18/11/2020</t>
  </si>
  <si>
    <t>rkoj-86680</t>
  </si>
  <si>
    <t>Tout va bien jusqu'au jour où vous avez un sinistre! 
Je ne vais pas rentrer dans les détails du dossier mais l'assurance prend en charge le sinistre sur mon véhicule. 
Depuis novembre 19, aucune personne du service sinistre m'a appelé pour m'informer du suivi de dossier. 
Je suis toujours à la recherche d'information entre l'expert, le réparateur agrée et le service sinistre.A chacun de mes appels, le "gestionnaire du dossier" est en attente de retour et indisponible pour me répondre.
Un conseillé m'a même dit, il y'a quelques jours: "vous êtes toujours le propriétaire du véhicule, vous pouvez le prendre,le faire réparer à vos frais, nous rembourserons après." 
Sur quelle Base? il ne savait pas!
A quoi me sert alors de prendre une assurance (hors obligatoire)?</t>
  </si>
  <si>
    <t>03/02/2020</t>
  </si>
  <si>
    <t>georges-antoine-c-123710</t>
  </si>
  <si>
    <t>Je suis satisfait du service, mais je n'ai encore jamais eu de sinistre à traiter, celui que je déclare aujourd'hui et le premier en 4 ans et demi. Nous verrons donc comment cela va se passe</t>
  </si>
  <si>
    <t>pandrot-l-122812</t>
  </si>
  <si>
    <t>Parfait pour jeune conducteur car les prix sont attractifs.
Egalement, il est facile à souscrire à leur assurance par internet.
Possibilité du parrainage super</t>
  </si>
  <si>
    <t>timaho-54109</t>
  </si>
  <si>
    <t>Un arbre du bois du voisin suite tempête zeus tombé sur ma toiture. Bachage fait et pris en charge par maif. Le charpentier a envoyé devis travaux réfections à la maif pour accord. Depuis donc 35 jours auxune nouvelles de la maif.. je ne comprends pas..</t>
  </si>
  <si>
    <t>16/04/2017</t>
  </si>
  <si>
    <t>gabriel-t-130528</t>
  </si>
  <si>
    <t xml:space="preserve">Je suis satisfait du prix est des devis je recommande votre assurance en espérant ne pas galère si y a un souci bonne qualité est rapide pour réaliser </t>
  </si>
  <si>
    <t>red1-114577</t>
  </si>
  <si>
    <t xml:space="preserve">Vous êtes vraiment génial ma dame je vous donne 5/5 pour direct assurance a grâce a vous vous m'avez validé mon dossier très rapidement j'espère que la prochaine fois je tombe sur vous pour assurer une autre voiture </t>
  </si>
  <si>
    <t>22/05/2021</t>
  </si>
  <si>
    <t>benibe-60534</t>
  </si>
  <si>
    <t xml:space="preserve">Malheureux sinistre en mars sur mon véhicule, véhicule Hs, expert a mis un peu de temps à passer expertiser mon véhicule ce qui a mon sens est compréhensible vu que c'était en plein confinement, véhicule expertisé jusqu'ici tout va bien dans mon malheur.Je tente de joindre la Matmut par téléphone pour véhicule de prêt, impossible, une fois encore je fais preuve de clémence car on est dans une situation inédite. Par contre la Matmut me demande : Justificatif de domicile, copie cni, justificatif des fonds, copie des relevés bancaires laissant apparaître la transaction d'achat du véhicule, facture d'achat du véhicule ( justificatif des fonds, relevés bancaires ils n'ont pas le droit ) mais je suis coopératif je veux être indemnisé au plus vite et acheter une autre voitures ( quel naïf je suis) 
Puis quelques semaines après avoir envoyé les documents je me permet d'appeler la Matmut ( désolé du dérangement) on me répond que le dossier est en cours de gestion
Je laisse passer deux semaines je rappelle, on me répond que mon dossier est géré à Rouen et qu'il faut les appeler à un numéro qu'on me donne ( je penses que c'est une farce et que c'est une ligne sur laquelle le téléphone a été débranché et c'est pour rigoler entre collègues)
Je passe en agence semaine dernière, j'expose mon problème et la personne me dit qu'elle va envoyer un mail au service concerner ( je pense qu'elle jouait en ligne derrière son écran comme dans les simpson pour ceux qui connaissent) 
Depuis, j'attend, comme un enfant attend le père Noël, j'ouvre désespérément ma boîte à lettre dans l'attente du graal, un courrier de la Matmut, quand j'ai 2 min en buvant mon café j'appelle le fameux numéro mystère, ça passe le temps.
Et bien évidement, j'ai le contrat turbo ++++ haut de gamme référence préférence luxe et je continue à payer mes 95€ de mensualités. 
Bref, j'aurais du me méfier car quand une assurance fait faire sa promotion par des humoristes faut pas s'étonner d'avoir à faire à des clowns.
</t>
  </si>
  <si>
    <t>26/06/2020</t>
  </si>
  <si>
    <t>lefebvre-b-110997</t>
  </si>
  <si>
    <t>simple et pratique, conseiller au top ayant repondu a toutes mes questions.
trés bon service, je recommande, et tarif correct, satisfaite dans l'ensemble</t>
  </si>
  <si>
    <t>olivier38-67388</t>
  </si>
  <si>
    <t>il me font un avenant de contrat a 144 euros que je refuse
mon premier paiement était de 139 euro leur frais de résiliation plus le reste bref je paye env 100euros pour une voiture qui a été assurée chez eux 15 jours le temps de finaliser les papiers impressionnant comment gagner de l argent sur le dos des clients</t>
  </si>
  <si>
    <t>05/10/2018</t>
  </si>
  <si>
    <t>reynald-101744</t>
  </si>
  <si>
    <t>Nul, tres long pour les remboursements, impossible de les joindre par téléphone. Pas de convention avec l hopital privé d'Aix ou j'ai été hospitalisé pour covid, je change de mutuelle.</t>
  </si>
  <si>
    <t>22/12/2020</t>
  </si>
  <si>
    <t>peter-102519</t>
  </si>
  <si>
    <t>Assuré au 01/01/2020 le montant de ma cotisation mensuelle pour mon couple était de 180,86 € en formule 3 , ce qui était parfait....sauf que lorsque j'ai reçu mon échéancier pour 2021 la cotisation devenait 250,32 € soit 38,4 % d'augmentation. Aucune réponse valable ne m'a été fournie , si ce n'est que les frais médicaux avaient augmenté en 2020!!!! Par ailleurs , n'ont toujours pas fait la désinscription auprès de la SS qui trouve 2 mutuelles et bloque la transmission .Non seulement génération augmente de façon inadmissible mais sont mauvais perdants lorsqu'on résilie. A FUIR ( j'ai mis 1* car c'est le minimum , sinon j'aurai mis 0)</t>
  </si>
  <si>
    <t>laetimely-116120</t>
  </si>
  <si>
    <t xml:space="preserve"> J ai assuré mon jeune chat chez santé vet Tres déçue de cette assurance qui rembourse très peu voir quasiment pas..ils ont toujours un argument pour ne pas rembourser..bref je termine l annee chez eux et je pars . ..à fuir </t>
  </si>
  <si>
    <t>06/06/2021</t>
  </si>
  <si>
    <t>daniel-c-107955</t>
  </si>
  <si>
    <t>Passer de 362 Euros de cottisation annuelle à 454 Euros sans sinistre et en 2 ans c'est ABUSER,, revoyer votre politique tarifaire, je vais vous mettre en concurence</t>
  </si>
  <si>
    <t>yves-79494</t>
  </si>
  <si>
    <t>Gwendal s'est montré à l'écoute, sympathique et très professionnel. Mes attentes ont été pleinement satisfaites.</t>
  </si>
  <si>
    <t>26/09/2019</t>
  </si>
  <si>
    <t>karim-l-110982</t>
  </si>
  <si>
    <t>je suis content de direct assurance. rien à redire pour mon assurance auto depuis aôut 2020. très simple de les contacter et pas de soucis pour le reste</t>
  </si>
  <si>
    <t>christelle-w-106586</t>
  </si>
  <si>
    <t xml:space="preserve">Je suis satisfaite de votre pris par contre je ne suis pas satisfaite de votre qualité en cas de sinistre.
il est très compliqué de vous joindre.
impossible de faire une déclaration sur votre site. Cela me propose uniquement mon contrat voiture alors que je souhaite faire une déclaration sur l'habitation. 
 </t>
  </si>
  <si>
    <t>andrei-c-127271</t>
  </si>
  <si>
    <t>Je suis satisfait pour le prix 
J etais deja assurer chez le direct assurance et ils sont tres profesionel 
Ils ont prix vite en charge toutes mes demandes</t>
  </si>
  <si>
    <t>alice-b-112119</t>
  </si>
  <si>
    <t xml:space="preserve">Satisfaite de l'échange, amabilité et compétence
Explication sur le contrat claire et conscrit
Rapidité dans l'envoi des documents
Merci de l'accueil
</t>
  </si>
  <si>
    <t>kocol-p-127576</t>
  </si>
  <si>
    <t>Je suis satisfait, la réponse à été rapide, et j'ai été agréablement surpris des prix et de l'assistance. Je vais sûrement continuer avec avec eux pour un bout de temps.</t>
  </si>
  <si>
    <t>bideau-71509</t>
  </si>
  <si>
    <t xml:space="preserve"> Je suis assuré Maif depuis toujours, j’ai 52 ans .
En 52 ans sinistre responsable 2 dégats des eaux (bénin).
Dernièrement, un bris de vitre qui m’ a couté quelques centaines d’euros de ma poche(hors franchise),car le remplacement à l’identique et les barèmes d’assurance Maif ne doivent pas être les mêmes que les autres ..
Je cotise plus de 2100€ tous les ans sur 50 ans je devrais être bon client (j’ais toute les assurances Maif possible) .
Je viens d’avoir un sinistre(le 24/02/19) non responsable (j’étais garé).
Expertise, qui se passe mal, l’expert me propose 1000€ pour que je me débrouille pour faire  réparer(pièces abimées  /les 4 portes, bas de caisse ,deux ailes)
J’ai déjà eu ce problème pour mon dégâts des eau 500€ proposé par l’expert, j’ai fais venir un pro 1800€ de réparation.(refuser ces propositions malhonnête)
Je reçois un appel de mon gestionnaire, un mois et demi âpres le sinistre , le verdict tombe , véhicule poubelle ou dépassements à ma charge avec suivi d’expert payant(VEI).
Je demande que l’on m’envois ça par écrit.
Le 15/02/19 je reçois un courrier qui me propose trois solutions .
-1 vente du véhicule a la Maif
-2 réparations avec (VEI )suivi expertise et  dépassement à ma charge
-3 dont a un casseur
Quelle incompétence ! 
Pas un chiffre sur la valeur de mon véhicule 
Pas de rapport d’expertise
Pas de devis de réparation
J’ai été réparateur agréé Maif pendant 25 ans , je n’ai jamais vu de telles procédures .
Je pense comme tous les commentaires des assurés, la Maif a malheureusement bien changé !
J’ai demandé mes relevés d’information et vais surement  changé moi aussi ( d’assurance) .
Je vous tiendrais au courant  des suites , mais je n’en resterais pas la ! 
</t>
  </si>
  <si>
    <t>21/02/2019</t>
  </si>
  <si>
    <t>christian-c-127542</t>
  </si>
  <si>
    <t>Simple rapide
J'en suis satisfait. Je serai prêt à la recommandé à mon entourage que sa soit pour une assurance automobile ou maison.
Merci direct assurance</t>
  </si>
  <si>
    <t>vieux-gogo-104646</t>
  </si>
  <si>
    <t>Je vous ai déjà donné mon avis sur Axa,je me répète une dernière fois ,très bon assureur,avec un gros défaut ,néglige ses vieux clients côté tarif ,quand on est client fidèle depuis 44 ans avec plus de 2500€ de frais de gestion laissés chaque année en assurance vie ,il me semble qu’en 2021 au moins une pose tarifaire aurait été bienvenue .cdt H Godard.</t>
  </si>
  <si>
    <t>anne-sophie-s-109236</t>
  </si>
  <si>
    <t>réactivités en terme de devis, envoie et rappel sur rdv
dommage que l'on ne puisse pas avoir le même interlocuteur pour valider le projet définitivment</t>
  </si>
  <si>
    <t>06/04/2021</t>
  </si>
  <si>
    <t>moi-1-78406</t>
  </si>
  <si>
    <t xml:space="preserve">C'est un article mensonger, car il ne prête aucune voiture sous 24 heures comme ils le disent on paix en plus pour ces pack et au final pour nous dire que ce ne serai qu'après e passage de l'expert que nous saurons si oui ou non on aura un véhicule. De surcroît votre voiture accidentée restera chez le remorqueur 2 à 3 jours avant de trouver un garage partenaire. Je déconseille fortement cette assurance. J'avais confiance mais ils m'ont vraiment déçu, j'ai une famille et un boulot et je ne sais vraiment pas comment m'en sortir et eux sa ne l'est préoccupé guère ils disent juste c'est la procédure </t>
  </si>
  <si>
    <t>13/08/2019</t>
  </si>
  <si>
    <t>josselin-p-103323</t>
  </si>
  <si>
    <t>Simple et rapide pour effectuer devis, prix correct et très bonne disponibilité de l'interlocutrice au téléphone ou par mail. A voir sur le long terme mais pour le départ d'un projet c'est top.</t>
  </si>
  <si>
    <t>27/01/2021</t>
  </si>
  <si>
    <t>nathyparis--103879</t>
  </si>
  <si>
    <t xml:space="preserve">Toujours pas indemnisée de la période fin décembre et janvier alors février j'y pense même pas.
C'est comme si votre salaire était payé avec des semaines de retard </t>
  </si>
  <si>
    <t>09/02/2021</t>
  </si>
  <si>
    <t>christophe-m-116000</t>
  </si>
  <si>
    <t xml:space="preserve">les tarifs sont très élevés pour les jeunes conducteurs , alors que je suis client depuis plus de 10 ans sans aucun sinistre déclaré sur 2 véhicules. On me demande plus de 2000 € pour assurer ma fille sur une voiture électrique  (hors de prix ).
</t>
  </si>
  <si>
    <t>antoine-p-130680</t>
  </si>
  <si>
    <t xml:space="preserve">Dommage de ne pas avoir d'avantage lors de la souscription d'un nouveau contrat en étant déjà client..
J'aurais aimé un pourcentage
Autrement service réactif </t>
  </si>
  <si>
    <t>62-59727</t>
  </si>
  <si>
    <t xml:space="preserve"> Je roule en moto depuis 22 ans je n’ai jamais eu d’accident et je suis arrivé chez eu avec un justificatif de mon ancienne assurance pour un bonus maximum. au bout de trois ans d’assurance chez eux  j’ai vendu ma moto, je les ai appelés ils m’ont demandé un acte de cession du véhicule ce qui est normal, et arrêter mon assurance.Deux mois après j’achète une nouvelle moto,  je les appelle par téléphone ,  la conseillère m’informe qu’il me reprenne dans les mêmes conditions, il assure ma moto jusque-là tout va bien .  Environ 15 jours après je reçois des e-mails de menaces (  inscription en liste rouge )  il m’accuse d’avoir fait une fausse déclaration par téléphone  et qu’ils n’ont aucun justificatif de ma part  concernant mon bonus maximum !!  Bien sûr je les ai contacté pour leur indiquer que ma dernière assurance était chez eux, mais rien n’y a fait la bêtise là emporté !!  Le pire c’est que je ne pouvais pas les quitter pendant neuf mois, donc pour ne pas me retrouver sur liste rouge j’ai payé un mois au prix fort et revendu la moto .  J’ai depuis racheter nouvelle moto et me suis tourné vers mon ancien assureur qui lui il ne m’avait pas vu depuis plus de trois ans mais m’a quand même repris avec un bonus maximum  car eu avais toujours mon dossier .  Tout ça pour gagner 47 €  l’année !</t>
  </si>
  <si>
    <t>28/12/2017</t>
  </si>
  <si>
    <t>epiphane-62365</t>
  </si>
  <si>
    <t>attention à  leut méthode commercial le droit à la rétractation  pas respecté vous facture des mois à  l'avance jamais vu ça avec mes précédents assurances</t>
  </si>
  <si>
    <t>15/03/2018</t>
  </si>
  <si>
    <t>mme-boivin-109723</t>
  </si>
  <si>
    <t xml:space="preserve">Un prix exorbitant mais pas le choix car c'est une mutuelle employeur obligatoire.
Des délais de traitement annoncé 48h j'en suis à 2 mois d'attente et toujours rien.  Je les appelle toutes les semaines mais toujours une même réponse il faut patienter... 
Une vraie honte cette mutuelle 
</t>
  </si>
  <si>
    <t>dahou-m-125936</t>
  </si>
  <si>
    <t>c'est correct ...
Le prix pourrait etre encore meilleur , on n attendra donc la prochaine fois, sinon la rapidité est confortable donc merci encore et à bientot</t>
  </si>
  <si>
    <t>bd-52469</t>
  </si>
  <si>
    <t>Service client déplorable: au moins 5 appels et aucun des conseillers ne me répond la même chose et mon problème n'est toujours pas résolu (je demandais juste à Direct Assurance de résilier mon contrat avec mon ancienne assurance. Cela ne me parait pas compliqué, mais ils n'ont pas réussi à le faire malgres plusieurs appels). Il serait nécessaire et urgent d'indiquer une adresse mail au client afin de pouvoir exposer sa demande, et reçevoir une réponse claire par email, car dans le cas de direct assurance, nous ne parlons apparement pas la même langue...Cela me donne l'impression que les conseillers récitent leur fiche, sans même avoir ecouter la question. Le ton de certains conseillers était à la limite de l'insulte et de la menace</t>
  </si>
  <si>
    <t>16/02/2017</t>
  </si>
  <si>
    <t>jlpicard83-76098</t>
  </si>
  <si>
    <t xml:space="preserve">Lors de ma prospection, j'ai reçu immédiatement le detail de chaises offres ainsi que les tarifs mensuels/annuels sans avoir à attendre la réception d'un mail ou le rappel 2 jours plus tard d'un conseiller... j'ai appelé le service client avant la souscription pour confirmer que j'avais bien compris l'une des clause , et une fois rassuré je suis retourné finaliser ma demande sur internet. Un conseiller m'a rappelé dans les 3 minutes pour valider mon contrat et mon paiement en ligne et je recevais ma carte verte provisoire immédiatement par mail . </t>
  </si>
  <si>
    <t>20/05/2019</t>
  </si>
  <si>
    <t>jas-59950</t>
  </si>
  <si>
    <t>Delai entre l expertise (071217) et rapport d expertise (271217) honteusement long.de plus, les reparations ne commencent qu apres ce rapport d ou un mois et demi d immobilisation donc sans voiture. Enfin pour une tentative de vol avec effraction, 250 euros de franchise pour cout total de 500 euros.</t>
  </si>
  <si>
    <t>29/12/2017</t>
  </si>
  <si>
    <t>joh-75435</t>
  </si>
  <si>
    <t>Refus de CEGEMA d'effectuer la clôture de mon dossier alors que ma nouvelle mutuelle s'était chargée de l'information à CEGEMA de mon inscription chez eux (EOVI MCD) avec tous les documents dont ma demande de résiliation faite dans les  délais. Augmentation tarifaire de près de 10% annoncée le 1er décembre 2018, j'ai réagi immédiatement pour trouver une autre mutuelle moins chère</t>
  </si>
  <si>
    <t>27/04/2019</t>
  </si>
  <si>
    <t>arnaud-111348</t>
  </si>
  <si>
    <t>Assurance en ligne à recommander. Mon conseiller Sylvain a été très à l'écoute pour m'accompagner dans mes démarches.
Malgré le covid ils sont très performants</t>
  </si>
  <si>
    <t>joel-c-131749</t>
  </si>
  <si>
    <t>je suis satisfait du service, les prix sont tout a fait abordables et moins cher que mon assurance actuelle. 
je recommanderais direct assurance a mon entourage</t>
  </si>
  <si>
    <t>fauconnier-a-108577</t>
  </si>
  <si>
    <t xml:space="preserve">je  suis satisfaite du  prix, de la facilité d'inscription du délai et de la rapidité d'avoir un devis, les mails... 
je recommanderai facilement l'olivier </t>
  </si>
  <si>
    <t>30/03/2021</t>
  </si>
  <si>
    <t>la-rouquine-102373</t>
  </si>
  <si>
    <t xml:space="preserve">J'ai voulu obtenir des renseignements sur la mutuelle en cas de retraite. J'ai obtenu toutes les modalités à connaître du passage de la vie active à la retraite concernant la mutuelle. je reste en attente d'un courriel récapitulatif. Merci pour ces renseignements. Mon interlocutrice etait compétente. </t>
  </si>
  <si>
    <t>08/01/2021</t>
  </si>
  <si>
    <t>michel-s-108893</t>
  </si>
  <si>
    <t>Satisfait du service, mais cela pourrait être mieux s'il y avait possibilité d'envoyer de temps à autre un e-mail !
J'ai un rendez vous téléphonique ce jour à 10h qu eje ne pourrai tenir et impossible de faire parvenir un message à mon correspondant.</t>
  </si>
  <si>
    <t>kg-100909</t>
  </si>
  <si>
    <t>Mon délai d'attente a été correct.
Et j'ai eu les informations que je voulais. Dommage de devoir passer par par internet et non directement par téléphone pour faire un ajout de souscription.
En tout cas j'ai eu toutes les informations que je voulais et l'accueil était très bien.</t>
  </si>
  <si>
    <t>03/12/2020</t>
  </si>
  <si>
    <t>maelys-75926</t>
  </si>
  <si>
    <t xml:space="preserve">assurance qui attire avec ses prix , Mais je vous la déconseille Fortement , car quand on a des problèmes il y'a plus personne , ça fait 5 mois que j'attends un remboursement, j'ai appelé plusieurs fois ,à la fin on me dit d'aller voir le service consommateur si je suis pas contente </t>
  </si>
  <si>
    <t>15/05/2019</t>
  </si>
  <si>
    <t>sylvie13800-53859</t>
  </si>
  <si>
    <t>Mutuelle obligatoire entreprise incompétent délai remboursement à rallonge troptions cher au vu des remboursements minable site internet qui sert à rien tt doit se faire par courrier qui évidemment ne arrive jamais</t>
  </si>
  <si>
    <t>05/04/2017</t>
  </si>
  <si>
    <t>dometfred-70997</t>
  </si>
  <si>
    <t>augmentation de 20% du montant de la cotisation lors de l'échéance du contrat (renouvellement de la cotisation pour une nouvelle année). Sinistre responsable ou non c'est la même chose, l'assurance prend 20% dans tous les cas. Garanties chères ( franchise fixe + pourcentage sur le montant des réparations). Devient une assurance avec des tarifs se rapprochant de la concurrence donc plus aussi intéressante pour l'assuré.</t>
  </si>
  <si>
    <t>06/02/2019</t>
  </si>
  <si>
    <t>jean-62412</t>
  </si>
  <si>
    <t xml:space="preserve">j ai subi un petit sinistre dégât des eaux dont la responsabilité incombe à un voisin dans un immeuble collectif j ai accepté leur proposition de me proposer l entreprise pour les réparations mais ils s arrangent entre eux sur le dos des sociétaires pour fournir une prestation au plus bas prix avec les conséquences que cela implique
</t>
  </si>
  <si>
    <t>16/03/2018</t>
  </si>
  <si>
    <t>kowalski-s-123813</t>
  </si>
  <si>
    <t>Prise de contact et renseignement rapides. 
La mise en œuvre du contrat a été rapide et efficace.
Le rapport qualité/prix est très bon.
Je recommanderai</t>
  </si>
  <si>
    <t>nours-125958</t>
  </si>
  <si>
    <t xml:space="preserve">A l'écoute répond quand on les appels pour payer votre cotisation ultra-rapide par contre pour vous rembourser votre moto déclaré épave  plusieurs sociétés s'occupe de votre dossier et c'est la patate chaude conclusion déjà 2 mois et demie et toujours pas de remboursement  le groupe icar attend la cession de carte grise par la préfecture comclusion faut pas avoir d'accident chez AMV sinon pas de véhicule pour allez aux boulot ??????????très Déçus mes bon mon frère qui travail aux ministère de l'intérieur vas s'occuper de  mon dossier en rentrant de vacances </t>
  </si>
  <si>
    <t>remy-c-126159</t>
  </si>
  <si>
    <t xml:space="preserve">Je suis satisfait des prix après a voir sur le long terme comment est gérer la prise en charge lors d’un sinistre ou autre, et très satisfait de l accessibilité au site </t>
  </si>
  <si>
    <t>alpes-86925</t>
  </si>
  <si>
    <t>Cliente depuis 40 ans à la MATMUT je vais changer d'assureur : en effet Le service Déclaration des sinistres d'Aix en Provence est impoli et agressif et c'est pourquoi je préfère téléphoner au Siège. Ce n'est pas la première fois que cela se passe. J'ai fait une déclaration après qu'une voiture de location me soit rentrée dedans. Impossible de faire comprendre à mon interlocutrice que le conducteur n'avait pas de document sur lui. Cette personne était agressive, discourtoise, elle a haussé le ton, a refusé de me donner son prénom et de me passer sa responsable et bien sur le service clients.</t>
  </si>
  <si>
    <t>10/02/2020</t>
  </si>
  <si>
    <t>marc-b-135419</t>
  </si>
  <si>
    <t xml:space="preserve">Très satisfait du tarif et la clarté des informations sur le contrat de mutuelle , services rapides et efficaces en ligne
Merci de votre réactivité 
Cordialement </t>
  </si>
  <si>
    <t>arnodinho-64929</t>
  </si>
  <si>
    <t>Client depuis 2012 et très satisfaits des services.
Satisfaits du rappel pour nouveau contrat et nouveau tarif</t>
  </si>
  <si>
    <t>20/06/2018</t>
  </si>
  <si>
    <t>mickael-f-114372</t>
  </si>
  <si>
    <t xml:space="preserve">je suis satisfait du service , prix raisonnable , petit bémol les franchise a payé surtout quand ce n'est pas de notre faute ou aucun incident a déclaré depuis un moment  </t>
  </si>
  <si>
    <t>20/05/2021</t>
  </si>
  <si>
    <t>marre-des-arnaques-97964</t>
  </si>
  <si>
    <t>Frais caches...
Veulent prelever une cotisation d'assurance 2 mois avant l'echeance...et meme plusieurs jours avant la date stipulee sur leur avis d'echeance.
Point interessant, sur leur avis d'echeance il est stipule qu'ils prelevent des frais en cas de rejet de prelevement....et comme par hasard sur leur prelevement en avance d'en avance, ils veulent facturer des frais de rejet de prelevement au motif de "RIB absent".
Je ne semble pas tout seul dans ce cas.
On dirait une pratique courante pour gonfler leurs benefices.
Je m'en vais declarer cela a la repression des fraudes.</t>
  </si>
  <si>
    <t>patrick-c-106146</t>
  </si>
  <si>
    <t>Le service est simple et pratique et rapide.
Quelques conseils formulés intéressants
le tarif es bon et concurrentiel
la seule surprise est le paiement de trois mensualités dès aujourd'hui</t>
  </si>
  <si>
    <t>opinion2-56240</t>
  </si>
  <si>
    <t xml:space="preserve">Par le moment j'ai assurer deux voitures avec.. mais ce est le dernier année, quand je faite des comparassions de prix je trouve beaucoup différences pour les mêmes garantis, en plus, deux fois me ont offerte remboursements, que jamais arrive a mon compte.        </t>
  </si>
  <si>
    <t>25/07/2017</t>
  </si>
  <si>
    <t>candide-97362</t>
  </si>
  <si>
    <t>J'ai déposé une demande de rachat DE LOI Madelin  auprès de la Caisse d'Epargne (intermédiaire) le 7/08/2020. La loi prévoit que cette somme doit être à ma disposition dans un délai de 30 jours. Nous sommes le 14 et toujours rien. Un scandale! Chaque jour qui passe sans cet argent, a un coût; argent nécessaire pour l'entreprise. Peut être va t'on me dire que mon dossier était incomplet alors que le contenu a été vérifié par le conseiller Caisse d'Epargne.
Au niveau du soutient aux entreprises ...</t>
  </si>
  <si>
    <t>14/09/2020</t>
  </si>
  <si>
    <t>boulou-98524</t>
  </si>
  <si>
    <t>A fortement déconseiller, si vous n'avez pas besoin d'eux, pas de problème. Suite à une fuite d'eau avec 200m3 disparu d'eau sous la maison, leur expert n'a pas vu le lien entre cette fuite et les fissures et affaissement de ma maison. Et tout ceci avec une mauvaise fois flagrante malgré une contre-expertise réalisée à mes frais. Seule solution :expertise judiciaire , des années de combat et des milliers d'euros à avancer.</t>
  </si>
  <si>
    <t>08/10/2020</t>
  </si>
  <si>
    <t>lyly05-64514</t>
  </si>
  <si>
    <t xml:space="preserve">Assurée en janvier après plusieurs relances de ma part,
soucis pdf/jpg, versement de 2 mois d'assurance,autorisation de prélèvement dans les règles...etc
les prélèvements prévus n'ont pas été effectués,aucun incident sur mon compte, et je reçois une lettre de société de recouvrement pendant mon absence (plusieurs mois), PIRE celle ci m'apprend que je ne suis plus assurée!
IMPOSSIBLE DE JOINDRE April Moto
et pas de réponse aux mails!!!Je ne sais pas comment cela va finir, mais ,prendre une autre assurance quand un a été résilié pour "défaut de paiement" (alors que je suis pas fautive!!!)je suppose que cela coûte!
si on peut me conseiller.....
</t>
  </si>
  <si>
    <t>05/06/2018</t>
  </si>
  <si>
    <t>maud59-78764</t>
  </si>
  <si>
    <t>En prospection à la recherche d'un contrat de maintien de salaire, j'ai consulté les avis concernant cet organisme de prévoyance, les avis négatifs m'avaient mise sur mes gardes. Aussi je tiens à faire savoir que pour ma part j'ai été renseignée de façon très professionnelle lors de mon appel à l'agence de Lille Sud. La personne que j'ai eu au téléphone a su lever toutes mes interrogations et inquiétudes quant aux clauses de la garantie à laquelle je souhaitais souscrire, clauses qui étaient restées floues pour moi après mon passage à l'agence de Lille Centre.
Les réponses ont été claires et précises, cette personne (Valérie-agence de Lille Sud) a su me répondre clairement, de façon très professionnelle, alors que notre échange empiétait sur le temps de pause/fermeture de l'agence. Je suis du coup rassurée sur la suite et ça m'a convaincu d'adhérer chez Intériale, d'autant que les agences de Lille sont accessibles en physique et en téléphonique, et pas uniquement sur une plateforme téléphonique ou en ligne.</t>
  </si>
  <si>
    <t>28/08/2019</t>
  </si>
  <si>
    <t>patnav-65962</t>
  </si>
  <si>
    <t>Assurés à la MAAF depuis plus de 25 ans toutes assurances confondues: habitation, voitures, motos. Nous venons de recevoir un avis de résiliation pour notre contrat habitation sous le prétexte: 'trop de sinistres' ! Nous n'avons eu depuis 25 ans 2 déclarations pour dégâts des eaux pour des montants inférieurs à 200 euros et une déclaration de vol. C'est prendre les gens pour des vaches à lait, tant qu'on paye et qu'on ne demande rien tout va bien, encore que pour avoir des informations on tombe souvent sur des incompétents au téléphone. Par contre il suffit d'un sinistre plus sérieux pour qu'on vous résilie votre contrat ! Mais enfin à quoi sert une assurance si elle ne veut pas prendre en charge les sinistres, il faut changer de métier.</t>
  </si>
  <si>
    <t>03/08/2018</t>
  </si>
  <si>
    <t>madalina-s-123004</t>
  </si>
  <si>
    <t>Je suis satisfait du service ,,simple et pratique,les prix sont tres convenables et le service est rapide;  de plus,la comunication avec le client est tres facile</t>
  </si>
  <si>
    <t>amiri-j-121943</t>
  </si>
  <si>
    <t xml:space="preserve">Je suis satisfait mais je n'est pas encore affaires à vous. Je n'ai pas trouver des problèmes avec la vioture. Je suis cliente chez depuis 3 ans il faudrait diminuer le prix de mon forfait. </t>
  </si>
  <si>
    <t>charlotte-52801</t>
  </si>
  <si>
    <t>Je suis chez April International via mon contrat de VIE. Cela fait deux mois que j'attends un remboursement de plus de 600 euros (montant récemment monte a plus de 1000 €; April ne bouge pas le petit doigt pour m'aider, une réponse a un mail sur deux, en disant simplement qu'ils relancent le siege, et des mensonges puisqu'ils me disent que les originaux ne leur sont pas parvenus alors que j'envoie le tout par courrier suivi et en express, et que certaines factures comprises dans le courrier (les moins cheres) ont été traitées.</t>
  </si>
  <si>
    <t>effel-59428</t>
  </si>
  <si>
    <t>Client depuis 40 ans je constate aujourd'hui que la Macif est devenue incapable de gérer un dossier simple. Tentative de vol 2 roues avec violence. Le véhicule n'a finalement pas été volé mais endommagé. Sans le dire, la Macif a délègué la gestion du dossier à son sous-traitant, le cabinet d'expertise et n'assure aucun suivi. Plus de 2 mois et de multiples relances de l'expert pour obtenir un rapport d'expertise. Et encore un mois supplémentaire et plusieurs appels à la Macif pour arriver à un versement d'office sans m'avoir informé ni consulté d'une somme à la place de la réparation des dommages. Le pire est bien sûr le suivi. Ayant connu l'époque où la Macif était une mutuelle sérieuse et compétente, quelle dégringolade... Je fuis.</t>
  </si>
  <si>
    <t>05/12/2017</t>
  </si>
  <si>
    <t>jf-123141</t>
  </si>
  <si>
    <t>Les conseillers sont peu formés et font des réponses incohérentes et pleines de fautes d'orthographe, c'est assez lamentable car ils cherchent surtout à ne pas indemniser les assurés, il s'agit de l'assurance habitation dans mon cas.</t>
  </si>
  <si>
    <t>bob31--98401</t>
  </si>
  <si>
    <t xml:space="preserve">J ai eu sinistre depuis maintenant 15 jours a cette date cela fait 3 fois que l on me dit qu un expert est contacté rien rien du tout le manque de sérieux de compétence aussi je pense faire appel à la défence des consonnatieur si rien ne se passe dans les jours qui arrivent  je vous la déconseille fortement </t>
  </si>
  <si>
    <t>poucet62-119110</t>
  </si>
  <si>
    <t>voiçi mon avis j'avais envoyer une lettre chez april_moto avec les photocopies de ma carte grise et l'assurance de mon scooter;pour leur demander pourquoi que la date de validité de ma carte grise ne correspond pas à celle de l'assurance,et sur la lettre je leur et demander si il fallait une preuve de chez eu pour mettre mon scooter à la casse car il ne me serre pas.et j'ai mis je ces que se n'es pas en recommander mes d'avoir une réponse de chez eu par courrier jamais eu de nouvelles.je les fait par leurs site toujours les memes réponse.et dans leurs mais il y as une adresse elle est fausse.et dans un autre site il faut que je change toujours soit de mot de passe ou que je mes mon numéro de client.il faut que je le fait à chaque fois,ils ne répondent pas normalement pour expliquer les questions de posée.</t>
  </si>
  <si>
    <t>vovette-103757</t>
  </si>
  <si>
    <t>A QUOID ÇA SERT DE QUE JE PAYE UNE COMPLÉMENTAIRE SANTÉE A AXA,POUR QUE ÇA SOIT NÉOLIANE SANTÉ PRÉVOYANCE QUI ME REMBOURSE,JE NE PEUX PAS ENPAYER 2 ÇA VA ME FAIRE TROP,DE PLUS J'AI RIEN DEMANDER ET J'AI RIEN SIGNER..</t>
  </si>
  <si>
    <t>05/02/2021</t>
  </si>
  <si>
    <t>nico-98741</t>
  </si>
  <si>
    <t xml:space="preserve">Mauvaise foi. Date d echeance pas en lien avec la date du crédit. Lent . Demande toujours des documents pour  ralentir les résiliations.  
A éviter. Organisation trop vieille.  </t>
  </si>
  <si>
    <t>georges-m-105313</t>
  </si>
  <si>
    <t>contant des prix et conditions ainsi que des explications  données en espérant que nos rapports dureront longtemps dans une bonne entente chose qui n a pas eu lieu avec les autres assureurs</t>
  </si>
  <si>
    <t>diego-l-109881</t>
  </si>
  <si>
    <t>Simple et pratique
Moins cher que la concurrence
Satisfait de ce service
Le cheminement de la souscription est clair, pratique , efficace . En quelques clics</t>
  </si>
  <si>
    <t>annael-65731</t>
  </si>
  <si>
    <t>J'ai eu une fuite d'eau chez moi, j'ai contacté la macif (agence Dupleix) ils m'ont dit de prendre un plombier pour rechercher la fuite et que ce service est remboursée. J'ai pris un plombier et je me suis déplacé encore une fois pour leur donner à main propre la facture du plombier 115,50 Euros. La demoiselle a fait la photocopie et m'a promis que quelqu'un de la IMHA me contactera. 2 mois plus tard je contact la IMHA qui me disent qu'ils n'avaient rien reçu de la part de la macif et qu'il fallait que je renvoie la facture. Je l'ai renvoyé par mail le 3 juillet 2018 mais personne n'appelle ! je les recontacte le 26 juillet et le monsieur me dit qu'il a reçu mon mail le 20 juillet !! A la fin quand je lui ai dit qu'ils baladaient les gens car ils étaient complices avec la macif, il m'a dit affirmé et confirmé que OUI ils étaient complices avec la macif car ils travaillent pour eux. Actuellement je prépare 2 lettres recommandées pour ces 2 établissements dans lesquels j'exige l'enregistrement des appels. Pourriez vous me conseiller une compagnie d'assurance qui respecte ses clients ?</t>
  </si>
  <si>
    <t>26/07/2018</t>
  </si>
  <si>
    <t>guilery-t-128785</t>
  </si>
  <si>
    <t>Très bonne accueil téléphonique, rapidité, site très intuitif. Seul bémol un partenariat avec iGraal pour cash back de 55 € impossible à valider au moment de finaliser par le paiement de l’acompte en CB. À chaque le message «  ouie une erreur c’est produite veuillez contacter un conseiller ».
Dommage 55€ ce n’est pas une petite somme….</t>
  </si>
  <si>
    <t>ilham-h-117645</t>
  </si>
  <si>
    <t xml:space="preserve">tres bien juste des difficulte a se connecter pour envoyer des documents bonne relation avec le client 
rappel aussitot quand il y a un pbl 
la j'ai besoin de vous envoyer des documents cela ne passe pas 
</t>
  </si>
  <si>
    <t>loic-d-116011</t>
  </si>
  <si>
    <t>je suis satisfait du service , les prix pourrait être un peu plus attractifs , un effort pourrait êtres fait la dessus. Sinon réactif a nos solisitations</t>
  </si>
  <si>
    <t>caciana-n-108658</t>
  </si>
  <si>
    <t>je suis satisfaite du service, les prix me conviennent et les personnes sont serviables et efficaces.
Rapidité et des conseils avisés etc etc etc .....</t>
  </si>
  <si>
    <t>sylvie-b-128545</t>
  </si>
  <si>
    <t xml:space="preserve">Fluide, contrats auto et habitation souscrits avec facilité avec une conseillère très professionnelle et que je remercie.
Je recommande donc cette assurance. </t>
  </si>
  <si>
    <t>18/08/2021</t>
  </si>
  <si>
    <t>beagrim07-74647</t>
  </si>
  <si>
    <t xml:space="preserve">Une catastrophe cette assurance. Pour résilier mon assurance régime de prévoyance familiale accident, contractée en même tant que l assurance voiture ( Je ne le savais même pas ), on me demande de payer 79,18 euros pour l annulation de l avis d échéance !!!  Du jamais vu avec aucune assurance, je ne suis pas prête de vous faire de la pub ! 
Je précise courrier envoyé dans les temps et RAR </t>
  </si>
  <si>
    <t>momad-58701</t>
  </si>
  <si>
    <t>cet assureur demande de nombreux documents et donne un mois pour leur transmettre. En octobre 2017 il y a eu la mise en place de la carte grise par internet ce qui a pu occasionner des retards. c'était mon cas avec à l'arrivée une résiliation du contrat sous les conditions suivantes: 1 mois d'assurance payées; frais de dossier d'inscription;  frais de dossier de résiliation et frais de résiliation. Sur 130 € ils vont me rendre une trentaine d'€ ... après un mois d'assurance !</t>
  </si>
  <si>
    <t>08/11/2017</t>
  </si>
  <si>
    <t>joel-d-132273</t>
  </si>
  <si>
    <t xml:space="preserve">Je suis satisfait des tarif par rapport à la macif depuis plus de 40 ans à voir par la suite si je serais complètement satisfait en vous remerciant mr Desarzens </t>
  </si>
  <si>
    <t>constantin-m-121456</t>
  </si>
  <si>
    <t>Tarif satisfaisant et attractif et réponse rapide par téléphone. L agent que j ai eue au téléphone était très sympa. Des conditions d assurance complétés.</t>
  </si>
  <si>
    <t>flonord-59719</t>
  </si>
  <si>
    <t>ATTENTION ! Aujourd'hui j'ai dû saisir le médiateur des assurances pour trouver une solution à mon litige avec eux. Cela fait 8 mois qu'ils ne m'indemnisent plus.
A 35 ans, suite à un cancer du sein de grade 3, je suis en ITT. Ils ont stoppés les indemnisations sans raisons. Je suis à jour de paiement de mes cotisations et me soumet à toutes leurs demandes d'informations (certificat médical signé de mon médecin traitant) mêmes les plus "curieuses" comme des informations n'ayant aucun rapport avec ma pathologie cancéreuse. Des envois sont perdus, malgré le recommandé. Les délais de traitements sont abusifs : 2 mois ! et au bout de ce délai ils me réclament sans cesse de nouveaux documents. Ils me réclament jusqu'à 4 fois le même document . Le service client est extrêmement difficile à joindre. Ne répondent jamais aux mails.
Quand on subit une maladie si lourde ayant entrainé mastectomie, chimiothérapie et radiothérapie, doit on en plus subir le manque de respect et de conscience professionnelle de l'assurance qui est censée nous garantir et nous ôter un poids. J'ai pris une assurance pour me prémunir, au final j'ai plus de soucis qu'autre chose. Je suis extrêmement déçue.</t>
  </si>
  <si>
    <t>julian-p-125680</t>
  </si>
  <si>
    <t xml:space="preserve">Nickel ! Rapide et efficace j'ai pu assurer ma moto 50cm3 en moins de 20 minutes ! Je vous remercie. 
Assurance pas chère et service client courtois. </t>
  </si>
  <si>
    <t>jacques-margeridon-94435</t>
  </si>
  <si>
    <t>service satisfaisant et rapide et tout à fait accessible, très bons tarifs, déjà client chez direct assurance  je ne manquerai pas de me tourner vers eux pour un nouveau véhicule.</t>
  </si>
  <si>
    <t>louis-s-134901</t>
  </si>
  <si>
    <t xml:space="preserve">Je suis satisfait du devis, une remise client fidèle aurait du être appliqué mais cela ne semble pas exister chez amv. J'assure ce véhicule dès aujourd'hui pour un achat d'occasion </t>
  </si>
  <si>
    <t>chmaati-67410</t>
  </si>
  <si>
    <t xml:space="preserve">merci la maaf apres+ 40 ans de fidélité on me jette à cause d'un sinistre  .c'est incroyable la fidélité ne paye plus. jaurrai jamais cru ça.  alors que j'ai toujours  que du bien vous </t>
  </si>
  <si>
    <t>06/10/2018</t>
  </si>
  <si>
    <t>aquilina-j-128670</t>
  </si>
  <si>
    <t xml:space="preserve">Souscription simple, descriptif très clair des différentes couvertures possibles en assurance auto. Le service client est hyper réactif et de bon conseil, et la souscription en ligne fonction en 2 clics ! </t>
  </si>
  <si>
    <t>stephane-du19-106442</t>
  </si>
  <si>
    <t xml:space="preserve">Après 35 ans de fidélité à la MAIF je quitte cette assurance suite à une menace de résiliation de ma fille qui a eu 3 accidents en 4 ans
Pas moyen de parlementer même pour un sociétaire fidèle
Dommage j étais jusque là satisfait et n ai jamais cherché d assurance 
concurrente 
Satisfaction mon autre fille va passer aussi à la concurrence </t>
  </si>
  <si>
    <t>13/03/2021</t>
  </si>
  <si>
    <t>emile-a-128503</t>
  </si>
  <si>
    <t>tarif très compétitif et renseignements bien détaillés par téléphone.Voir si tout est conforme lors d'un sinistre ?
L'inscription est facile et rapide.</t>
  </si>
  <si>
    <t>ldr-69822</t>
  </si>
  <si>
    <t>Pas cher de prime abord, nous avons été matraqués suite à un sinistre (coup de frein trop tardif avec percussion du véhicule de devant qui était à l'arrêt). Résultat, pour une voiture qui vaut moins de 4000 euros, nous nous retrouvons à payer presque 200 euros de plus que l'année dernière.
Heureusement, nous n'avons pas eu à payer de franchise, mais quand même...
Ayez bien ça en tête !</t>
  </si>
  <si>
    <t>02/01/2019</t>
  </si>
  <si>
    <t>grrr-72084</t>
  </si>
  <si>
    <t>Très mauvais opinion fait tout pour garder votre capital. Ce réfugie derrière l'état. Si je pouvais mettre ZERO ce serait avec plaisir.
Les assurances retraites ne sont là que pour vous voler en plus de garder votre capital on vous prends des cotisations sur vos versements.</t>
  </si>
  <si>
    <t>12/03/2019</t>
  </si>
  <si>
    <t>seguie-a-128454</t>
  </si>
  <si>
    <t>bien , rapide et correct niveau prix  ( meme si d'autres assurances du net bien connues sont bien moins cheres)
j'espere que ce petit plus sera répercuté ebn cas de problemes sur la qualité du service notamment</t>
  </si>
  <si>
    <t>lulu-137626</t>
  </si>
  <si>
    <t xml:space="preserve">Très bien reçu. La conseillère que j'ai pu avoir était AU TOP. Très accueillante, compréhensive par rapport à mes besoins. Elle mérite une augmentation. </t>
  </si>
  <si>
    <t>17/10/2021</t>
  </si>
  <si>
    <t>moula-49546</t>
  </si>
  <si>
    <t>a fuir-------------sans commentaires------------------------------------------------------------------------------------------------'--</t>
  </si>
  <si>
    <t>25/11/2016</t>
  </si>
  <si>
    <t>dominique-p-123484</t>
  </si>
  <si>
    <t>Bonjour tout s’est bien passé, la connexion est rapide, les informations sont claires et détaillées, la numérisation des documents semble difficile et l’on ne peut pas avancer s’il manque des documents.</t>
  </si>
  <si>
    <t>leyack-97408</t>
  </si>
  <si>
    <t xml:space="preserve">Beaucoup trop cher pour les Mmes prestations que les autres assurances
Aucun appel de la part de l'assureur pour proposer des réductions de tarifs, pas compétitif ! </t>
  </si>
  <si>
    <t>azevedo-a-115838</t>
  </si>
  <si>
    <t xml:space="preserve">Très satisfait je recommande l'olivier assurance conseil et écoute au top vraiment des professionnels de l'assurance automobile n'hésiter pas je les conseil </t>
  </si>
  <si>
    <t>03/06/2021</t>
  </si>
  <si>
    <t>raphapha-96891</t>
  </si>
  <si>
    <t>Je suis client depuis quelques mois chez l’olivier assurance et je suis pour l’instant complètement satisfait. Les conseillers sont à l’écoute et vraiment très agréables, les prix sont très corrects et je n’ai aucun problème avec eux</t>
  </si>
  <si>
    <t>akrodams-102401</t>
  </si>
  <si>
    <t>J ai déclaré un dégât des eaux le 22/10! J ai relancé une dizaine de fois! Enfin, j ai une prise en charge mais ils ont essayé de mettre ma parole en doute malgré des photographies et ont appelé l entrepreneur qui a fait le devis!
Au final j en aurai quand même pour 500euro de ma poche (devis trop élevé et franchise).
Les tarifs sont avantageux mais je me rends compte qu en cas de sinistre c est la galère !!!!</t>
  </si>
  <si>
    <t>09/01/2021</t>
  </si>
  <si>
    <t>smahane-g-125011</t>
  </si>
  <si>
    <t xml:space="preserve">Topppppp rapide et prix attractif et intéressant !!!!!!! Merci 
A voir sur le long terme car nouvelle cliente !!!!!
Parrainage de 20e !!!!!
Je recommande </t>
  </si>
  <si>
    <t>nono-55659</t>
  </si>
  <si>
    <t>assureur  incompetent; les interlocuteurs au telephone sont incapables de renseigner correctement, jamais la meme reponse a chaque appel; si sinistre il y a, il n est pas regle avant tres longtemps. Je deconseil a quiconque cette assurance</t>
  </si>
  <si>
    <t>27/06/2017</t>
  </si>
  <si>
    <t>chanchan-127180</t>
  </si>
  <si>
    <t xml:space="preserve">Aminata est une collaboratrice compétente et efficace
problème résolu
Aminata est une collaboratrice compétente et efficace
problème résolu
Aminata est une collaboratrice compétente et efficace
problème résoLU
</t>
  </si>
  <si>
    <t>habib7444-100087</t>
  </si>
  <si>
    <t>Bonjour, Mon cas est très simple, j'ai souscrit à une assurance auto début septembre chez Allianz (Golf 7). Bon, toute la procédure de souscription aucun soucis, par contre une fois terminé on me réclame des documents que j'envoie immédiatement. Le contrat est bien affiché sur mon espace tout les documents son ok, parfait. Par contre je recevais toujours des mails de relance pour m'indiquer qu'il manquait toujours un document, bon je vérifie, tout me semble ok. J'appel donc un conseiller de chez Allianz, qui me confirme que tout est ok pas de soucis, le bot qui me spam je ne dois pas en tenir compte, ok. Sauf que la actuellement, j'ai payé un trimestre soit 280€, et a l'heure d'aujourd'hui le problème n'est toujours pas réglé est j'ai reçu un email m'indiquant la fin de mon contrat début novembre ?? Comment est ce possible un temps de traitement d'information aussi long! Je me retrouve donc sans assurance auto et impossible d'avoir des informations sur mon contrat car c'est un contrat souscrit par téléphone (contrat commençant par AF). Honteux, je déconseille cette assurance, service client 0 pointé messieurs</t>
  </si>
  <si>
    <t>noel-106617</t>
  </si>
  <si>
    <t xml:space="preserve">J ai souscrit à une assurance dépendance chez ag2r depuis 1994, aujourd’hui j ai besoin mais impossible d avoir un vrai conseiller qui s occupe du dossier depuis un mois , c est honteux je déconseille cette assurance </t>
  </si>
  <si>
    <t>forcheron-j-125356</t>
  </si>
  <si>
    <t>Très satisfait pour le moment. Un peu compliqué à joindre un conseiller via le chat du site qu’il conseil d’appeler directement mais bon, hors mis cela, ça reste correcte.</t>
  </si>
  <si>
    <t>29/07/2021</t>
  </si>
  <si>
    <t>fab2839-98766</t>
  </si>
  <si>
    <t>Adhésion via e-allianz pour assurance auto. Accident avec un chevreuil il y a 15 jours : intervention Assistance, acheminement du véhicule vers garage et depuis plus aucune nouvelle, ni de l'assurance ni d'un expert ! Sinistre déclaré sur l'espace client Allianz ayant disparu depuis ! Tentatives de contact par mail et téléphone, quotidiennes et toujours pas de réponse !  Tous les interlocuteurs se renvoient la balle et laissent le dossier sans gestion ! Nous sommes écoeurés ! Laxisme, négligence, désorganisation, mauvaise volonté ? Tout ceci est indigne d'Allianz, l'assurance "avec vous de A à Z" !</t>
  </si>
  <si>
    <t>mirjac-60808</t>
  </si>
  <si>
    <t xml:space="preserve">j'ai été contacté le 18 décembre 2017 et accepté de souscrire une mutuelle santé (NEOLIANE SERENITE 4 ) au prix de 134.34 € par mois et de EPSIL PREVOYANCE ( au prix de 30.80€ par mois.
Le 20 décembre,après réflexion, je tente de joindre mon conseillé,mais en vain.J'ai un contact avec une conseillère à qui je fais part de l'annulation de EPSIL PREVOYANCE.
Mon conseillé me rappelle plus tard et nous convenons de ne garder que le contrat NEOLIANE SERENITE.
LE 27 décembre,je reçois un certificat d'adhésion ainsi qu'un échéancier de NEOLIANE et de EPSIL.
Les 01 et 03 janvier 2018, je recois un mail de NEOLIANE et de EPSIL me disant que mes contrats sont annulés.
J'appelle SANTIANE qui ,après 20 mn d'attente me confirme que mes contrats sont bien annulés.
Me retrouvant sans mutuelle,je demande à conserver mon contrat santé.On me demande alors d'envoyer un mail à santiane@owliance pour confirmer ma demande.
Depuis l'envoi de ce mail,aucune nouvelle jusqu'au 24 JANVIER ,jour ou voulant aller sur mon espace client,une conseillère m'a appelé et permis de relancer mon dossier.
Au 25 janvier, je ne sais toujours pas si mon dossier est réactivé.
</t>
  </si>
  <si>
    <t>25/01/2018</t>
  </si>
  <si>
    <t>flandrin-p-114697</t>
  </si>
  <si>
    <t>Surpris de voir que j'ai une franchise sur le bris glace
Vous être une des seules compagnies à le réaliser en tous risques, soite je n'ai pas posé la question lors de la signature du contrat, mais bon je vous recontacter pour une éventuelle rupture DES contratS
A bientôt</t>
  </si>
  <si>
    <t>24/05/2021</t>
  </si>
  <si>
    <t>alhaize-70171</t>
  </si>
  <si>
    <t>Mutuelle nulle, augmentation  27 pour cent soit 20 euros suite au changement d'âge.</t>
  </si>
  <si>
    <t>12/01/2019</t>
  </si>
  <si>
    <t>benghalem-r-133521</t>
  </si>
  <si>
    <t xml:space="preserve">Je suis ravis à votre assurance elle est bien comme assurance sont bien parlé bien avec les clients merci cordialement monsieur madame pour toutes les informations </t>
  </si>
  <si>
    <t>19/09/2021</t>
  </si>
  <si>
    <t>rojas-a-111993</t>
  </si>
  <si>
    <t>Je suis très satisfait du service, J'ai eu a faire a des personnes très gentilles et surtout a l’écoute des mes besoins.
J’espère que vous allez améliorer un peu le prix</t>
  </si>
  <si>
    <t>philmac-88012</t>
  </si>
  <si>
    <t>mon père vient de décéder et je vend son appartement, je continu de payer l'assurance habitation le temps de la vente mais je dois payer un droit d'inscription alors que mon père était client chez eux depuis 55 ans  , c'est vraiment honteux</t>
  </si>
  <si>
    <t>05/03/2020</t>
  </si>
  <si>
    <t>alaind-81986</t>
  </si>
  <si>
    <t>Après avoir réceptionné mon avis d'échéance daté du 07/11/19 et reçu le 13/11/19, un LRAR a été envoyé le 27/11/19 (avec cachet de la poste faisant foi) à L'Olivier en vue de résiliation de mon contrat auto dans le cadre de la loi Chatel.
Non seulement, ces derniers ne veulent respecter la loi Chatel et résilier mon contrat comme demandé dans le délai des 20 jours impartis, mais en plus la somme prélevée de 332.22 euros est bien plus élevée que le montant qu'ils avaient proposé et que j'ai refusé ! D'où ma demande de résiliation! 
J'ai donc été débitée de cette somme de 322.30 euros alors que je ne suis même pas assurée chez eux ! Une honte ! L'Olivier une assurance à ne recommander sous aucun prétexte</t>
  </si>
  <si>
    <t>phil17-96339</t>
  </si>
  <si>
    <t>Assuré depuis des années chez April Moto pour mon scooter, je les ai contacté pour effectuer un changement d'adresse. Ils ont effectué un avenant payant à mon contrat sous le prétexte que je pourrais être dans une zone plus "accidentogène", dixit le conseiller (j'ai déménagé à 1 km dans la même ville!).
J'ai reçu ma nouvelle carte verte adressée.....à mon ancienne adresse. Trop fort April Moto!</t>
  </si>
  <si>
    <t>16/08/2020</t>
  </si>
  <si>
    <t>zoe-76073</t>
  </si>
  <si>
    <t>depuis plus de 15 jours les accès à mon compte sont bloqués, et ce, depuis la mise en place de la nouvelle norme de sécurité MFA, aucune réponse à mes nombreuses demandes de résolution de problème</t>
  </si>
  <si>
    <t>leffi-64492</t>
  </si>
  <si>
    <t>Un dossier d'assurance qui traîne depuis 2015 des demande de recours pour évaluer les dommages et arriver à une somme complètement risibles et ridicules c'est vraiment aberrant</t>
  </si>
  <si>
    <t>dps-65695</t>
  </si>
  <si>
    <t>depuis le 28/09/2020 j'attends mon code confidentiel pour acceder a mon compte depuis le 05/10/2020 j'attends une réponse concernant des soins dentaires.............. si je devais donner un surnom a cette assurance ......TORTUE ...............quand il s'agit de faire signer un contrat très reactif............pour répondre aux mails personne .................. comme toute les assurance nous ne sOmmes bon qu'a PAYER ................</t>
  </si>
  <si>
    <t>12/10/2020</t>
  </si>
  <si>
    <t>sylvain-s-133344</t>
  </si>
  <si>
    <t xml:space="preserve">malgré un problème de compréhension au téléphone avec un de vos collaborateur ( je n'ai pas demandé de retirer toutes les options ) , je reste satisfait de vos services </t>
  </si>
  <si>
    <t>18/09/2021</t>
  </si>
  <si>
    <t>fran-115546</t>
  </si>
  <si>
    <t>je suis chez santevet depuis plus de 10 ans, pas de souci particulier jusqu'à présent mais je viens de recevoir le renouvellement de mon contrat, plus de 12€ d'augmentation mensuelle ! je n'ai jamais vu une augmentation pareille, j'en suis à une cotisation de 50€ par mois ce qui est énorme lorsqu'on est à la retraite.....</t>
  </si>
  <si>
    <t>myriam--99385</t>
  </si>
  <si>
    <t>Je suis l’heureuse propriétaire d’un bouledogue français, assurée depuis 3 ans, ma chienne s’est fait opérer suite à un épanchement, j’ai reçu un mail m’informant que ma cotisation allait passé de 42 € à 66 € par mois à partir du 1er janvier 2021. J’ai appelé le service qualité qui me propose de modifier mes garanties, à savoir 60 % de prise en charge ( au lieu de 80 % actuellement)  pour une mensualité de 52 €. Je résilie. À fuir</t>
  </si>
  <si>
    <t>29/10/2020</t>
  </si>
  <si>
    <t>olivieroo-78214</t>
  </si>
  <si>
    <t>Un camion a heurté mon véhicule lorsque j'attendais à un feu rouge. Le conducteur ne s'en est surement pas rendu compte. Je l'ai poursuivi, en vain pour finalement prendre sa plaque d'immatriculation. Il ne l'ont jamais retrouvé... Quelques mois après, le service client m'appelle pour clore le dossier et la personne ose me dire qu'exceptionnellement je n'allais rien payer.. Mais ou v-t-on???</t>
  </si>
  <si>
    <t>06/08/2019</t>
  </si>
  <si>
    <t>amel-63053</t>
  </si>
  <si>
    <t xml:space="preserve">Mécontente .aucun  échange  suite a un sinistre  en juillet 2017 . Je n ai jamais recu aucun courier ou mail concernant le suivie du dossier a part recevoir ma vignette verte et constater une augmentation. J ai du appeler pour savoir a quoi correspondait cette augmentation .et mon appris que j avez du malus  . Reconnus a moitier responsable. Toute augmentation dois etre justifier au client . A l agence cette personne arrogante ne comprenais  pas mon mécontentement me certifier quelle n avez pas l obligation de m en informer   , lever les yeux et regarder c collegues  qui etait dans mon dos . pas professionnelle du tout . Suite a cette échange avec cette personne j ai fait le choix de trouver un autre assureur . </t>
  </si>
  <si>
    <t>08/04/2018</t>
  </si>
  <si>
    <t>gilles-79974</t>
  </si>
  <si>
    <t>Suite à ma conversation avec Youness 
j'ai demendé à mon assurence actuelle le certificat de résiliaion merci je pensai que le transfert été sans poroblème</t>
  </si>
  <si>
    <t>alain-c-128210</t>
  </si>
  <si>
    <t>Je suis très satisfait de cette société, pratique et rapide, je suis déjà client pour un autre véhicule et je pourrai refaire appel à vous ou vous recommander.</t>
  </si>
  <si>
    <t>cerise-102962</t>
  </si>
  <si>
    <t xml:space="preserve">En changeant de travail, j'ai dû avec regret quitter cette mutuelle.
Ses conseillers sont réactifs, toujours joignables et à l'écoute.
Je n'ai jamais eu un problème qui n'ait été réglé rapidement.
Je recommande assurément !!
</t>
  </si>
  <si>
    <t>manon-57387</t>
  </si>
  <si>
    <t>assurance  avec service client médiocre, impossibilité de les joindre au tel (horaires de bureau, et attente plus de 20 min) . Résiliation impossible malgré vente de véhicule et tous les docs justificatifs. obligé de se battre depuis plus de 6 mois afin d'obtenir résiliation d'un véhicule qu'y n'est plus en ma possession. Ajd opposition prélèvement auprès de ma banque pour faire barrage et on me menace de me ficher à l'AGIRA pour impayé.
Assurance à éviter, perte de temps et d'argent (paradoxal au vu des prix bas pratiqué par cet assureur!)
Cette assurance me fait vivre un enfer depuis la simple vente de l'un de mes véhicules !</t>
  </si>
  <si>
    <t>17/09/2017</t>
  </si>
  <si>
    <t>olivier-g-117084</t>
  </si>
  <si>
    <t>rien a signaler le site est bien fait telechargement facile des attestations et les conseillers sont joignables facilement je conseille cette assurance</t>
  </si>
  <si>
    <t>gilles-h-108171</t>
  </si>
  <si>
    <t>Les   prix   me   conviennent.  
Bons  échanges  téléphoniques  avec  les  conseillés.  Les 
démarches   
sont  faciles  et  rapidement 
effectuées. Merci</t>
  </si>
  <si>
    <t>jgd-49385</t>
  </si>
  <si>
    <t xml:space="preserve">J'ai assuré une voiture neuve sans chercher ailleur, mais lorsque j'ai reçu le contrat j'ai constaté que le prix ´tait très élevé. Je les ai contacté et on m'a donné des explications pas valables. J'ai donc fait thes recherches et j'ai trouvé qu"Allianz est plus de 50% plus cher et avec bien moins de benefices.  Malheureusement je suis obligé de rester avec eux une année, ils refuse de résilier le contrat.
</t>
  </si>
  <si>
    <t>20/11/2016</t>
  </si>
  <si>
    <t>estel-76085</t>
  </si>
  <si>
    <t>Une catastrophe... un assureur qui vous prélève chaque trimestre... pour un contrat pour lequel vous n'êtes pas assuré !!!
Un SAV totalement incompétent, qui ne sait absolument pas de quoi il parle, et qui raccroche au nez de ses interlocuteurs quand ils sont faces à leurs erreurs. Bref... fuyez !!!</t>
  </si>
  <si>
    <t>michel-g-131125</t>
  </si>
  <si>
    <t>Je suis satisfait de vos tarif merci encore 
Ces grâce à mon fils Garnier Kevin que je suis venu chez vous 
J'espère pas être déçu 
Voilà merci a vous cordialement</t>
  </si>
  <si>
    <t>03/09/2021</t>
  </si>
  <si>
    <t>ridekick-70339</t>
  </si>
  <si>
    <t>J'ai résilié l'assurance grâce à la loi Chatel, ils ont quand même prélevé ma prime d'assurance à venir dans la foulée, et maintenant 2 semaines que j'écris pour avoir le remboursement sans que personne ne me réponde jamais (Si ce n'est le SMS automatique qui me dit que je vais être recontacté dans 48h sans jamais l'être of course), si pas de remboursement d'ici 48h comme ils disent, je saisis les autorités compétentes.</t>
  </si>
  <si>
    <t>aymeric-p-124161</t>
  </si>
  <si>
    <t>J'ai souscrit à la Meilleure offre d'assurance qui était celle proposée par APRIL  en terme de coût et d'option de couveruture .
Souscription par internet facile et rapide.</t>
  </si>
  <si>
    <t>ahmed-b-134787</t>
  </si>
  <si>
    <t>Très bien. J'ai eu la possibilité d'assure mon véhicule instantanément avec un tarif très attractif. Les garanties proposées sont complètes et cela me convient bien.</t>
  </si>
  <si>
    <t>mouss-135266</t>
  </si>
  <si>
    <t xml:space="preserve">Suite à un bris de glace j’ai contacté mon assurance pacifica pour avoir une prise en charge pour faire réparer mon véhicule on me dit d avancer les frais et on me rembourse après et depuis impossible de se faire rembourser cette facture </t>
  </si>
  <si>
    <t>chakib-j-131006</t>
  </si>
  <si>
    <t xml:space="preserve">Je suis satisfait du service le prix est correct et me convient parfaitement. c’est simple et rapide je recommande pour tous jeunes conducteurs a la recherche d’une assurance, pour une première voiture. </t>
  </si>
  <si>
    <t>sylvie-f-121390</t>
  </si>
  <si>
    <t>je suis satisfaite du service, pratique d'avoir une agence pas loin où l'on peut nous recevoir pour tout problème. accueil chaleureux.
Site assez facile d'utilisation.</t>
  </si>
  <si>
    <t>geoffrey-d-126262</t>
  </si>
  <si>
    <t>Très bien au téléphone ainsi que les tarifs proposés par les agents,  je suis vraiment satisfait c'est pour cela que j'ai souscrit chez vous merci beaucoup</t>
  </si>
  <si>
    <t>geantrfr-97309</t>
  </si>
  <si>
    <t>Ils sont pénible ça fait déjà 6 mois que j ai déposé un arrêt de travail chez eux et toujours pas traiter. Et en plus leurs service client ne comprend rien et ne veut pas savoir</t>
  </si>
  <si>
    <t>12/09/2020</t>
  </si>
  <si>
    <t>martinez-m-137936</t>
  </si>
  <si>
    <t>Je suis entièrement satisfaite du service proposé et des agents téléphoniques. 
Merci à eux. Je suis ravie de faire parti de l'olivier assurance !!!!!</t>
  </si>
  <si>
    <t>eddie-g-105945</t>
  </si>
  <si>
    <t>Je suis globalement satisfait du service, rapide et simple.. 
Prix toujours compétitif.
Service non adapté pour les malentendants ou sourds (SMS,...).</t>
  </si>
  <si>
    <t>09/03/2021</t>
  </si>
  <si>
    <t>pierrot-lag-49468</t>
  </si>
  <si>
    <t>Une équipe à l'écoute, un devis super rapide, une souscription en 2 mn, une conseillère charmante et en plus des prix imbattables !!
je cherchais une assurance pour mon piaggo, j'ai fais un devis sur leur site internet, une conseillère m'a rappelé pour reprendre avec elle le devis et vu le prix j'ai souscrit dans la foulée.</t>
  </si>
  <si>
    <t>paco06-59473</t>
  </si>
  <si>
    <t xml:space="preserve">Je suis entrain de me battre pour mettre en place un dossier de prise en charge pour la participation aux frais suite à la longue maladie de ma conjointe , donc de perte de salaire . Il va falloir être courageux car c'est pas gagné ! </t>
  </si>
  <si>
    <t>07/12/2017</t>
  </si>
  <si>
    <t>cmolin21-80524</t>
  </si>
  <si>
    <t xml:space="preserve">Good !
</t>
  </si>
  <si>
    <t>29/10/2019</t>
  </si>
  <si>
    <t>md-104768</t>
  </si>
  <si>
    <t xml:space="preserve">Jeune conductrice je suis très satisfaite du tarif qu’on m’a proposé. 
J’ai pu bénéficier du parrainage par l’un de mes proches et j’ai également pu parrainer, 50€ à chaque fois !!! 
Je recommande </t>
  </si>
  <si>
    <t>25/02/2021</t>
  </si>
  <si>
    <t>bourbon-s-122029</t>
  </si>
  <si>
    <t>SIMPLE ET PRATIQUE
SIGNATURE ELECTRONIQUE TRES UTILE
TRES BONNE ACCUEIL TELEPHONIQUE
JE RECOMMANDE A 100%
TRES FACILE POUR UN CHANGEMENT D ASSURANCE, L'Olivier assurance s'occupe de tout</t>
  </si>
  <si>
    <t>yaya-107763</t>
  </si>
  <si>
    <t>Bonjour, J'ai noté trois étoiles pour la satisfaction car j'ai un problème de double prélèvement. J'ai essayé de joindre 2 fois par mail, la personne que j'avais eu au téléphone pour la signature du contrat, mais à ce jour je n'ai toujours pas de réponse de sa part. J'ai donc téléphoné à Santiane et j'ai eu Lamia au téléphone. Heureusement que je l'ai eue car c'est une personne très gentille, très patiente et très compétente. Elle a compris tout de suite ma situation, elle m'a expliqué étape par étape la démarche à suivre pour résoudre mon problème. Je la remercie beaucoup. Si je n'avais eu à faire qu'avec Lamia, j'aurais mis les 5 étoiles pour la satisfaction.</t>
  </si>
  <si>
    <t>eric78200-52282</t>
  </si>
  <si>
    <t xml:space="preserve">Assuré depuis le 07/01/2017 suite à l'achat d'un nouveau véhicule, j'ai choisi cette assurance car les prix étaient attractifs. Les conseillères chargées de la souscription sont très agréables. Mais malgré l'envoi de toutes les pièces justificatives je n'ai à ce jour toujours pas reçu ma carte verte définitive (les documents sont toujours en attente de validation sur le site). Lorsque je lis les commentaires d'autres assurés dans le même cas, je suis déçu d'avoir choisi cette assurance car il semble qu'en 2015, 2016 et 2017 on serve toujours le même message aux assurés lorsque l'on arrive à joindre le service client au téléphone "les délais de traitement des dossiers sont anormalement long, nous travaillons pour résoudre le problème". Pour le moment, je me pose la question de savoir ce qui va se passer lorsque ma carte verte provisoire sera expiré et que je devrais utiliser mon véhicule pour aller travailler. </t>
  </si>
  <si>
    <t>10/02/2017</t>
  </si>
  <si>
    <t>mimi-139019</t>
  </si>
  <si>
    <t>Par rapport à ma demande, mon assureur m'a contacté rapidement et a répondu à mes attentes. Quelques changements sur mon contrat assurance auto m'ont satisfaits.</t>
  </si>
  <si>
    <t>vella-f-110556</t>
  </si>
  <si>
    <t>Encore pas de sinistre, donc satisfait, a voir dans le futur...
Les prix sont abordables, mais sur certains véhicules ils restent très chère par rapport à la concurence, notamment pour une Toyota IQ... Et je n'oublie pas que mon BMX X6, vous m'avez demandé d'aller voir ailleurs...</t>
  </si>
  <si>
    <t>christophe-b-117947</t>
  </si>
  <si>
    <t>Certainement les offres les moins-disantes du marché.
Après il faudra peut-être ajouter quelques services et je viens d'économiser environ 50% sur ma précédente facture d'assurance voiture a la concurrence.</t>
  </si>
  <si>
    <t>marc-david-123517</t>
  </si>
  <si>
    <t>Je suis satisfais du service. Rapide et efficace. Toutes les réponses aux questions posées sont claires et bien expliquées. L'accueil en agence est agréable et rapide.</t>
  </si>
  <si>
    <t>jpra78-57422</t>
  </si>
  <si>
    <t>Ma maman : 
Décédée en novembre 2016 à 90 ans
Assurée MACIF depuis environ 50 ans.
Suite à la vente récente de ses 2 biens immobiliers, je résilie ses assurances Macif.
Elle a payé, en plus de ses assurances habitation, une assurance Garantie Accident (régime prévoyance familiale Accident) : option 3.
Cette assurance, de fait, ne couvre pas les personnes au delà de 70 ans. Ma mère a donc payé 20 ans (de 70 à 90 ans) pour rien. Commentaire Macif : Dommage, elle n'a pas tenu compte du courrier qu'on lui a vraisemblablement envoyé il y a 20 ans.
moralité : environ 7000 euros versés indument par ma maman. Merci Macif.</t>
  </si>
  <si>
    <t>18/09/2017</t>
  </si>
  <si>
    <t>john69steph-17005</t>
  </si>
  <si>
    <t>Je ne peux pas juger puisque je viens de souscrire pour 3 contrats auto. 
Mon interlocuteur était fort agréable mais la sensation de distance très éloignée à l'écoute n'est pas très agréable. Peut être améliorer les outils de communications téléphonique. 
Je suis venu chez direct assurance uniquement pour le prix... 
On verra à la longue si les tarifs ne flambent pas, dans le cas contraire, j'irai chez la concurrence au moins cher, comme dans mon habitude.</t>
  </si>
  <si>
    <t>jac-75023</t>
  </si>
  <si>
    <t xml:space="preserve">j'ai été très sastifais de ca prestation j'ai eut tous les renseignement que je voulait </t>
  </si>
  <si>
    <t>12/04/2019</t>
  </si>
  <si>
    <t>priscilla-79272</t>
  </si>
  <si>
    <t>Assurance à vraiment déconseiller !! J'ai eu deux sinistres le 1er non responsable et jamais dédommagé car c'était une voiture étrangère et le deuxième l'assurance adverse me dise que j'ai 100% raison (mais défende quand même leur client) et allianz me dise que je suis 100% en tord, ne veulent rien entendre me dise que c'est comme ça c'est tout et me raccroche carrément au nez !!! Ma propore assurance qui ne cherche même pas à me défendre, ils s'en foutent complètement !! C'est vraiment une honte, j'ai même appelé la police qui m'ont dit que c'était l'autre qui était 100% en tord et au final c'est moi qui vais prendre pour lui car chez allianz ils sont complètement incompétent, ils ne pensent qu'à l'argent. Je suis franchement écoeuré de cette assurance, j'en partirai dès que possible !!!</t>
  </si>
  <si>
    <t>17/09/2019</t>
  </si>
  <si>
    <t>xav92n-87835</t>
  </si>
  <si>
    <t>Je déconseille vivement. 
Surtout bien lire TOUTES les annotations sur la prise en charge des maladies, leur apparition et les 5 jours de déclarations. 
Contact et réponse uniquement par mail. 
2 mois de préavis pour résilier a date d'échéance !! 
J'ai des animaux depuis 20 ans c'est une vraie erreur de ma part d'avoir souscrit chez eux.</t>
  </si>
  <si>
    <t>02/03/2020</t>
  </si>
  <si>
    <t>maxime-d-124958</t>
  </si>
  <si>
    <t>un peu dérouté, il y avait très longtemps que je n'avait eu de sinistre auto, et aujourd'hui j'ai reçu un remboursement, mais sans aucun détail ?!? autrement c'est toujours très impersonnel de parler à une machine, et là je suis un peu perdu, mais je préfère pour ce genre de discussion correspondre par mail, au moins on peut relire ce que l'on avait précédemment écrit, de même pour les réponses.</t>
  </si>
  <si>
    <t>charlotte-d-109156</t>
  </si>
  <si>
    <t xml:space="preserve">Bon service client. Les assurances augmentent légèrement tous les ans mais le service est top. Lorsque nous avons une soucis ils sont réactifs. Je recommande </t>
  </si>
  <si>
    <t>mathildeedw24-64270</t>
  </si>
  <si>
    <t>Je suis dans une colère sans mot contre cette assurance mon fiancé a eu un accident grave de voiture dont il est 0% responsable et on lui refuse les soins c'est inadmissible.</t>
  </si>
  <si>
    <t>29/05/2018</t>
  </si>
  <si>
    <t>joce-108244</t>
  </si>
  <si>
    <t>A fuir. Ma mère a mis plus de 4 mois à récupérer son argent. Afer redemande sans cesse les mêmes papiers, pourtant envoyés en Recommandé A.R. Je ne pense pas qu'elle aurait récupéré son argent si elle n'avait pas pris un avocat. Elle avait mis tous ses sous chez eux, et du coup, était en débit à la banque car ils ne voulaient pas lui rendre SES sous ! ne faîtes pas cette erreur, allez ailleurs.</t>
  </si>
  <si>
    <t>tahon-c-108447</t>
  </si>
  <si>
    <t>Je suis très satisfait de l'olivier assurance. 
Les prix sont convenables et le véhicule est très bien couvert. 
Je recommande vraiment cette assurance</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</si>
</sst>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sz val="11.0"/>
      <color theme="1"/>
      <name val="Calibri"/>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8.71"/>
    <col customWidth="1" min="8" max="8" width="12.0"/>
    <col customWidth="1" min="9" max="26" width="8.71"/>
  </cols>
  <sheetData>
    <row r="1">
      <c r="A1" s="1" t="s">
        <v>0</v>
      </c>
      <c r="B1" s="1" t="s">
        <v>1</v>
      </c>
      <c r="C1" s="1" t="s">
        <v>2</v>
      </c>
      <c r="D1" s="1" t="s">
        <v>3</v>
      </c>
      <c r="E1" s="1" t="s">
        <v>4</v>
      </c>
      <c r="F1" s="1" t="s">
        <v>5</v>
      </c>
      <c r="G1" s="1" t="s">
        <v>6</v>
      </c>
      <c r="H1" s="1" t="s">
        <v>7</v>
      </c>
      <c r="I1" s="1" t="s">
        <v>8</v>
      </c>
      <c r="J1" s="1" t="s">
        <v>9</v>
      </c>
      <c r="K1" s="1" t="s">
        <v>10</v>
      </c>
    </row>
    <row r="2">
      <c r="A2" s="2">
        <v>3.0</v>
      </c>
      <c r="B2" s="2" t="s">
        <v>11</v>
      </c>
      <c r="C2" s="2" t="s">
        <v>12</v>
      </c>
      <c r="D2" s="2" t="s">
        <v>13</v>
      </c>
      <c r="E2" s="2" t="s">
        <v>14</v>
      </c>
      <c r="F2" s="2" t="s">
        <v>15</v>
      </c>
      <c r="G2" s="2" t="s">
        <v>16</v>
      </c>
      <c r="H2" s="2" t="s">
        <v>17</v>
      </c>
      <c r="I2" s="2" t="str">
        <f>IFERROR(__xludf.DUMMYFUNCTION("GOOGLETRANSLATE(C2,""fr"",""en"")"),"Insured since December 2019, I have requested this insurance 3 times, it went well, within the contractual conditions.
I recommend.")</f>
        <v>Insured since December 2019, I have requested this insurance 3 times, it went well, within the contractual conditions.
I recommend.</v>
      </c>
    </row>
    <row r="3">
      <c r="A3" s="2">
        <v>3.0</v>
      </c>
      <c r="B3" s="2" t="s">
        <v>18</v>
      </c>
      <c r="C3" s="2" t="s">
        <v>19</v>
      </c>
      <c r="D3" s="2" t="s">
        <v>20</v>
      </c>
      <c r="E3" s="2" t="s">
        <v>21</v>
      </c>
      <c r="F3" s="2" t="s">
        <v>15</v>
      </c>
      <c r="G3" s="2" t="s">
        <v>22</v>
      </c>
      <c r="H3" s="2" t="s">
        <v>23</v>
      </c>
      <c r="I3" s="2" t="str">
        <f>IFERROR(__xludf.DUMMYFUNCTION("GOOGLETRANSLATE(C3,""fr"",""en"")"),"No problem with this insurance but little information on certain products or if only they exist")</f>
        <v>No problem with this insurance but little information on certain products or if only they exist</v>
      </c>
    </row>
    <row r="4">
      <c r="A4" s="2">
        <v>5.0</v>
      </c>
      <c r="B4" s="2" t="s">
        <v>24</v>
      </c>
      <c r="C4" s="2" t="s">
        <v>25</v>
      </c>
      <c r="D4" s="2" t="s">
        <v>26</v>
      </c>
      <c r="E4" s="2" t="s">
        <v>27</v>
      </c>
      <c r="F4" s="2" t="s">
        <v>15</v>
      </c>
      <c r="G4" s="2" t="s">
        <v>28</v>
      </c>
      <c r="H4" s="2" t="s">
        <v>29</v>
      </c>
      <c r="I4" s="2" t="str">
        <f>IFERROR(__xludf.DUMMYFUNCTION("GOOGLETRANSLATE(C4,""fr"",""en"")"),"Very good Imane service, very professional and available. I recommend.
Very good Imane service, very professional and available. I recommend.
Very good Imane service, very professional and available. I recommend")</f>
        <v>Very good Imane service, very professional and available. I recommend.
Very good Imane service, very professional and available. I recommend.
Very good Imane service, very professional and available. I recommend</v>
      </c>
    </row>
    <row r="5">
      <c r="A5" s="2">
        <v>4.0</v>
      </c>
      <c r="B5" s="2" t="s">
        <v>30</v>
      </c>
      <c r="C5" s="2" t="s">
        <v>31</v>
      </c>
      <c r="D5" s="2" t="s">
        <v>32</v>
      </c>
      <c r="E5" s="2" t="s">
        <v>33</v>
      </c>
      <c r="F5" s="2" t="s">
        <v>15</v>
      </c>
      <c r="G5" s="2" t="s">
        <v>34</v>
      </c>
      <c r="H5" s="2" t="s">
        <v>35</v>
      </c>
      <c r="I5" s="2" t="str">
        <f>IFERROR(__xludf.DUMMYFUNCTION("GOOGLETRANSLATE(C5,""fr"",""en"")"),"What attracted me to Direct Insurance at the start was above all the price, I expected that in the event of a disaster it will be a obstacle course for the allowances, indeed, following my disaster (burglary) I was surprised at the quality of very fast ma"&amp;"nagement (it is they who call me to follow my file!), Finally I was reimbursed at 50% that I did not find as badly seen the error as I I did (I left the door open)")</f>
        <v>What attracted me to Direct Insurance at the start was above all the price, I expected that in the event of a disaster it will be a obstacle course for the allowances, indeed, following my disaster (burglary) I was surprised at the quality of very fast management (it is they who call me to follow my file!), Finally I was reimbursed at 50% that I did not find as badly seen the error as I I did (I left the door open)</v>
      </c>
    </row>
    <row r="6">
      <c r="A6" s="2">
        <v>5.0</v>
      </c>
      <c r="B6" s="2" t="s">
        <v>36</v>
      </c>
      <c r="C6" s="2" t="s">
        <v>37</v>
      </c>
      <c r="D6" s="2" t="s">
        <v>32</v>
      </c>
      <c r="E6" s="2" t="s">
        <v>21</v>
      </c>
      <c r="F6" s="2" t="s">
        <v>15</v>
      </c>
      <c r="G6" s="2" t="s">
        <v>38</v>
      </c>
      <c r="H6" s="2" t="s">
        <v>39</v>
      </c>
      <c r="I6" s="2" t="str">
        <f>IFERROR(__xludf.DUMMYFUNCTION("GOOGLETRANSLATE(C6,""fr"",""en"")"),"Insurance taken for my first car and everything is going very well.
Customer service is very responsive whether by phone or email so I highly recommend.")</f>
        <v>Insurance taken for my first car and everything is going very well.
Customer service is very responsive whether by phone or email so I highly recommend.</v>
      </c>
    </row>
    <row r="7">
      <c r="A7" s="2">
        <v>2.0</v>
      </c>
      <c r="B7" s="2" t="s">
        <v>40</v>
      </c>
      <c r="C7" s="2" t="s">
        <v>41</v>
      </c>
      <c r="D7" s="2" t="s">
        <v>42</v>
      </c>
      <c r="E7" s="2" t="s">
        <v>21</v>
      </c>
      <c r="F7" s="2" t="s">
        <v>15</v>
      </c>
      <c r="G7" s="2" t="s">
        <v>43</v>
      </c>
      <c r="H7" s="2" t="s">
        <v>44</v>
      </c>
      <c r="I7" s="2" t="str">
        <f>IFERROR(__xludf.DUMMYFUNCTION("GOOGLETRANSLATE(C7,""fr"",""en"")"),"It's been 6 months since the olive tree lets me shift a 60th gain under the pretext that I am sponsored. Then I am announced this evening that it is dead, because my godfather not being passed by them directly a year and a half ago, it is not eligible for"&amp;" sponsorship. And whenever I have an advisor on the phone I have a different version. Strongly that I can go to see elsewhere")</f>
        <v>It's been 6 months since the olive tree lets me shift a 60th gain under the pretext that I am sponsored. Then I am announced this evening that it is dead, because my godfather not being passed by them directly a year and a half ago, it is not eligible for sponsorship. And whenever I have an advisor on the phone I have a different version. Strongly that I can go to see elsewhere</v>
      </c>
    </row>
    <row r="8">
      <c r="A8" s="2">
        <v>4.0</v>
      </c>
      <c r="B8" s="2" t="s">
        <v>45</v>
      </c>
      <c r="C8" s="2" t="s">
        <v>46</v>
      </c>
      <c r="D8" s="2" t="s">
        <v>42</v>
      </c>
      <c r="E8" s="2" t="s">
        <v>21</v>
      </c>
      <c r="F8" s="2" t="s">
        <v>15</v>
      </c>
      <c r="G8" s="2" t="s">
        <v>47</v>
      </c>
      <c r="H8" s="2" t="s">
        <v>48</v>
      </c>
      <c r="I8" s="2" t="str">
        <f>IFERROR(__xludf.DUMMYFUNCTION("GOOGLETRANSLATE(C8,""fr"",""en"")"),"Adhesion procedure via simple and quick internet.
Good telephone contact via the platform located in Lille.
Clear and precise information. To recommend")</f>
        <v>Adhesion procedure via simple and quick internet.
Good telephone contact via the platform located in Lille.
Clear and precise information. To recommend</v>
      </c>
    </row>
    <row r="9">
      <c r="A9" s="2">
        <v>4.0</v>
      </c>
      <c r="B9" s="2" t="s">
        <v>49</v>
      </c>
      <c r="C9" s="2" t="s">
        <v>50</v>
      </c>
      <c r="D9" s="2" t="s">
        <v>42</v>
      </c>
      <c r="E9" s="2" t="s">
        <v>21</v>
      </c>
      <c r="F9" s="2" t="s">
        <v>15</v>
      </c>
      <c r="G9" s="2" t="s">
        <v>51</v>
      </c>
      <c r="H9" s="2" t="s">
        <v>52</v>
      </c>
      <c r="I9" s="2" t="str">
        <f>IFERROR(__xludf.DUMMYFUNCTION("GOOGLETRANSLATE(C9,""fr"",""en"")"),"very impeccable customer service good explanation nothing to complain about adorable and very welcoming advisor I recommend olivier assurance whether for reception or other")</f>
        <v>very impeccable customer service good explanation nothing to complain about adorable and very welcoming advisor I recommend olivier assurance whether for reception or other</v>
      </c>
    </row>
    <row r="10">
      <c r="A10" s="2">
        <v>5.0</v>
      </c>
      <c r="B10" s="2" t="s">
        <v>53</v>
      </c>
      <c r="C10" s="2" t="s">
        <v>54</v>
      </c>
      <c r="D10" s="2" t="s">
        <v>32</v>
      </c>
      <c r="E10" s="2" t="s">
        <v>21</v>
      </c>
      <c r="F10" s="2" t="s">
        <v>15</v>
      </c>
      <c r="G10" s="2" t="s">
        <v>55</v>
      </c>
      <c r="H10" s="2" t="s">
        <v>56</v>
      </c>
      <c r="I10" s="2" t="str">
        <f>IFERROR(__xludf.DUMMYFUNCTION("GOOGLETRANSLATE(C10,""fr"",""en"")"),"I am satisfied with my insurance contract, well advised, quality price very well ?? To ensure his car. I happy with online customer service")</f>
        <v>I am satisfied with my insurance contract, well advised, quality price very well ?? To ensure his car. I happy with online customer service</v>
      </c>
    </row>
    <row r="11">
      <c r="A11" s="2">
        <v>5.0</v>
      </c>
      <c r="B11" s="2" t="s">
        <v>57</v>
      </c>
      <c r="C11" s="2" t="s">
        <v>58</v>
      </c>
      <c r="D11" s="2" t="s">
        <v>59</v>
      </c>
      <c r="E11" s="2" t="s">
        <v>60</v>
      </c>
      <c r="F11" s="2" t="s">
        <v>15</v>
      </c>
      <c r="G11" s="2" t="s">
        <v>61</v>
      </c>
      <c r="H11" s="2" t="s">
        <v>62</v>
      </c>
      <c r="I11" s="2" t="str">
        <f>IFERROR(__xludf.DUMMYFUNCTION("GOOGLETRANSLATE(C11,""fr"",""en"")"),"Intervention for L, assistance: I give my opinion, very fast intervention, taking the towing, very seriously, care of the very qualitative convenience store, thank you infinitely for the service rendered")</f>
        <v>Intervention for L, assistance: I give my opinion, very fast intervention, taking the towing, very seriously, care of the very qualitative convenience store, thank you infinitely for the service rendered</v>
      </c>
    </row>
    <row r="12">
      <c r="A12" s="2">
        <v>5.0</v>
      </c>
      <c r="B12" s="2" t="s">
        <v>63</v>
      </c>
      <c r="C12" s="2" t="s">
        <v>64</v>
      </c>
      <c r="D12" s="2" t="s">
        <v>65</v>
      </c>
      <c r="E12" s="2" t="s">
        <v>60</v>
      </c>
      <c r="F12" s="2" t="s">
        <v>15</v>
      </c>
      <c r="G12" s="2" t="s">
        <v>66</v>
      </c>
      <c r="H12" s="2" t="s">
        <v>62</v>
      </c>
      <c r="I12" s="2" t="str">
        <f>IFERROR(__xludf.DUMMYFUNCTION("GOOGLETRANSLATE(C12,""fr"",""en"")"),"I am very very satisfied with the online service The prices are super interesting compared to other insurance very easy to subscribe online in addition I recommend thank you.")</f>
        <v>I am very very satisfied with the online service The prices are super interesting compared to other insurance very easy to subscribe online in addition I recommend thank you.</v>
      </c>
    </row>
    <row r="13">
      <c r="A13" s="2">
        <v>2.0</v>
      </c>
      <c r="B13" s="2" t="s">
        <v>67</v>
      </c>
      <c r="C13" s="2" t="s">
        <v>68</v>
      </c>
      <c r="D13" s="2" t="s">
        <v>42</v>
      </c>
      <c r="E13" s="2" t="s">
        <v>21</v>
      </c>
      <c r="F13" s="2" t="s">
        <v>15</v>
      </c>
      <c r="G13" s="2" t="s">
        <v>69</v>
      </c>
      <c r="H13" s="2" t="s">
        <v>48</v>
      </c>
      <c r="I13" s="2" t="str">
        <f>IFERROR(__xludf.DUMMYFUNCTION("GOOGLETRANSLATE(C13,""fr"",""en"")"),"The price is not the same as on the quote I had received on April 8, 2021 of € 495.39/year, it is still a little abused to change the prices while my quote was still valid !!!")</f>
        <v>The price is not the same as on the quote I had received on April 8, 2021 of € 495.39/year, it is still a little abused to change the prices while my quote was still valid !!!</v>
      </c>
    </row>
    <row r="14">
      <c r="A14" s="2">
        <v>1.0</v>
      </c>
      <c r="B14" s="2" t="s">
        <v>70</v>
      </c>
      <c r="C14" s="2" t="s">
        <v>71</v>
      </c>
      <c r="D14" s="2" t="s">
        <v>72</v>
      </c>
      <c r="E14" s="2" t="s">
        <v>33</v>
      </c>
      <c r="F14" s="2" t="s">
        <v>15</v>
      </c>
      <c r="G14" s="2" t="s">
        <v>73</v>
      </c>
      <c r="H14" s="2" t="s">
        <v>74</v>
      </c>
      <c r="I14" s="2" t="str">
        <f>IFERROR(__xludf.DUMMYFUNCTION("GOOGLETRANSLATE(C14,""fr"",""en"")"),"Terrible customer service.
I took 2 months before having an answer for the termination of my contract.
They ended up annuling it without reimbursement and deleting my personal space directly without any possibility of communication.
I have never seen s"&amp;"uch an incompetent service.")</f>
        <v>Terrible customer service.
I took 2 months before having an answer for the termination of my contract.
They ended up annuling it without reimbursement and deleting my personal space directly without any possibility of communication.
I have never seen such an incompetent service.</v>
      </c>
    </row>
    <row r="15">
      <c r="A15" s="2">
        <v>4.0</v>
      </c>
      <c r="B15" s="2" t="s">
        <v>75</v>
      </c>
      <c r="C15" s="2" t="s">
        <v>76</v>
      </c>
      <c r="D15" s="2" t="s">
        <v>42</v>
      </c>
      <c r="E15" s="2" t="s">
        <v>21</v>
      </c>
      <c r="F15" s="2" t="s">
        <v>15</v>
      </c>
      <c r="G15" s="2" t="s">
        <v>77</v>
      </c>
      <c r="H15" s="2" t="s">
        <v>78</v>
      </c>
      <c r="I15" s="2" t="str">
        <f>IFERROR(__xludf.DUMMYFUNCTION("GOOGLETRANSLATE(C15,""fr"",""en"")"),"very fast fast in terms of depannages. Simple and efficient web gage")</f>
        <v>very fast fast in terms of depannages. Simple and efficient web gage</v>
      </c>
    </row>
    <row r="16">
      <c r="A16" s="2">
        <v>4.0</v>
      </c>
      <c r="B16" s="2" t="s">
        <v>79</v>
      </c>
      <c r="C16" s="2" t="s">
        <v>80</v>
      </c>
      <c r="D16" s="2" t="s">
        <v>81</v>
      </c>
      <c r="E16" s="2" t="s">
        <v>82</v>
      </c>
      <c r="F16" s="2" t="s">
        <v>15</v>
      </c>
      <c r="G16" s="2" t="s">
        <v>83</v>
      </c>
      <c r="H16" s="2" t="s">
        <v>84</v>
      </c>
      <c r="I16" s="2" t="str">
        <f>IFERROR(__xludf.DUMMYFUNCTION("GOOGLETRANSLATE(C16,""fr"",""en"")"),"A mutual listening to the needs of his members")</f>
        <v>A mutual listening to the needs of his members</v>
      </c>
    </row>
    <row r="17">
      <c r="A17" s="2">
        <v>1.0</v>
      </c>
      <c r="B17" s="2" t="s">
        <v>85</v>
      </c>
      <c r="C17" s="2" t="s">
        <v>86</v>
      </c>
      <c r="D17" s="2" t="s">
        <v>81</v>
      </c>
      <c r="E17" s="2" t="s">
        <v>82</v>
      </c>
      <c r="F17" s="2" t="s">
        <v>15</v>
      </c>
      <c r="G17" s="2" t="s">
        <v>87</v>
      </c>
      <c r="H17" s="2" t="s">
        <v>44</v>
      </c>
      <c r="I17" s="2" t="str">
        <f>IFERROR(__xludf.DUMMYFUNCTION("GOOGLETRANSLATE(C17,""fr"",""en"")"),"If we could not put any star, I would put none. I have never seen such a hoax. 2 years that I am trying to terminate, in vain. I have never been reimbursed for my medical expenses as well as my pill. It's scandalous. I had to block their samples after hav"&amp;"ing made many recommended letters and they threaten me. Be careful, to flee true. It is nothing more or less than false telephone canvassing.")</f>
        <v>If we could not put any star, I would put none. I have never seen such a hoax. 2 years that I am trying to terminate, in vain. I have never been reimbursed for my medical expenses as well as my pill. It's scandalous. I had to block their samples after having made many recommended letters and they threaten me. Be careful, to flee true. It is nothing more or less than false telephone canvassing.</v>
      </c>
    </row>
    <row r="18">
      <c r="A18" s="2">
        <v>1.0</v>
      </c>
      <c r="B18" s="2" t="s">
        <v>88</v>
      </c>
      <c r="C18" s="2" t="s">
        <v>89</v>
      </c>
      <c r="D18" s="2" t="s">
        <v>90</v>
      </c>
      <c r="E18" s="2" t="s">
        <v>82</v>
      </c>
      <c r="F18" s="2" t="s">
        <v>15</v>
      </c>
      <c r="G18" s="2" t="s">
        <v>91</v>
      </c>
      <c r="H18" s="2" t="s">
        <v>92</v>
      </c>
      <c r="I18" s="2" t="str">
        <f>IFERROR(__xludf.DUMMYFUNCTION("GOOGLETRANSLATE(C18,""fr"",""en"")"),"Hello, I pay 100 €: month (max) and I have been waiting for reimbursement for my dental costs, always delayed for any reason. I was also entitled to a particularly arrogant advisor who allowed myself to hang up on the nose. This is not subjective, it is a"&amp;" fact: I always expect the reimbursement of these costs. This too long reimbursement to come and put me in financial difficulty and put my health in danger because I cannot continue the care.
I recognize that when it comes to a reimbursement of € 7.50 (i"&amp;"t must be in their means), it is done fairly quickly but as a client, I do not feel respected or listened to.")</f>
        <v>Hello, I pay 100 €: month (max) and I have been waiting for reimbursement for my dental costs, always delayed for any reason. I was also entitled to a particularly arrogant advisor who allowed myself to hang up on the nose. This is not subjective, it is a fact: I always expect the reimbursement of these costs. This too long reimbursement to come and put me in financial difficulty and put my health in danger because I cannot continue the care.
I recognize that when it comes to a reimbursement of € 7.50 (it must be in their means), it is done fairly quickly but as a client, I do not feel respected or listened to.</v>
      </c>
    </row>
    <row r="19">
      <c r="A19" s="2">
        <v>1.0</v>
      </c>
      <c r="B19" s="2" t="s">
        <v>93</v>
      </c>
      <c r="C19" s="2" t="s">
        <v>94</v>
      </c>
      <c r="D19" s="2" t="s">
        <v>90</v>
      </c>
      <c r="E19" s="2" t="s">
        <v>82</v>
      </c>
      <c r="F19" s="2" t="s">
        <v>15</v>
      </c>
      <c r="G19" s="2" t="s">
        <v>95</v>
      </c>
      <c r="H19" s="2" t="s">
        <v>95</v>
      </c>
      <c r="I19" s="2" t="str">
        <f>IFERROR(__xludf.DUMMYFUNCTION("GOOGLETRANSLATE(C19,""fr"",""en"")"),"Very good mutual when it came to the Loiret mutual. Since the affiliation with Mutuelle, it has been a disaster. I join the people who mention that they cannot be joined. The appointments are not respected and it diverts the laws so as not to apply them. "&amp;"Mutual dear and not satisfactory at all. Avoid as far as possible.")</f>
        <v>Very good mutual when it came to the Loiret mutual. Since the affiliation with Mutuelle, it has been a disaster. I join the people who mention that they cannot be joined. The appointments are not respected and it diverts the laws so as not to apply them. Mutual dear and not satisfactory at all. Avoid as far as possible.</v>
      </c>
    </row>
    <row r="20">
      <c r="A20" s="2">
        <v>2.0</v>
      </c>
      <c r="B20" s="2" t="s">
        <v>96</v>
      </c>
      <c r="C20" s="2" t="s">
        <v>97</v>
      </c>
      <c r="D20" s="2" t="s">
        <v>98</v>
      </c>
      <c r="E20" s="2" t="s">
        <v>21</v>
      </c>
      <c r="F20" s="2" t="s">
        <v>15</v>
      </c>
      <c r="G20" s="2" t="s">
        <v>99</v>
      </c>
      <c r="H20" s="2" t="s">
        <v>100</v>
      </c>
      <c r="I20" s="2" t="str">
        <f>IFERROR(__xludf.DUMMYFUNCTION("GOOGLETRANSLATE(C20,""fr"",""en"")"),"I have subscribed to Active Insurance mentioned in a price comparison offering a preferential rate. Since then they have continued to claim the documents that I have sent to me on their interface. They take the lead with information statements that do not"&amp;" suit them. They always find me pretexts so as not to validate them. In the middle of the night I receive a message telling me that c the last relaunch and that I must imperatively send them the requested documents. Yet it is stipulated that we have a mon"&amp;"th to pay requests. I am harassed every day. They adopt a policy to make the client flee. I therefore decided to send a letter R/AR taking advantage of the contract concluded at a distance and excluding establishments governing by article L121-20-12 of th"&amp;"e Consumer Code. Under the terms of this article, ""the consumer has a period of 14 revolted calendar days to exercise his right of withdrawal, without having to justify a reason or to bear penalties"". . I no longer want to deal with this insurance that "&amp;"takes new customers for ..........
The price is little attractive but now I will choose to pay a little more expensive among much more professional competitors.")</f>
        <v>I have subscribed to Active Insurance mentioned in a price comparison offering a preferential rate. Since then they have continued to claim the documents that I have sent to me on their interface. They take the lead with information statements that do not suit them. They always find me pretexts so as not to validate them. In the middle of the night I receive a message telling me that c the last relaunch and that I must imperatively send them the requested documents. Yet it is stipulated that we have a month to pay requests. I am harassed every day. They adopt a policy to make the client flee. I therefore decided to send a letter R/AR taking advantage of the contract concluded at a distance and excluding establishments governing by article L121-20-12 of the Consumer Code. Under the terms of this article, "the consumer has a period of 14 revolted calendar days to exercise his right of withdrawal, without having to justify a reason or to bear penalties". . I no longer want to deal with this insurance that takes new customers for ..........
The price is little attractive but now I will choose to pay a little more expensive among much more professional competitors.</v>
      </c>
    </row>
    <row r="21" ht="15.75" customHeight="1">
      <c r="A21" s="2">
        <v>4.0</v>
      </c>
      <c r="B21" s="2" t="s">
        <v>101</v>
      </c>
      <c r="C21" s="2" t="s">
        <v>102</v>
      </c>
      <c r="D21" s="2" t="s">
        <v>32</v>
      </c>
      <c r="E21" s="2" t="s">
        <v>21</v>
      </c>
      <c r="F21" s="2" t="s">
        <v>15</v>
      </c>
      <c r="G21" s="2" t="s">
        <v>103</v>
      </c>
      <c r="H21" s="2" t="s">
        <v>104</v>
      </c>
      <c r="I21" s="2" t="str">
        <f>IFERROR(__xludf.DUMMYFUNCTION("GOOGLETRANSLATE(C21,""fr"",""en"")"),"Simple and practical to follow in time if it continues.
By cons obligation to fill out this form does not seem satisfactory and even restrictive")</f>
        <v>Simple and practical to follow in time if it continues.
By cons obligation to fill out this form does not seem satisfactory and even restrictive</v>
      </c>
    </row>
    <row r="22" ht="15.75" customHeight="1">
      <c r="A22" s="2">
        <v>1.0</v>
      </c>
      <c r="B22" s="2" t="s">
        <v>105</v>
      </c>
      <c r="C22" s="2" t="s">
        <v>106</v>
      </c>
      <c r="D22" s="2" t="s">
        <v>32</v>
      </c>
      <c r="E22" s="2" t="s">
        <v>21</v>
      </c>
      <c r="F22" s="2" t="s">
        <v>15</v>
      </c>
      <c r="G22" s="2" t="s">
        <v>107</v>
      </c>
      <c r="H22" s="2" t="s">
        <v>108</v>
      </c>
      <c r="I22" s="2" t="str">
        <f>IFERROR(__xludf.DUMMYFUNCTION("GOOGLETRANSLATE(C22,""fr"",""en"")"),"Insurance that does not reward the elders, despite my 51%bonus, it manages to increase the prices, and never reimburses the additional vehicle premium. even by having a home insurance contract in addition")</f>
        <v>Insurance that does not reward the elders, despite my 51%bonus, it manages to increase the prices, and never reimburses the additional vehicle premium. even by having a home insurance contract in addition</v>
      </c>
    </row>
    <row r="23" ht="15.75" customHeight="1">
      <c r="A23" s="2">
        <v>1.0</v>
      </c>
      <c r="B23" s="2" t="s">
        <v>109</v>
      </c>
      <c r="C23" s="2" t="s">
        <v>110</v>
      </c>
      <c r="D23" s="2" t="s">
        <v>32</v>
      </c>
      <c r="E23" s="2" t="s">
        <v>21</v>
      </c>
      <c r="F23" s="2" t="s">
        <v>15</v>
      </c>
      <c r="G23" s="2" t="s">
        <v>111</v>
      </c>
      <c r="H23" s="2" t="s">
        <v>52</v>
      </c>
      <c r="I23" s="2" t="str">
        <f>IFERROR(__xludf.DUMMYFUNCTION("GOOGLETRANSLATE(C23,""fr"",""en"")"),"A shame, not to pay by CB, depending on the case, direct insurance collects the annual amount and then terminates you without reason without being able to intervene and reimburses you that part of the amount, thing of phew phew")</f>
        <v>A shame, not to pay by CB, depending on the case, direct insurance collects the annual amount and then terminates you without reason without being able to intervene and reimburses you that part of the amount, thing of phew phew</v>
      </c>
    </row>
    <row r="24" ht="15.75" customHeight="1">
      <c r="A24" s="2">
        <v>2.0</v>
      </c>
      <c r="B24" s="2" t="s">
        <v>112</v>
      </c>
      <c r="C24" s="2" t="s">
        <v>113</v>
      </c>
      <c r="D24" s="2" t="s">
        <v>42</v>
      </c>
      <c r="E24" s="2" t="s">
        <v>21</v>
      </c>
      <c r="F24" s="2" t="s">
        <v>15</v>
      </c>
      <c r="G24" s="2" t="s">
        <v>114</v>
      </c>
      <c r="H24" s="2" t="s">
        <v>115</v>
      </c>
      <c r="I24" s="2" t="str">
        <f>IFERROR(__xludf.DUMMYFUNCTION("GOOGLETRANSLATE(C24,""fr"",""en"")"),"does not recall its customers. No follow -up on new contracts despite the many email and calls. A Charlotte manager had to call me back to keep up to date with the evolution of my file I still wait .....")</f>
        <v>does not recall its customers. No follow -up on new contracts despite the many email and calls. A Charlotte manager had to call me back to keep up to date with the evolution of my file I still wait .....</v>
      </c>
    </row>
    <row r="25" ht="15.75" customHeight="1">
      <c r="A25" s="2">
        <v>1.0</v>
      </c>
      <c r="B25" s="2" t="s">
        <v>116</v>
      </c>
      <c r="C25" s="2" t="s">
        <v>117</v>
      </c>
      <c r="D25" s="2" t="s">
        <v>32</v>
      </c>
      <c r="E25" s="2" t="s">
        <v>21</v>
      </c>
      <c r="F25" s="2" t="s">
        <v>15</v>
      </c>
      <c r="G25" s="2" t="s">
        <v>118</v>
      </c>
      <c r="H25" s="2" t="s">
        <v>35</v>
      </c>
      <c r="I25" s="2" t="str">
        <f>IFERROR(__xludf.DUMMYFUNCTION("GOOGLETRANSLATE(C25,""fr"",""en"")"),"I bought a car in Germany. Given the new gray card system by internet I could not provide the document to DA in the 60 -day Delai. I was terminated without possible discussion. Finally by rediscovering with AXA, they were understanding of the situation an"&amp;"d found an interesting price.")</f>
        <v>I bought a car in Germany. Given the new gray card system by internet I could not provide the document to DA in the 60 -day Delai. I was terminated without possible discussion. Finally by rediscovering with AXA, they were understanding of the situation and found an interesting price.</v>
      </c>
    </row>
    <row r="26" ht="15.75" customHeight="1">
      <c r="A26" s="2">
        <v>5.0</v>
      </c>
      <c r="B26" s="2" t="s">
        <v>119</v>
      </c>
      <c r="C26" s="2" t="s">
        <v>120</v>
      </c>
      <c r="D26" s="2" t="s">
        <v>32</v>
      </c>
      <c r="E26" s="2" t="s">
        <v>21</v>
      </c>
      <c r="F26" s="2" t="s">
        <v>15</v>
      </c>
      <c r="G26" s="2" t="s">
        <v>121</v>
      </c>
      <c r="H26" s="2" t="s">
        <v>104</v>
      </c>
      <c r="I26" s="2" t="str">
        <f>IFERROR(__xludf.DUMMYFUNCTION("GOOGLETRANSLATE(C26,""fr"",""en"")"),"I am very satisfied with my housing contract
The price is very competitive and the company is very responsive. I really recommend this insurance to all.")</f>
        <v>I am very satisfied with my housing contract
The price is very competitive and the company is very responsive. I really recommend this insurance to all.</v>
      </c>
    </row>
    <row r="27" ht="15.75" customHeight="1">
      <c r="A27" s="2">
        <v>5.0</v>
      </c>
      <c r="B27" s="2" t="s">
        <v>122</v>
      </c>
      <c r="C27" s="2" t="s">
        <v>123</v>
      </c>
      <c r="D27" s="2" t="s">
        <v>124</v>
      </c>
      <c r="E27" s="2" t="s">
        <v>60</v>
      </c>
      <c r="F27" s="2" t="s">
        <v>15</v>
      </c>
      <c r="G27" s="2" t="s">
        <v>125</v>
      </c>
      <c r="H27" s="2" t="s">
        <v>126</v>
      </c>
      <c r="I27" s="2" t="str">
        <f>IFERROR(__xludf.DUMMYFUNCTION("GOOGLETRANSLATE(C27,""fr"",""en"")"),"A good friend advised me for this insurance and I am happy to have followed. They helped me well during my first claim after confinement I lost my habits.
Thanks to Mr. Silvin for his patience to answer my questions.")</f>
        <v>A good friend advised me for this insurance and I am happy to have followed. They helped me well during my first claim after confinement I lost my habits.
Thanks to Mr. Silvin for his patience to answer my questions.</v>
      </c>
    </row>
    <row r="28" ht="15.75" customHeight="1">
      <c r="A28" s="2">
        <v>1.0</v>
      </c>
      <c r="B28" s="2" t="s">
        <v>127</v>
      </c>
      <c r="C28" s="2" t="s">
        <v>128</v>
      </c>
      <c r="D28" s="2" t="s">
        <v>129</v>
      </c>
      <c r="E28" s="2" t="s">
        <v>33</v>
      </c>
      <c r="F28" s="2" t="s">
        <v>15</v>
      </c>
      <c r="G28" s="2" t="s">
        <v>126</v>
      </c>
      <c r="H28" s="2" t="s">
        <v>126</v>
      </c>
      <c r="I28" s="2" t="str">
        <f>IFERROR(__xludf.DUMMYFUNCTION("GOOGLETRANSLATE(C28,""fr"",""en"")"),"Despite a full option contract, no response following expertise (hail and snow), by care and in addition following termination no refund of the too perceived, to be completely avoided")</f>
        <v>Despite a full option contract, no response following expertise (hail and snow), by care and in addition following termination no refund of the too perceived, to be completely avoided</v>
      </c>
    </row>
    <row r="29" ht="15.75" customHeight="1">
      <c r="A29" s="2">
        <v>5.0</v>
      </c>
      <c r="B29" s="2" t="s">
        <v>130</v>
      </c>
      <c r="C29" s="2" t="s">
        <v>131</v>
      </c>
      <c r="D29" s="2" t="s">
        <v>42</v>
      </c>
      <c r="E29" s="2" t="s">
        <v>21</v>
      </c>
      <c r="F29" s="2" t="s">
        <v>15</v>
      </c>
      <c r="G29" s="2" t="s">
        <v>132</v>
      </c>
      <c r="H29" s="2" t="s">
        <v>104</v>
      </c>
      <c r="I29" s="2" t="str">
        <f>IFERROR(__xludf.DUMMYFUNCTION("GOOGLETRANSLATE(C29,""fr"",""en"")"),"I am completely satisfied with the services of the Olivier Insurance, the price applied by your establishment meets my needs perfectly, I recommend.")</f>
        <v>I am completely satisfied with the services of the Olivier Insurance, the price applied by your establishment meets my needs perfectly, I recommend.</v>
      </c>
    </row>
    <row r="30" ht="15.75" customHeight="1">
      <c r="A30" s="2">
        <v>4.0</v>
      </c>
      <c r="B30" s="2" t="s">
        <v>133</v>
      </c>
      <c r="C30" s="2" t="s">
        <v>134</v>
      </c>
      <c r="D30" s="2" t="s">
        <v>135</v>
      </c>
      <c r="E30" s="2" t="s">
        <v>60</v>
      </c>
      <c r="F30" s="2" t="s">
        <v>15</v>
      </c>
      <c r="G30" s="2" t="s">
        <v>136</v>
      </c>
      <c r="H30" s="2" t="s">
        <v>56</v>
      </c>
      <c r="I30" s="2" t="str">
        <f>IFERROR(__xludf.DUMMYFUNCTION("GOOGLETRANSLATE(C30,""fr"",""en"")"),"Very satisfied good site very understandable easy to use simple insurance and readable warranty have known where you have and what you want thank you good luck")</f>
        <v>Very satisfied good site very understandable easy to use simple insurance and readable warranty have known where you have and what you want thank you good luck</v>
      </c>
    </row>
    <row r="31" ht="15.75" customHeight="1">
      <c r="A31" s="2">
        <v>4.0</v>
      </c>
      <c r="B31" s="2" t="s">
        <v>137</v>
      </c>
      <c r="C31" s="2" t="s">
        <v>138</v>
      </c>
      <c r="D31" s="2" t="s">
        <v>65</v>
      </c>
      <c r="E31" s="2" t="s">
        <v>60</v>
      </c>
      <c r="F31" s="2" t="s">
        <v>15</v>
      </c>
      <c r="G31" s="2" t="s">
        <v>139</v>
      </c>
      <c r="H31" s="2" t="s">
        <v>29</v>
      </c>
      <c r="I31" s="2" t="str">
        <f>IFERROR(__xludf.DUMMYFUNCTION("GOOGLETRANSLATE(C31,""fr"",""en"")"),"I am satisfied with the price
I am satisfied with the speed to which I could make sure
I am satisfied with the protection of my data on the site")</f>
        <v>I am satisfied with the price
I am satisfied with the speed to which I could make sure
I am satisfied with the protection of my data on the site</v>
      </c>
    </row>
    <row r="32" ht="15.75" customHeight="1">
      <c r="A32" s="2">
        <v>1.0</v>
      </c>
      <c r="B32" s="2" t="s">
        <v>140</v>
      </c>
      <c r="C32" s="2" t="s">
        <v>141</v>
      </c>
      <c r="D32" s="2" t="s">
        <v>20</v>
      </c>
      <c r="E32" s="2" t="s">
        <v>21</v>
      </c>
      <c r="F32" s="2" t="s">
        <v>15</v>
      </c>
      <c r="G32" s="2" t="s">
        <v>142</v>
      </c>
      <c r="H32" s="2" t="s">
        <v>78</v>
      </c>
      <c r="I32" s="2" t="str">
        <f>IFERROR(__xludf.DUMMYFUNCTION("GOOGLETRANSLATE(C32,""fr"",""en"")"),"The worst of all insurance because when you adhere to it you feel like being safe. This insurer is supposedly a militant insurer. This is false. They want to have a highest possible net profit at the end of the fiscal year. So the less they reimburse, the"&amp;" more they capitalize.
The worst of all.")</f>
        <v>The worst of all insurance because when you adhere to it you feel like being safe. This insurer is supposedly a militant insurer. This is false. They want to have a highest possible net profit at the end of the fiscal year. So the less they reimburse, the more they capitalize.
The worst of all.</v>
      </c>
    </row>
    <row r="33" ht="15.75" customHeight="1">
      <c r="A33" s="2">
        <v>5.0</v>
      </c>
      <c r="B33" s="2" t="s">
        <v>143</v>
      </c>
      <c r="C33" s="2" t="s">
        <v>144</v>
      </c>
      <c r="D33" s="2" t="s">
        <v>145</v>
      </c>
      <c r="E33" s="2" t="s">
        <v>21</v>
      </c>
      <c r="F33" s="2" t="s">
        <v>15</v>
      </c>
      <c r="G33" s="2" t="s">
        <v>146</v>
      </c>
      <c r="H33" s="2" t="s">
        <v>147</v>
      </c>
      <c r="I33" s="2" t="str">
        <f>IFERROR(__xludf.DUMMYFUNCTION("GOOGLETRANSLATE(C33,""fr"",""en"")"),"Having several insurance products at the MAAF and without major incidents for nearly 15 years, we were able to see following a non -responsible accident having made economically irreparable our vehicle the quality of the care by the dedicated service of o"&amp;"ur claim . Listening and available advisor, rapid compensation. The advisor in charge of our file even recalled to hear from our child present at the time of the accident.")</f>
        <v>Having several insurance products at the MAAF and without major incidents for nearly 15 years, we were able to see following a non -responsible accident having made economically irreparable our vehicle the quality of the care by the dedicated service of our claim . Listening and available advisor, rapid compensation. The advisor in charge of our file even recalled to hear from our child present at the time of the accident.</v>
      </c>
    </row>
    <row r="34" ht="15.75" customHeight="1">
      <c r="A34" s="2">
        <v>3.0</v>
      </c>
      <c r="B34" s="2" t="s">
        <v>148</v>
      </c>
      <c r="C34" s="2" t="s">
        <v>149</v>
      </c>
      <c r="D34" s="2" t="s">
        <v>65</v>
      </c>
      <c r="E34" s="2" t="s">
        <v>60</v>
      </c>
      <c r="F34" s="2" t="s">
        <v>15</v>
      </c>
      <c r="G34" s="2" t="s">
        <v>150</v>
      </c>
      <c r="H34" s="2" t="s">
        <v>151</v>
      </c>
      <c r="I34" s="2" t="str">
        <f>IFERROR(__xludf.DUMMYFUNCTION("GOOGLETRANSLATE(C34,""fr"",""en"")"),"Satisfied with the good responsiveness cheaper than the competition I recommend this insurance especially for young people allowed it allows not to pay too much in insurance")</f>
        <v>Satisfied with the good responsiveness cheaper than the competition I recommend this insurance especially for young people allowed it allows not to pay too much in insurance</v>
      </c>
    </row>
    <row r="35" ht="15.75" customHeight="1">
      <c r="A35" s="2">
        <v>5.0</v>
      </c>
      <c r="B35" s="2" t="s">
        <v>152</v>
      </c>
      <c r="C35" s="2" t="s">
        <v>153</v>
      </c>
      <c r="D35" s="2" t="s">
        <v>32</v>
      </c>
      <c r="E35" s="2" t="s">
        <v>21</v>
      </c>
      <c r="F35" s="2" t="s">
        <v>15</v>
      </c>
      <c r="G35" s="2" t="s">
        <v>154</v>
      </c>
      <c r="H35" s="2" t="s">
        <v>126</v>
      </c>
      <c r="I35" s="2" t="str">
        <f>IFERROR(__xludf.DUMMYFUNCTION("GOOGLETRANSLATE(C35,""fr"",""en"")"),"Satisfied very easy to subscribe very good price congratulations to the nobody's team is better in any case really surprise a good continuation thank you")</f>
        <v>Satisfied very easy to subscribe very good price congratulations to the nobody's team is better in any case really surprise a good continuation thank you</v>
      </c>
    </row>
    <row r="36" ht="15.75" customHeight="1">
      <c r="A36" s="2">
        <v>5.0</v>
      </c>
      <c r="B36" s="2" t="s">
        <v>155</v>
      </c>
      <c r="C36" s="2" t="s">
        <v>156</v>
      </c>
      <c r="D36" s="2" t="s">
        <v>59</v>
      </c>
      <c r="E36" s="2" t="s">
        <v>157</v>
      </c>
      <c r="F36" s="2" t="s">
        <v>15</v>
      </c>
      <c r="G36" s="2" t="s">
        <v>158</v>
      </c>
      <c r="H36" s="2" t="s">
        <v>159</v>
      </c>
      <c r="I36" s="2" t="str">
        <f>IFERROR(__xludf.DUMMYFUNCTION("GOOGLETRANSLATE(C36,""fr"",""en"")"),"Liberal nurse, I was diagnosed with metastatic breast cancer in April 2019. I informed my Bordeaux agent who was fully invested in my odds. The formalities were managed within the time limits, and my compensation paid without delay. The care of my mortgag"&amp;"e has also not been a problem and is still active today.
I think that the image of the company AXA depends on the services of its agents in the field. Mine, a former rugby player, is a super professional very available and personally invested with its cu"&amp;"stomers. I have only recommendations to issue for my part.")</f>
        <v>Liberal nurse, I was diagnosed with metastatic breast cancer in April 2019. I informed my Bordeaux agent who was fully invested in my odds. The formalities were managed within the time limits, and my compensation paid without delay. The care of my mortgage has also not been a problem and is still active today.
I think that the image of the company AXA depends on the services of its agents in the field. Mine, a former rugby player, is a super professional very available and personally invested with its customers. I have only recommendations to issue for my part.</v>
      </c>
    </row>
    <row r="37" ht="15.75" customHeight="1">
      <c r="A37" s="2">
        <v>3.0</v>
      </c>
      <c r="B37" s="2" t="s">
        <v>160</v>
      </c>
      <c r="C37" s="2" t="s">
        <v>161</v>
      </c>
      <c r="D37" s="2" t="s">
        <v>32</v>
      </c>
      <c r="E37" s="2" t="s">
        <v>21</v>
      </c>
      <c r="F37" s="2" t="s">
        <v>15</v>
      </c>
      <c r="G37" s="2" t="s">
        <v>162</v>
      </c>
      <c r="H37" s="2" t="s">
        <v>62</v>
      </c>
      <c r="I37" s="2" t="str">
        <f>IFERROR(__xludf.DUMMYFUNCTION("GOOGLETRANSLATE(C37,""fr"",""en"")"),"Satisfied with the service and the efficiency of the charge of the customer officer for the clarity of the explanations and the po'iteness
For speed and seriousness too")</f>
        <v>Satisfied with the service and the efficiency of the charge of the customer officer for the clarity of the explanations and the po'iteness
For speed and seriousness too</v>
      </c>
    </row>
    <row r="38" ht="15.75" customHeight="1">
      <c r="A38" s="2">
        <v>2.0</v>
      </c>
      <c r="B38" s="2" t="s">
        <v>163</v>
      </c>
      <c r="C38" s="2" t="s">
        <v>164</v>
      </c>
      <c r="D38" s="2" t="s">
        <v>124</v>
      </c>
      <c r="E38" s="2" t="s">
        <v>60</v>
      </c>
      <c r="F38" s="2" t="s">
        <v>15</v>
      </c>
      <c r="G38" s="2" t="s">
        <v>165</v>
      </c>
      <c r="H38" s="2" t="s">
        <v>166</v>
      </c>
      <c r="I38" s="2" t="str">
        <f>IFERROR(__xludf.DUMMYFUNCTION("GOOGLETRANSLATE(C38,""fr"",""en"")"),"I strongly advise against:
- two months of waiting to assess my vehicle following an accident
- do not respond to emails, no help on procedures
- the claim service is only managed by a standard that will not be of any help
Attractive price but in th"&amp;"e event of an accident no one to help you. My accident dates back more than 6 months and I still have no final verdict.")</f>
        <v>I strongly advise against:
- two months of waiting to assess my vehicle following an accident
- do not respond to emails, no help on procedures
- the claim service is only managed by a standard that will not be of any help
Attractive price but in the event of an accident no one to help you. My accident dates back more than 6 months and I still have no final verdict.</v>
      </c>
    </row>
    <row r="39" ht="15.75" customHeight="1">
      <c r="A39" s="2">
        <v>1.0</v>
      </c>
      <c r="B39" s="2" t="s">
        <v>167</v>
      </c>
      <c r="C39" s="2" t="s">
        <v>168</v>
      </c>
      <c r="D39" s="2" t="s">
        <v>169</v>
      </c>
      <c r="E39" s="2" t="s">
        <v>82</v>
      </c>
      <c r="F39" s="2" t="s">
        <v>15</v>
      </c>
      <c r="G39" s="2" t="s">
        <v>170</v>
      </c>
      <c r="H39" s="2" t="s">
        <v>17</v>
      </c>
      <c r="I39" s="2" t="str">
        <f>IFERROR(__xludf.DUMMYFUNCTION("GOOGLETRANSLATE(C39,""fr"",""en"")"),"If I could put 0 I would do it!
A shame, to flee.
In work accident since May 11, 2020, AG2R pays me a complement to my Secu.
First payment in June made by check when I had given my RIB on time and I said that having an online bank I could not cash the "&amp;"checks. I specify it is a check of just over 220 €.
They ask me to send it back to their registered law agency that I have done. After 3 weeks no news I therefore decide to call them back to find out from when they are going to make me the transfer of th"&amp;"is money. They tell me that 3 months ago and that they say they do not understand why I was not told during the first call. In short ... annoyed, I tell myself that I should have tried to find another solution rather than sending it back. But too late I h"&amp;"ave to wait. So I'm waiting for the 3 months and there, I realize that on my AG2R customer area, this famous check has passed during treatment. I tell myself great, I will finally have this transfer. 1 week passes, still nothing. I decide to call them. Th"&amp;"e first 4 calls were literally about the mocketing of face. I was made for crazy, asking me to wait, that it was the bank deadlines that were long and that I was going to be paid, so patience. After 15 days to pay my face, I come across another adviser wh"&amp;"o she tells me that it is totally false. That there is indeed a problem, that payment should have left since August 10, 2020, but that it has never left. She therefore makes a complaint to her manager, and tells me that within 1 week everything will be ar"&amp;"ranged and that I will have my money. She still tells me that if it is not the case, I must recall. 1 and a half week passes and still nothing. Again I remind you at least 3 times so that I am told to wait. Another advisor makes a 2nd complaint and tells "&amp;"me that there it is sure in 1 week it should be settled. But no ! Still nothing. I therefore decide, after all my unanswered emails, my registered mail unanswered and my unanswered calls to recall a very last time. And there we still laugh at me telling m"&amp;"e that they can do nothing more than I have to wait for the manager to remind me. I end up farting a cable, threatening them to take a lawyer, something that I will have to do anyway. I specify that we are on September 19, 2020, that this check date of ea"&amp;"rly June 2020 and that the payment should have been made since August 10, 2020 and that of course I still have nothing, no transfer.
I advise you to flee, otherwise it will be at your own risk of never being paid!
Cordially,
Carmen Fouchard")</f>
        <v>If I could put 0 I would do it!
A shame, to flee.
In work accident since May 11, 2020, AG2R pays me a complement to my Secu.
First payment in June made by check when I had given my RIB on time and I said that having an online bank I could not cash the checks. I specify it is a check of just over 220 €.
They ask me to send it back to their registered law agency that I have done. After 3 weeks no news I therefore decide to call them back to find out from when they are going to make me the transfer of this money. They tell me that 3 months ago and that they say they do not understand why I was not told during the first call. In short ... annoyed, I tell myself that I should have tried to find another solution rather than sending it back. But too late I have to wait. So I'm waiting for the 3 months and there, I realize that on my AG2R customer area, this famous check has passed during treatment. I tell myself great, I will finally have this transfer. 1 week passes, still nothing. I decide to call them. The first 4 calls were literally about the mocketing of face. I was made for crazy, asking me to wait, that it was the bank deadlines that were long and that I was going to be paid, so patience. After 15 days to pay my face, I come across another adviser who she tells me that it is totally false. That there is indeed a problem, that payment should have left since August 10, 2020, but that it has never left. She therefore makes a complaint to her manager, and tells me that within 1 week everything will be arranged and that I will have my money. She still tells me that if it is not the case, I must recall. 1 and a half week passes and still nothing. Again I remind you at least 3 times so that I am told to wait. Another advisor makes a 2nd complaint and tells me that there it is sure in 1 week it should be settled. But no ! Still nothing. I therefore decide, after all my unanswered emails, my registered mail unanswered and my unanswered calls to recall a very last time. And there we still laugh at me telling me that they can do nothing more than I have to wait for the manager to remind me. I end up farting a cable, threatening them to take a lawyer, something that I will have to do anyway. I specify that we are on September 19, 2020, that this check date of early June 2020 and that the payment should have been made since August 10, 2020 and that of course I still have nothing, no transfer.
I advise you to flee, otherwise it will be at your own risk of never being paid!
Cordially,
Carmen Fouchard</v>
      </c>
    </row>
    <row r="40" ht="15.75" customHeight="1">
      <c r="A40" s="2">
        <v>1.0</v>
      </c>
      <c r="B40" s="2" t="s">
        <v>171</v>
      </c>
      <c r="C40" s="2" t="s">
        <v>172</v>
      </c>
      <c r="D40" s="2" t="s">
        <v>59</v>
      </c>
      <c r="E40" s="2" t="s">
        <v>21</v>
      </c>
      <c r="F40" s="2" t="s">
        <v>15</v>
      </c>
      <c r="G40" s="2" t="s">
        <v>173</v>
      </c>
      <c r="H40" s="2" t="s">
        <v>78</v>
      </c>
      <c r="I40" s="2" t="str">
        <f>IFERROR(__xludf.DUMMYFUNCTION("GOOGLETRANSLATE(C40,""fr"",""en"")"),"Father client for years but refuses to ensure a young driver of 40 years old or overpriced ... not cool Coùmme service client or even commercial gesture .................. .................................................. ................................"&amp;".................. ........................")</f>
        <v>Father client for years but refuses to ensure a young driver of 40 years old or overpriced ... not cool Coùmme service client or even commercial gesture .................. .................................................. .................................................. ........................</v>
      </c>
    </row>
    <row r="41" ht="15.75" customHeight="1">
      <c r="A41" s="2">
        <v>4.0</v>
      </c>
      <c r="B41" s="2" t="s">
        <v>174</v>
      </c>
      <c r="C41" s="2" t="s">
        <v>175</v>
      </c>
      <c r="D41" s="2" t="s">
        <v>42</v>
      </c>
      <c r="E41" s="2" t="s">
        <v>21</v>
      </c>
      <c r="F41" s="2" t="s">
        <v>15</v>
      </c>
      <c r="G41" s="2" t="s">
        <v>176</v>
      </c>
      <c r="H41" s="2" t="s">
        <v>177</v>
      </c>
      <c r="I41" s="2" t="str">
        <f>IFERROR(__xludf.DUMMYFUNCTION("GOOGLETRANSLATE(C41,""fr"",""en"")"),"Top customer service !!! So generally rare when you have a concern, insurance is unreachable and drag the files. At the olive tree, the staff are super responsive despite the context. I recommend")</f>
        <v>Top customer service !!! So generally rare when you have a concern, insurance is unreachable and drag the files. At the olive tree, the staff are super responsive despite the context. I recommend</v>
      </c>
    </row>
    <row r="42" ht="15.75" customHeight="1">
      <c r="A42" s="2">
        <v>5.0</v>
      </c>
      <c r="B42" s="2" t="s">
        <v>178</v>
      </c>
      <c r="C42" s="2" t="s">
        <v>179</v>
      </c>
      <c r="D42" s="2" t="s">
        <v>135</v>
      </c>
      <c r="E42" s="2" t="s">
        <v>60</v>
      </c>
      <c r="F42" s="2" t="s">
        <v>15</v>
      </c>
      <c r="G42" s="2" t="s">
        <v>180</v>
      </c>
      <c r="H42" s="2" t="s">
        <v>177</v>
      </c>
      <c r="I42" s="2" t="str">
        <f>IFERROR(__xludf.DUMMYFUNCTION("GOOGLETRANSLATE(C42,""fr"",""en"")"),"I find the price very correct and I had satisfactory exchanges for the management of the contract; However, I did not have a claim to deplore so no contact with the sinister service.")</f>
        <v>I find the price very correct and I had satisfactory exchanges for the management of the contract; However, I did not have a claim to deplore so no contact with the sinister service.</v>
      </c>
    </row>
    <row r="43" ht="15.75" customHeight="1">
      <c r="A43" s="2">
        <v>1.0</v>
      </c>
      <c r="B43" s="2" t="s">
        <v>181</v>
      </c>
      <c r="C43" s="2" t="s">
        <v>182</v>
      </c>
      <c r="D43" s="2" t="s">
        <v>183</v>
      </c>
      <c r="E43" s="2" t="s">
        <v>33</v>
      </c>
      <c r="F43" s="2" t="s">
        <v>15</v>
      </c>
      <c r="G43" s="2" t="s">
        <v>184</v>
      </c>
      <c r="H43" s="2" t="s">
        <v>29</v>
      </c>
      <c r="I43" s="2" t="str">
        <f>IFERROR(__xludf.DUMMYFUNCTION("GOOGLETRANSLATE(C43,""fr"",""en"")"),"Very expensive, no negotiation possible even by being a customer for a very long time without a claim.
Positive point: the guarantees are quite interesting.")</f>
        <v>Very expensive, no negotiation possible even by being a customer for a very long time without a claim.
Positive point: the guarantees are quite interesting.</v>
      </c>
    </row>
    <row r="44" ht="15.75" customHeight="1">
      <c r="A44" s="2">
        <v>5.0</v>
      </c>
      <c r="B44" s="2" t="s">
        <v>185</v>
      </c>
      <c r="C44" s="2" t="s">
        <v>186</v>
      </c>
      <c r="D44" s="2" t="s">
        <v>32</v>
      </c>
      <c r="E44" s="2" t="s">
        <v>21</v>
      </c>
      <c r="F44" s="2" t="s">
        <v>15</v>
      </c>
      <c r="G44" s="2" t="s">
        <v>187</v>
      </c>
      <c r="H44" s="2" t="s">
        <v>56</v>
      </c>
      <c r="I44" s="2" t="str">
        <f>IFERROR(__xludf.DUMMYFUNCTION("GOOGLETRANSLATE(C44,""fr"",""en"")"),"fast and competitive service.
Clear explanations, in particular on the guarantees subscribed.
Membership with confidence. To be confirmed in the finalization of the contract subscription.")</f>
        <v>fast and competitive service.
Clear explanations, in particular on the guarantees subscribed.
Membership with confidence. To be confirmed in the finalization of the contract subscription.</v>
      </c>
    </row>
    <row r="45" ht="15.75" customHeight="1">
      <c r="A45" s="2">
        <v>1.0</v>
      </c>
      <c r="B45" s="2" t="s">
        <v>188</v>
      </c>
      <c r="C45" s="2" t="s">
        <v>189</v>
      </c>
      <c r="D45" s="2" t="s">
        <v>42</v>
      </c>
      <c r="E45" s="2" t="s">
        <v>21</v>
      </c>
      <c r="F45" s="2" t="s">
        <v>15</v>
      </c>
      <c r="G45" s="2" t="s">
        <v>190</v>
      </c>
      <c r="H45" s="2" t="s">
        <v>78</v>
      </c>
      <c r="I45" s="2" t="str">
        <f>IFERROR(__xludf.DUMMYFUNCTION("GOOGLETRANSLATE(C45,""fr"",""en"")"),"I am taken 150 e per month (I have a penalty) to ensure only a Twingo 3 ... I find it very expensive so I make a simulation on an insurance comparator, by applying my penalty of course. You want to laugh ? I find insurance less than 60 e per month and for"&amp;" the final bouquet the company Olivier Insurance offers a contract for less than 80 e per month .... while I paid 150 .... a joke ??? Frankly they just pushed me to the exit ...")</f>
        <v>I am taken 150 e per month (I have a penalty) to ensure only a Twingo 3 ... I find it very expensive so I make a simulation on an insurance comparator, by applying my penalty of course. You want to laugh ? I find insurance less than 60 e per month and for the final bouquet the company Olivier Insurance offers a contract for less than 80 e per month .... while I paid 150 .... a joke ??? Frankly they just pushed me to the exit ...</v>
      </c>
    </row>
    <row r="46" ht="15.75" customHeight="1">
      <c r="A46" s="2">
        <v>2.0</v>
      </c>
      <c r="B46" s="2" t="s">
        <v>191</v>
      </c>
      <c r="C46" s="2" t="s">
        <v>192</v>
      </c>
      <c r="D46" s="2" t="s">
        <v>42</v>
      </c>
      <c r="E46" s="2" t="s">
        <v>21</v>
      </c>
      <c r="F46" s="2" t="s">
        <v>15</v>
      </c>
      <c r="G46" s="2" t="s">
        <v>193</v>
      </c>
      <c r="H46" s="2" t="s">
        <v>52</v>
      </c>
      <c r="I46" s="2" t="str">
        <f>IFERROR(__xludf.DUMMYFUNCTION("GOOGLETRANSLATE(C46,""fr"",""en"")"),"Problem withdrawal from Seat Ibiza with real majoree a simply scandalous shame, a problem coming from you when it comes to raising a first direct debit")</f>
        <v>Problem withdrawal from Seat Ibiza with real majoree a simply scandalous shame, a problem coming from you when it comes to raising a first direct debit</v>
      </c>
    </row>
    <row r="47" ht="15.75" customHeight="1">
      <c r="A47" s="2">
        <v>4.0</v>
      </c>
      <c r="B47" s="2" t="s">
        <v>194</v>
      </c>
      <c r="C47" s="2" t="s">
        <v>195</v>
      </c>
      <c r="D47" s="2" t="s">
        <v>196</v>
      </c>
      <c r="E47" s="2" t="s">
        <v>82</v>
      </c>
      <c r="F47" s="2" t="s">
        <v>15</v>
      </c>
      <c r="G47" s="2" t="s">
        <v>197</v>
      </c>
      <c r="H47" s="2" t="s">
        <v>52</v>
      </c>
      <c r="I47" s="2" t="str">
        <f>IFERROR(__xludf.DUMMYFUNCTION("GOOGLETRANSLATE(C47,""fr"",""en"")"),"
Very good exchange and advice with Emeline today on June 18 and for emails to guide me.
If necessary other advice I can count on them.
Have a good day")</f>
        <v>
Very good exchange and advice with Emeline today on June 18 and for emails to guide me.
If necessary other advice I can count on them.
Have a good day</v>
      </c>
    </row>
    <row r="48" ht="15.75" customHeight="1">
      <c r="A48" s="2">
        <v>1.0</v>
      </c>
      <c r="B48" s="2" t="s">
        <v>198</v>
      </c>
      <c r="C48" s="2" t="s">
        <v>199</v>
      </c>
      <c r="D48" s="2" t="s">
        <v>200</v>
      </c>
      <c r="E48" s="2" t="s">
        <v>21</v>
      </c>
      <c r="F48" s="2" t="s">
        <v>15</v>
      </c>
      <c r="G48" s="2" t="s">
        <v>201</v>
      </c>
      <c r="H48" s="2" t="s">
        <v>202</v>
      </c>
      <c r="I48" s="2" t="str">
        <f>IFERROR(__xludf.DUMMYFUNCTION("GOOGLETRANSLATE(C48,""fr"",""en"")"),"Following a termination by CHATEL law dated November 2016, Eurofil arrives at an undue annual levy on January 5, 2017 and intends to reimburse me from January 25, 2017 therefore February 2017.")</f>
        <v>Following a termination by CHATEL law dated November 2016, Eurofil arrives at an undue annual levy on January 5, 2017 and intends to reimburse me from January 25, 2017 therefore February 2017.</v>
      </c>
    </row>
    <row r="49" ht="15.75" customHeight="1">
      <c r="A49" s="2">
        <v>5.0</v>
      </c>
      <c r="B49" s="2" t="s">
        <v>203</v>
      </c>
      <c r="C49" s="2" t="s">
        <v>204</v>
      </c>
      <c r="D49" s="2" t="s">
        <v>196</v>
      </c>
      <c r="E49" s="2" t="s">
        <v>82</v>
      </c>
      <c r="F49" s="2" t="s">
        <v>15</v>
      </c>
      <c r="G49" s="2" t="s">
        <v>205</v>
      </c>
      <c r="H49" s="2" t="s">
        <v>206</v>
      </c>
      <c r="I49" s="2" t="str">
        <f>IFERROR(__xludf.DUMMYFUNCTION("GOOGLETRANSLATE(C49,""fr"",""en"")"),"Professional contact allowing me to obtain an appropriate personal contract with judicious guarantees.")</f>
        <v>Professional contact allowing me to obtain an appropriate personal contract with judicious guarantees.</v>
      </c>
    </row>
    <row r="50" ht="15.75" customHeight="1">
      <c r="A50" s="2">
        <v>1.0</v>
      </c>
      <c r="B50" s="2" t="s">
        <v>207</v>
      </c>
      <c r="C50" s="2" t="s">
        <v>208</v>
      </c>
      <c r="D50" s="2" t="s">
        <v>209</v>
      </c>
      <c r="E50" s="2" t="s">
        <v>82</v>
      </c>
      <c r="F50" s="2" t="s">
        <v>15</v>
      </c>
      <c r="G50" s="2" t="s">
        <v>210</v>
      </c>
      <c r="H50" s="2" t="s">
        <v>23</v>
      </c>
      <c r="I50" s="2" t="str">
        <f>IFERROR(__xludf.DUMMYFUNCTION("GOOGLETRANSLATE(C50,""fr"",""en"")"),"Hello
The MGEN contribution comes to retirement is no longer automatically listed.
So I realized the magnitude of this subscription.
I am at 200 euros by me for a being entitled.
Unfortunately my spouse is in ALS and I doubt that another mutual is acc"&amp;"epted to us.")</f>
        <v>Hello
The MGEN contribution comes to retirement is no longer automatically listed.
So I realized the magnitude of this subscription.
I am at 200 euros by me for a being entitled.
Unfortunately my spouse is in ALS and I doubt that another mutual is accepted to us.</v>
      </c>
    </row>
    <row r="51" ht="15.75" customHeight="1">
      <c r="A51" s="2">
        <v>4.0</v>
      </c>
      <c r="B51" s="2" t="s">
        <v>211</v>
      </c>
      <c r="C51" s="2" t="s">
        <v>212</v>
      </c>
      <c r="D51" s="2" t="s">
        <v>42</v>
      </c>
      <c r="E51" s="2" t="s">
        <v>21</v>
      </c>
      <c r="F51" s="2" t="s">
        <v>15</v>
      </c>
      <c r="G51" s="2" t="s">
        <v>213</v>
      </c>
      <c r="H51" s="2" t="s">
        <v>52</v>
      </c>
      <c r="I51" s="2" t="str">
        <f>IFERROR(__xludf.DUMMYFUNCTION("GOOGLETRANSLATE(C51,""fr"",""en"")"),"I am satisfied with the procedures, it lacks visibility on the documents under processing to be sure that these are well under processing.")</f>
        <v>I am satisfied with the procedures, it lacks visibility on the documents under processing to be sure that these are well under processing.</v>
      </c>
    </row>
    <row r="52" ht="15.75" customHeight="1">
      <c r="A52" s="2">
        <v>4.0</v>
      </c>
      <c r="B52" s="2" t="s">
        <v>214</v>
      </c>
      <c r="C52" s="2" t="s">
        <v>215</v>
      </c>
      <c r="D52" s="2" t="s">
        <v>42</v>
      </c>
      <c r="E52" s="2" t="s">
        <v>21</v>
      </c>
      <c r="F52" s="2" t="s">
        <v>15</v>
      </c>
      <c r="G52" s="2" t="s">
        <v>216</v>
      </c>
      <c r="H52" s="2" t="s">
        <v>151</v>
      </c>
      <c r="I52" s="2" t="str">
        <f>IFERROR(__xludf.DUMMYFUNCTION("GOOGLETRANSLATE(C52,""fr"",""en"")"),"I am satisfied with the quality of the exchange with your advisor but I find it unfortunate that at the level of the warranty I must wait 15 days to subscribe to any risk insurance.")</f>
        <v>I am satisfied with the quality of the exchange with your advisor but I find it unfortunate that at the level of the warranty I must wait 15 days to subscribe to any risk insurance.</v>
      </c>
    </row>
    <row r="53" ht="15.75" customHeight="1">
      <c r="A53" s="2">
        <v>1.0</v>
      </c>
      <c r="B53" s="2" t="s">
        <v>217</v>
      </c>
      <c r="C53" s="2" t="s">
        <v>218</v>
      </c>
      <c r="D53" s="2" t="s">
        <v>219</v>
      </c>
      <c r="E53" s="2" t="s">
        <v>220</v>
      </c>
      <c r="F53" s="2" t="s">
        <v>15</v>
      </c>
      <c r="G53" s="2" t="s">
        <v>221</v>
      </c>
      <c r="H53" s="2" t="s">
        <v>222</v>
      </c>
      <c r="I53" s="2" t="str">
        <f>IFERROR(__xludf.DUMMYFUNCTION("GOOGLETRANSLATE(C53,""fr"",""en"")"),"Following the death of my mother I benefit from life insurance which I cannot be paid. After 4 parts of parts, the treatment of which is each time 1 month before you are asked for you Other parts. The staff on the phone is barely kind and knows nothing.")</f>
        <v>Following the death of my mother I benefit from life insurance which I cannot be paid. After 4 parts of parts, the treatment of which is each time 1 month before you are asked for you Other parts. The staff on the phone is barely kind and knows nothing.</v>
      </c>
    </row>
    <row r="54" ht="15.75" customHeight="1">
      <c r="A54" s="2">
        <v>1.0</v>
      </c>
      <c r="B54" s="2" t="s">
        <v>223</v>
      </c>
      <c r="C54" s="2" t="s">
        <v>224</v>
      </c>
      <c r="D54" s="2" t="s">
        <v>183</v>
      </c>
      <c r="E54" s="2" t="s">
        <v>33</v>
      </c>
      <c r="F54" s="2" t="s">
        <v>15</v>
      </c>
      <c r="G54" s="2" t="s">
        <v>225</v>
      </c>
      <c r="H54" s="2" t="s">
        <v>126</v>
      </c>
      <c r="I54" s="2" t="str">
        <f>IFERROR(__xludf.DUMMYFUNCTION("GOOGLETRANSLATE(C54,""fr"",""en"")"),"Impossible to have a clear explanation on how to manage the disaster etc ..
Deadline far too long everything is done to discourage you
We expect more than one insurer especially during a step as important as a disaster.
The latest I am told to have the"&amp;" leak repaired at the neighbor. I suffer the leak and I have to adjust a plumber so that he repairs when it is not at home? When I insist and ask for more details more answers.
Really shameful.
My family has buildings insured at home we also have car in"&amp;"surance etc but we must not have problems to be considered a shame for my part I will disengage as soon as possible.
")</f>
        <v>Impossible to have a clear explanation on how to manage the disaster etc ..
Deadline far too long everything is done to discourage you
We expect more than one insurer especially during a step as important as a disaster.
The latest I am told to have the leak repaired at the neighbor. I suffer the leak and I have to adjust a plumber so that he repairs when it is not at home? When I insist and ask for more details more answers.
Really shameful.
My family has buildings insured at home we also have car insurance etc but we must not have problems to be considered a shame for my part I will disengage as soon as possible.
</v>
      </c>
    </row>
    <row r="55" ht="15.75" customHeight="1">
      <c r="A55" s="2">
        <v>5.0</v>
      </c>
      <c r="B55" s="2" t="s">
        <v>226</v>
      </c>
      <c r="C55" s="2" t="s">
        <v>227</v>
      </c>
      <c r="D55" s="2" t="s">
        <v>32</v>
      </c>
      <c r="E55" s="2" t="s">
        <v>21</v>
      </c>
      <c r="F55" s="2" t="s">
        <v>15</v>
      </c>
      <c r="G55" s="2" t="s">
        <v>228</v>
      </c>
      <c r="H55" s="2" t="s">
        <v>48</v>
      </c>
      <c r="I55" s="2" t="str">
        <f>IFERROR(__xludf.DUMMYFUNCTION("GOOGLETRANSLATE(C55,""fr"",""en"")"),"I am satisfied with the simple and quick services it is good because I was contacted directly following a quote. The prices are very attractive whether for home insurance or car insurance")</f>
        <v>I am satisfied with the simple and quick services it is good because I was contacted directly following a quote. The prices are very attractive whether for home insurance or car insurance</v>
      </c>
    </row>
    <row r="56" ht="15.75" customHeight="1">
      <c r="A56" s="2">
        <v>3.0</v>
      </c>
      <c r="B56" s="2" t="s">
        <v>229</v>
      </c>
      <c r="C56" s="2" t="s">
        <v>230</v>
      </c>
      <c r="D56" s="2" t="s">
        <v>42</v>
      </c>
      <c r="E56" s="2" t="s">
        <v>21</v>
      </c>
      <c r="F56" s="2" t="s">
        <v>15</v>
      </c>
      <c r="G56" s="2" t="s">
        <v>231</v>
      </c>
      <c r="H56" s="2" t="s">
        <v>23</v>
      </c>
      <c r="I56" s="2" t="str">
        <f>IFERROR(__xludf.DUMMYFUNCTION("GOOGLETRANSLATE(C56,""fr"",""en"")"),"I just joined for two contracts: 1080148448 and 1080151870 at the beginning of January. I paid ""cash"" the annual amount of the two insurances. We are at the end of February I do not have the final green cards. In addition, I reported an error concerning"&amp;" the date of delivery license. A new amendment has been made and 15 euros were billed to me. It is scandalous, especially since the date of issuance (1975 instead of 1976) cannot cause any change in the plan of the claim or the guarantee. I should have sa"&amp;"id nothing? - In addition I contracted these insurances through the Hamon law and he has just been asked for an information statement that I have already provided many times and which has even been sent by my former insurance. I doubt the administrative q"&amp;"uality of this insurance.")</f>
        <v>I just joined for two contracts: 1080148448 and 1080151870 at the beginning of January. I paid "cash" the annual amount of the two insurances. We are at the end of February I do not have the final green cards. In addition, I reported an error concerning the date of delivery license. A new amendment has been made and 15 euros were billed to me. It is scandalous, especially since the date of issuance (1975 instead of 1976) cannot cause any change in the plan of the claim or the guarantee. I should have said nothing? - In addition I contracted these insurances through the Hamon law and he has just been asked for an information statement that I have already provided many times and which has even been sent by my former insurance. I doubt the administrative quality of this insurance.</v>
      </c>
    </row>
    <row r="57" ht="15.75" customHeight="1">
      <c r="A57" s="2">
        <v>4.0</v>
      </c>
      <c r="B57" s="2" t="s">
        <v>232</v>
      </c>
      <c r="C57" s="2" t="s">
        <v>233</v>
      </c>
      <c r="D57" s="2" t="s">
        <v>32</v>
      </c>
      <c r="E57" s="2" t="s">
        <v>21</v>
      </c>
      <c r="F57" s="2" t="s">
        <v>15</v>
      </c>
      <c r="G57" s="2" t="s">
        <v>234</v>
      </c>
      <c r="H57" s="2" t="s">
        <v>29</v>
      </c>
      <c r="I57" s="2" t="str">
        <f>IFERROR(__xludf.DUMMYFUNCTION("GOOGLETRANSLATE(C57,""fr"",""en"")"),"Perfect, fast I did not ensure my vehicle has a correct price in a short time (10 minutes) Customer service can be easily reachable by phone")</f>
        <v>Perfect, fast I did not ensure my vehicle has a correct price in a short time (10 minutes) Customer service can be easily reachable by phone</v>
      </c>
    </row>
    <row r="58" ht="15.75" customHeight="1">
      <c r="A58" s="2">
        <v>3.0</v>
      </c>
      <c r="B58" s="2" t="s">
        <v>235</v>
      </c>
      <c r="C58" s="2" t="s">
        <v>236</v>
      </c>
      <c r="D58" s="2" t="s">
        <v>42</v>
      </c>
      <c r="E58" s="2" t="s">
        <v>21</v>
      </c>
      <c r="F58" s="2" t="s">
        <v>15</v>
      </c>
      <c r="G58" s="2" t="s">
        <v>69</v>
      </c>
      <c r="H58" s="2" t="s">
        <v>48</v>
      </c>
      <c r="I58" s="2" t="str">
        <f>IFERROR(__xludf.DUMMYFUNCTION("GOOGLETRANSLATE(C58,""fr"",""en"")"),"Top service always someone to answer but price an excessive can, however having the choice to choose the olive tree because they are the only ones want to make sure me")</f>
        <v>Top service always someone to answer but price an excessive can, however having the choice to choose the olive tree because they are the only ones want to make sure me</v>
      </c>
    </row>
    <row r="59" ht="15.75" customHeight="1">
      <c r="A59" s="2">
        <v>1.0</v>
      </c>
      <c r="B59" s="2" t="s">
        <v>237</v>
      </c>
      <c r="C59" s="2" t="s">
        <v>238</v>
      </c>
      <c r="D59" s="2" t="s">
        <v>90</v>
      </c>
      <c r="E59" s="2" t="s">
        <v>82</v>
      </c>
      <c r="F59" s="2" t="s">
        <v>15</v>
      </c>
      <c r="G59" s="2" t="s">
        <v>239</v>
      </c>
      <c r="H59" s="2" t="s">
        <v>240</v>
      </c>
      <c r="I59" s="2" t="str">
        <f>IFERROR(__xludf.DUMMYFUNCTION("GOOGLETRANSLATE(C59,""fr"",""en"")"),"It is with cynicism consumed that this so -called mutual multiplies multiplies administrative hassles so as not to honor their obligation of portability of my health contract.
Pitiful! Run away !!!")</f>
        <v>It is with cynicism consumed that this so -called mutual multiplies multiplies administrative hassles so as not to honor their obligation of portability of my health contract.
Pitiful! Run away !!!</v>
      </c>
    </row>
    <row r="60" ht="15.75" customHeight="1">
      <c r="A60" s="2">
        <v>4.0</v>
      </c>
      <c r="B60" s="2" t="s">
        <v>241</v>
      </c>
      <c r="C60" s="2" t="s">
        <v>242</v>
      </c>
      <c r="D60" s="2" t="s">
        <v>65</v>
      </c>
      <c r="E60" s="2" t="s">
        <v>60</v>
      </c>
      <c r="F60" s="2" t="s">
        <v>15</v>
      </c>
      <c r="G60" s="2" t="s">
        <v>243</v>
      </c>
      <c r="H60" s="2" t="s">
        <v>52</v>
      </c>
      <c r="I60" s="2" t="str">
        <f>IFERROR(__xludf.DUMMYFUNCTION("GOOGLETRANSLATE(C60,""fr"",""en"")"),"I'm satisfied with the product, when I really need it if everything is ok. Regarding the very correct price
Business to follow, good route")</f>
        <v>I'm satisfied with the product, when I really need it if everything is ok. Regarding the very correct price
Business to follow, good route</v>
      </c>
    </row>
    <row r="61" ht="15.75" customHeight="1">
      <c r="A61" s="2">
        <v>2.0</v>
      </c>
      <c r="B61" s="2" t="s">
        <v>244</v>
      </c>
      <c r="C61" s="2" t="s">
        <v>245</v>
      </c>
      <c r="D61" s="2" t="s">
        <v>129</v>
      </c>
      <c r="E61" s="2" t="s">
        <v>21</v>
      </c>
      <c r="F61" s="2" t="s">
        <v>15</v>
      </c>
      <c r="G61" s="2" t="s">
        <v>246</v>
      </c>
      <c r="H61" s="2" t="s">
        <v>147</v>
      </c>
      <c r="I61" s="2" t="str">
        <f>IFERROR(__xludf.DUMMYFUNCTION("GOOGLETRANSLATE(C61,""fr"",""en"")"),"A service rendered that puts my safety and that of my passengers in danger. Unreachable advisers who after losing my car and to avoid towing it lied to my garage and even by explaining that she was unwilling (I had to intervene the convenience store with "&amp;"whom we had rolled the car ). The car was returned to me for the first time, it had been repaired ... Painting problems only! The mechanical verification had been forgotten. I recovered it a second time with only half of the checked mechanics, I see at th"&amp;"e first conduct that ... I have no more hand brakes! The GMF refuses to make the link between the expert, the garage and me. This story has lasted for 3 months, and although all costs are paid by opposing insurance, the GMF refused to lend me a rental veh"&amp;"icle for more than 3 days, preventing me from going to work. Today I am stuck, I will have to drive 1h15 my dangerous car to go and drop it off at the garage - which I do not have the right to choose despite this guarantee (ah yes, I have the right to cho"&amp;"ose but at my expense ). In short, I believe that GMF is also trying to scare me to sell me life insurance.")</f>
        <v>A service rendered that puts my safety and that of my passengers in danger. Unreachable advisers who after losing my car and to avoid towing it lied to my garage and even by explaining that she was unwilling (I had to intervene the convenience store with whom we had rolled the car ). The car was returned to me for the first time, it had been repaired ... Painting problems only! The mechanical verification had been forgotten. I recovered it a second time with only half of the checked mechanics, I see at the first conduct that ... I have no more hand brakes! The GMF refuses to make the link between the expert, the garage and me. This story has lasted for 3 months, and although all costs are paid by opposing insurance, the GMF refused to lend me a rental vehicle for more than 3 days, preventing me from going to work. Today I am stuck, I will have to drive 1h15 my dangerous car to go and drop it off at the garage - which I do not have the right to choose despite this guarantee (ah yes, I have the right to choose but at my expense ). In short, I believe that GMF is also trying to scare me to sell me life insurance.</v>
      </c>
    </row>
    <row r="62" ht="15.75" customHeight="1">
      <c r="A62" s="2">
        <v>3.0</v>
      </c>
      <c r="B62" s="2" t="s">
        <v>247</v>
      </c>
      <c r="C62" s="2" t="s">
        <v>248</v>
      </c>
      <c r="D62" s="2" t="s">
        <v>183</v>
      </c>
      <c r="E62" s="2" t="s">
        <v>21</v>
      </c>
      <c r="F62" s="2" t="s">
        <v>15</v>
      </c>
      <c r="G62" s="2" t="s">
        <v>249</v>
      </c>
      <c r="H62" s="2" t="s">
        <v>250</v>
      </c>
      <c r="I62" s="2" t="str">
        <f>IFERROR(__xludf.DUMMYFUNCTION("GOOGLETRANSLATE(C62,""fr"",""en"")"),"Allianz has considerably increased prices since the acquisition of AGF is incredible this increase.
Currently I make quotes elsewhere to leave.")</f>
        <v>Allianz has considerably increased prices since the acquisition of AGF is incredible this increase.
Currently I make quotes elsewhere to leave.</v>
      </c>
    </row>
    <row r="63" ht="15.75" customHeight="1">
      <c r="A63" s="2">
        <v>4.0</v>
      </c>
      <c r="B63" s="2" t="s">
        <v>251</v>
      </c>
      <c r="C63" s="2" t="s">
        <v>252</v>
      </c>
      <c r="D63" s="2" t="s">
        <v>42</v>
      </c>
      <c r="E63" s="2" t="s">
        <v>21</v>
      </c>
      <c r="F63" s="2" t="s">
        <v>15</v>
      </c>
      <c r="G63" s="2" t="s">
        <v>253</v>
      </c>
      <c r="H63" s="2" t="s">
        <v>115</v>
      </c>
      <c r="I63" s="2" t="str">
        <f>IFERROR(__xludf.DUMMYFUNCTION("GOOGLETRANSLATE(C63,""fr"",""en"")"),"I recommend ... good online insurance.")</f>
        <v>I recommend ... good online insurance.</v>
      </c>
    </row>
    <row r="64" ht="15.75" customHeight="1">
      <c r="A64" s="2">
        <v>1.0</v>
      </c>
      <c r="B64" s="2" t="s">
        <v>254</v>
      </c>
      <c r="C64" s="2" t="s">
        <v>255</v>
      </c>
      <c r="D64" s="2" t="s">
        <v>209</v>
      </c>
      <c r="E64" s="2" t="s">
        <v>82</v>
      </c>
      <c r="F64" s="2" t="s">
        <v>15</v>
      </c>
      <c r="G64" s="2" t="s">
        <v>256</v>
      </c>
      <c r="H64" s="2" t="s">
        <v>35</v>
      </c>
      <c r="I64" s="2" t="str">
        <f>IFERROR(__xludf.DUMMYFUNCTION("GOOGLETRANSLATE(C64,""fr"",""en"")"),"An advisor replied that he ""did not pretend to be an expert in social security"" ... As a civil servant, the MGEN is however responsible for the social security part of compulsory health insurance.")</f>
        <v>An advisor replied that he "did not pretend to be an expert in social security" ... As a civil servant, the MGEN is however responsible for the social security part of compulsory health insurance.</v>
      </c>
    </row>
    <row r="65" ht="15.75" customHeight="1">
      <c r="A65" s="2">
        <v>1.0</v>
      </c>
      <c r="B65" s="2" t="s">
        <v>257</v>
      </c>
      <c r="C65" s="2" t="s">
        <v>258</v>
      </c>
      <c r="D65" s="2" t="s">
        <v>65</v>
      </c>
      <c r="E65" s="2" t="s">
        <v>60</v>
      </c>
      <c r="F65" s="2" t="s">
        <v>15</v>
      </c>
      <c r="G65" s="2" t="s">
        <v>259</v>
      </c>
      <c r="H65" s="2" t="s">
        <v>260</v>
      </c>
      <c r="I65" s="2" t="str">
        <f>IFERROR(__xludf.DUMMYFUNCTION("GOOGLETRANSLATE(C65,""fr"",""en"")"),"I do not recommend this insurer.
No follow -up of files, reminders to make the files advance between garages, experts and them. They have very bad customer service.
A real disaster.")</f>
        <v>I do not recommend this insurer.
No follow -up of files, reminders to make the files advance between garages, experts and them. They have very bad customer service.
A real disaster.</v>
      </c>
    </row>
    <row r="66" ht="15.75" customHeight="1">
      <c r="A66" s="2">
        <v>1.0</v>
      </c>
      <c r="B66" s="2" t="s">
        <v>261</v>
      </c>
      <c r="C66" s="2" t="s">
        <v>262</v>
      </c>
      <c r="D66" s="2" t="s">
        <v>263</v>
      </c>
      <c r="E66" s="2" t="s">
        <v>157</v>
      </c>
      <c r="F66" s="2" t="s">
        <v>15</v>
      </c>
      <c r="G66" s="2" t="s">
        <v>264</v>
      </c>
      <c r="H66" s="2" t="s">
        <v>206</v>
      </c>
      <c r="I66" s="2" t="str">
        <f>IFERROR(__xludf.DUMMYFUNCTION("GOOGLETRANSLATE(C66,""fr"",""en"")"),"Flee Swisslife
I made the mistake of signing provident insurance with them a few years ago, then the samples increased without any reason and without trying to contact me today he sends me a bailiff to finish my press like a Lemon when we were in amicabl"&amp;"e negotiations ...
You can take the gan or another which will also be advantageous but much cheaper")</f>
        <v>Flee Swisslife
I made the mistake of signing provident insurance with them a few years ago, then the samples increased without any reason and without trying to contact me today he sends me a bailiff to finish my press like a Lemon when we were in amicable negotiations ...
You can take the gan or another which will also be advantageous but much cheaper</v>
      </c>
    </row>
    <row r="67" ht="15.75" customHeight="1">
      <c r="A67" s="2">
        <v>1.0</v>
      </c>
      <c r="B67" s="2" t="s">
        <v>265</v>
      </c>
      <c r="C67" s="2" t="s">
        <v>266</v>
      </c>
      <c r="D67" s="2" t="s">
        <v>267</v>
      </c>
      <c r="E67" s="2" t="s">
        <v>21</v>
      </c>
      <c r="F67" s="2" t="s">
        <v>15</v>
      </c>
      <c r="G67" s="2" t="s">
        <v>268</v>
      </c>
      <c r="H67" s="2" t="s">
        <v>84</v>
      </c>
      <c r="I67" s="2" t="str">
        <f>IFERROR(__xludf.DUMMYFUNCTION("GOOGLETRANSLATE(C67,""fr"",""en"")"),"I put a star everywhere because it is impossible to put 0.
Striped by a wild boar on December 1st declared assistance immediately did not come. . No news from insurance I had to wait mid February to see the expert.
The expert gives his agreement but sti"&amp;"ll no reparation dated March 12, the approved garage does not want to work! I may relaunch them the staff of Pacifica is unpleasant clings you to the nose and tells you to manage !!! no loan of vehicles yet included in the contract !!!! Disabled person Th"&amp;"e agency that sold us the contract do not ensure any follow -up.")</f>
        <v>I put a star everywhere because it is impossible to put 0.
Striped by a wild boar on December 1st declared assistance immediately did not come. . No news from insurance I had to wait mid February to see the expert.
The expert gives his agreement but still no reparation dated March 12, the approved garage does not want to work! I may relaunch them the staff of Pacifica is unpleasant clings you to the nose and tells you to manage !!! no loan of vehicles yet included in the contract !!!! Disabled person The agency that sold us the contract do not ensure any follow -up.</v>
      </c>
    </row>
    <row r="68" ht="15.75" customHeight="1">
      <c r="A68" s="2">
        <v>5.0</v>
      </c>
      <c r="B68" s="2" t="s">
        <v>269</v>
      </c>
      <c r="C68" s="2" t="s">
        <v>270</v>
      </c>
      <c r="D68" s="2" t="s">
        <v>42</v>
      </c>
      <c r="E68" s="2" t="s">
        <v>21</v>
      </c>
      <c r="F68" s="2" t="s">
        <v>15</v>
      </c>
      <c r="G68" s="2" t="s">
        <v>271</v>
      </c>
      <c r="H68" s="2" t="s">
        <v>56</v>
      </c>
      <c r="I68" s="2" t="str">
        <f>IFERROR(__xludf.DUMMYFUNCTION("GOOGLETRANSLATE(C68,""fr"",""en"")"),"I am satisfied with the service now. The commercial team is professional. The price is also advantageous compared to competition. I hope not to have resorted to you in the coming year :)")</f>
        <v>I am satisfied with the service now. The commercial team is professional. The price is also advantageous compared to competition. I hope not to have resorted to you in the coming year :)</v>
      </c>
    </row>
    <row r="69" ht="15.75" customHeight="1">
      <c r="A69" s="2">
        <v>1.0</v>
      </c>
      <c r="B69" s="2" t="s">
        <v>272</v>
      </c>
      <c r="C69" s="2" t="s">
        <v>273</v>
      </c>
      <c r="D69" s="2" t="s">
        <v>196</v>
      </c>
      <c r="E69" s="2" t="s">
        <v>82</v>
      </c>
      <c r="F69" s="2" t="s">
        <v>15</v>
      </c>
      <c r="G69" s="2" t="s">
        <v>274</v>
      </c>
      <c r="H69" s="2" t="s">
        <v>159</v>
      </c>
      <c r="I69" s="2" t="str">
        <f>IFERROR(__xludf.DUMMYFUNCTION("GOOGLETRANSLATE(C69,""fr"",""en"")"),"To be really zero kind until subscription then you are abandonment I know what I am talking about that it even answers neither to messages nor to the fuiredeeeeeeeeeeeeeeeeeeeeeeeeeeeeeeeeeeeeeeeeeeeeeeeeeee")</f>
        <v>To be really zero kind until subscription then you are abandonment I know what I am talking about that it even answers neither to messages nor to the fuiredeeeeeeeeeeeeeeeeeeeeeeeeeeeeeeeeeeeeeeeeeeeeeeeeeee</v>
      </c>
    </row>
    <row r="70" ht="15.75" customHeight="1">
      <c r="A70" s="2">
        <v>2.0</v>
      </c>
      <c r="B70" s="2" t="s">
        <v>275</v>
      </c>
      <c r="C70" s="2" t="s">
        <v>276</v>
      </c>
      <c r="D70" s="2" t="s">
        <v>42</v>
      </c>
      <c r="E70" s="2" t="s">
        <v>21</v>
      </c>
      <c r="F70" s="2" t="s">
        <v>15</v>
      </c>
      <c r="G70" s="2" t="s">
        <v>277</v>
      </c>
      <c r="H70" s="2" t="s">
        <v>278</v>
      </c>
      <c r="I70" s="2" t="str">
        <f>IFERROR(__xludf.DUMMYFUNCTION("GOOGLETRANSLATE(C70,""fr"",""en"")"),"Monthly payments which increase by more than 100 € in months following an ice cream so I was not responsible, mediocre customer service, an advisor who is haughty and disrespectful.
I ask if it is possible to also provide family members for the next year"&amp;" because they would also like to drive the vehicle, the advisor replies that the ""false statements"" are illegal. How is it a false statement? I have always been the only driver so far and I ask the question for the future contract.
I terminate my insur"&amp;"ance contract with the Olivier Auto Insurance")</f>
        <v>Monthly payments which increase by more than 100 € in months following an ice cream so I was not responsible, mediocre customer service, an advisor who is haughty and disrespectful.
I ask if it is possible to also provide family members for the next year because they would also like to drive the vehicle, the advisor replies that the "false statements" are illegal. How is it a false statement? I have always been the only driver so far and I ask the question for the future contract.
I terminate my insurance contract with the Olivier Auto Insurance</v>
      </c>
    </row>
    <row r="71" ht="15.75" customHeight="1">
      <c r="A71" s="2">
        <v>5.0</v>
      </c>
      <c r="B71" s="2" t="s">
        <v>279</v>
      </c>
      <c r="C71" s="2" t="s">
        <v>280</v>
      </c>
      <c r="D71" s="2" t="s">
        <v>124</v>
      </c>
      <c r="E71" s="2" t="s">
        <v>60</v>
      </c>
      <c r="F71" s="2" t="s">
        <v>15</v>
      </c>
      <c r="G71" s="2" t="s">
        <v>125</v>
      </c>
      <c r="H71" s="2" t="s">
        <v>126</v>
      </c>
      <c r="I71" s="2" t="str">
        <f>IFERROR(__xludf.DUMMYFUNCTION("GOOGLETRANSLATE(C71,""fr"",""en"")"),"Thank you for your support. Responsible for the super -listening sinister service and we see that he is invested in his work. Very professional.
I recommend !! thanks again")</f>
        <v>Thank you for your support. Responsible for the super -listening sinister service and we see that he is invested in his work. Very professional.
I recommend !! thanks again</v>
      </c>
    </row>
    <row r="72" ht="15.75" customHeight="1">
      <c r="A72" s="2">
        <v>5.0</v>
      </c>
      <c r="B72" s="2" t="s">
        <v>281</v>
      </c>
      <c r="C72" s="2" t="s">
        <v>282</v>
      </c>
      <c r="D72" s="2" t="s">
        <v>32</v>
      </c>
      <c r="E72" s="2" t="s">
        <v>21</v>
      </c>
      <c r="F72" s="2" t="s">
        <v>15</v>
      </c>
      <c r="G72" s="2" t="s">
        <v>283</v>
      </c>
      <c r="H72" s="2" t="s">
        <v>52</v>
      </c>
      <c r="I72" s="2" t="str">
        <f>IFERROR(__xludf.DUMMYFUNCTION("GOOGLETRANSLATE(C72,""fr"",""en"")"),"I am currently satisfied with the service and on June 02, 2021 I sent you by the post an amicable observation concerning a slight clash on June 1 and of which I did not have any news !,,")</f>
        <v>I am currently satisfied with the service and on June 02, 2021 I sent you by the post an amicable observation concerning a slight clash on June 1 and of which I did not have any news !,,</v>
      </c>
    </row>
    <row r="73" ht="15.75" customHeight="1">
      <c r="A73" s="2">
        <v>3.0</v>
      </c>
      <c r="B73" s="2" t="s">
        <v>284</v>
      </c>
      <c r="C73" s="2" t="s">
        <v>285</v>
      </c>
      <c r="D73" s="2" t="s">
        <v>32</v>
      </c>
      <c r="E73" s="2" t="s">
        <v>21</v>
      </c>
      <c r="F73" s="2" t="s">
        <v>15</v>
      </c>
      <c r="G73" s="2" t="s">
        <v>286</v>
      </c>
      <c r="H73" s="2" t="s">
        <v>287</v>
      </c>
      <c r="I73" s="2" t="str">
        <f>IFERROR(__xludf.DUMMYFUNCTION("GOOGLETRANSLATE(C73,""fr"",""en"")"),"Satisfied with the service, a fairly fun and easy to use site. On the other hand, price to compare with other insurers sites before subscription.
Cordially,")</f>
        <v>Satisfied with the service, a fairly fun and easy to use site. On the other hand, price to compare with other insurers sites before subscription.
Cordially,</v>
      </c>
    </row>
    <row r="74" ht="15.75" customHeight="1">
      <c r="A74" s="2">
        <v>5.0</v>
      </c>
      <c r="B74" s="2" t="s">
        <v>288</v>
      </c>
      <c r="C74" s="2" t="s">
        <v>289</v>
      </c>
      <c r="D74" s="2" t="s">
        <v>72</v>
      </c>
      <c r="E74" s="2" t="s">
        <v>21</v>
      </c>
      <c r="F74" s="2" t="s">
        <v>15</v>
      </c>
      <c r="G74" s="2" t="s">
        <v>290</v>
      </c>
      <c r="H74" s="2" t="s">
        <v>250</v>
      </c>
      <c r="I74" s="2" t="str">
        <f>IFERROR(__xludf.DUMMYFUNCTION("GOOGLETRANSLATE(C74,""fr"",""en"")"),"Congratulations, great. On the vacation road my son has a heart problem, he is an emergency in Alberville, I phone the assistance service? Immediately a medicine care is organized and the hotel care for us. Starting at the hotel the car broke down, I post"&amp;"pone the assistance service which opens a new mechanical file this time, a convenience store takes the vehicle, the car is mobilized at more than 600 km from our home, the assistance organizes our Return: taxi + train 1 ° hotel class at our home. To recov"&amp;"er our vehicle, the assistance offers us taxi + train for a person. I advise everyone to subscribe without worries.")</f>
        <v>Congratulations, great. On the vacation road my son has a heart problem, he is an emergency in Alberville, I phone the assistance service? Immediately a medicine care is organized and the hotel care for us. Starting at the hotel the car broke down, I postpone the assistance service which opens a new mechanical file this time, a convenience store takes the vehicle, the car is mobilized at more than 600 km from our home, the assistance organizes our Return: taxi + train 1 ° hotel class at our home. To recover our vehicle, the assistance offers us taxi + train for a person. I advise everyone to subscribe without worries.</v>
      </c>
    </row>
    <row r="75" ht="15.75" customHeight="1">
      <c r="A75" s="2">
        <v>1.0</v>
      </c>
      <c r="B75" s="2" t="s">
        <v>291</v>
      </c>
      <c r="C75" s="2" t="s">
        <v>292</v>
      </c>
      <c r="D75" s="2" t="s">
        <v>98</v>
      </c>
      <c r="E75" s="2" t="s">
        <v>21</v>
      </c>
      <c r="F75" s="2" t="s">
        <v>15</v>
      </c>
      <c r="G75" s="2" t="s">
        <v>205</v>
      </c>
      <c r="H75" s="2" t="s">
        <v>206</v>
      </c>
      <c r="I75" s="2" t="str">
        <f>IFERROR(__xludf.DUMMYFUNCTION("GOOGLETRANSLATE(C75,""fr"",""en"")"),"It is not an insurance but a broker in the way which guarantees you an incredible price increase I have no claim to my credit and we increase my schedule 23eu overnight, well on when Jappelle has an explanation I answer me that it is Like that of your ann"&amp;"oyed! It is of course a Dassurance broker that is to flee")</f>
        <v>It is not an insurance but a broker in the way which guarantees you an incredible price increase I have no claim to my credit and we increase my schedule 23eu overnight, well on when Jappelle has an explanation I answer me that it is Like that of your annoyed! It is of course a Dassurance broker that is to flee</v>
      </c>
    </row>
    <row r="76" ht="15.75" customHeight="1">
      <c r="A76" s="2">
        <v>5.0</v>
      </c>
      <c r="B76" s="2" t="s">
        <v>293</v>
      </c>
      <c r="C76" s="2" t="s">
        <v>294</v>
      </c>
      <c r="D76" s="2" t="s">
        <v>32</v>
      </c>
      <c r="E76" s="2" t="s">
        <v>21</v>
      </c>
      <c r="F76" s="2" t="s">
        <v>15</v>
      </c>
      <c r="G76" s="2" t="s">
        <v>295</v>
      </c>
      <c r="H76" s="2" t="s">
        <v>56</v>
      </c>
      <c r="I76" s="2" t="str">
        <f>IFERROR(__xludf.DUMMYFUNCTION("GOOGLETRANSLATE(C76,""fr"",""en"")"),"I am satisfied with the price and the speed of setting up insurance ... I will recommend direct insurance to my loved ones and thank you to you good end of year to you")</f>
        <v>I am satisfied with the price and the speed of setting up insurance ... I will recommend direct insurance to my loved ones and thank you to you good end of year to you</v>
      </c>
    </row>
    <row r="77" ht="15.75" customHeight="1">
      <c r="A77" s="2">
        <v>1.0</v>
      </c>
      <c r="B77" s="2" t="s">
        <v>296</v>
      </c>
      <c r="C77" s="2" t="s">
        <v>297</v>
      </c>
      <c r="D77" s="2" t="s">
        <v>298</v>
      </c>
      <c r="E77" s="2" t="s">
        <v>157</v>
      </c>
      <c r="F77" s="2" t="s">
        <v>15</v>
      </c>
      <c r="G77" s="2" t="s">
        <v>299</v>
      </c>
      <c r="H77" s="2" t="s">
        <v>300</v>
      </c>
      <c r="I77" s="2" t="str">
        <f>IFERROR(__xludf.DUMMYFUNCTION("GOOGLETRANSLATE(C77,""fr"",""en"")"),"Provident compensation paid very late, or even at the beginning of the following month for the maintenance of salary. Telephone calls are useless, the staff are not very professional and little attentive ... not great at all")</f>
        <v>Provident compensation paid very late, or even at the beginning of the following month for the maintenance of salary. Telephone calls are useless, the staff are not very professional and little attentive ... not great at all</v>
      </c>
    </row>
    <row r="78" ht="15.75" customHeight="1">
      <c r="A78" s="2">
        <v>1.0</v>
      </c>
      <c r="B78" s="2" t="s">
        <v>301</v>
      </c>
      <c r="C78" s="2" t="s">
        <v>302</v>
      </c>
      <c r="D78" s="2" t="s">
        <v>303</v>
      </c>
      <c r="E78" s="2" t="s">
        <v>21</v>
      </c>
      <c r="F78" s="2" t="s">
        <v>15</v>
      </c>
      <c r="G78" s="2" t="s">
        <v>304</v>
      </c>
      <c r="H78" s="2" t="s">
        <v>305</v>
      </c>
      <c r="I78" s="2" t="str">
        <f>IFERROR(__xludf.DUMMYFUNCTION("GOOGLETRANSLATE(C78,""fr"",""en"")"),"Total incompetence advises her on the phone does not even try to understand where the problem comes from and it allows to be all immediately unpleasant and judges the customer instead of finding a solution she seeks to justify their error and point the fi"&amp;"nger at what I 'Should not have to do no but seriously it is incredible, and clearly tells me that it is up to me to assume the errors of these colleagues by paying more expensive than the contract seen with my advisor !!! Error that I have to pay !! We t"&amp;"ell you a starting price seen with an advisor and we end up paying another sum and he cannot assume their colleague's mistakes and to top it all we bring you zero solution and we tell you if you want to leave I leave a comment so that you can leave before"&amp;" the end of your contract because it unable to do anything for your file. Frankly, destroy all customer service that exists !!!!")</f>
        <v>Total incompetence advises her on the phone does not even try to understand where the problem comes from and it allows to be all immediately unpleasant and judges the customer instead of finding a solution she seeks to justify their error and point the finger at what I 'Should not have to do no but seriously it is incredible, and clearly tells me that it is up to me to assume the errors of these colleagues by paying more expensive than the contract seen with my advisor !!! Error that I have to pay !! We tell you a starting price seen with an advisor and we end up paying another sum and he cannot assume their colleague's mistakes and to top it all we bring you zero solution and we tell you if you want to leave I leave a comment so that you can leave before the end of your contract because it unable to do anything for your file. Frankly, destroy all customer service that exists !!!!</v>
      </c>
    </row>
    <row r="79" ht="15.75" customHeight="1">
      <c r="A79" s="2">
        <v>5.0</v>
      </c>
      <c r="B79" s="2" t="s">
        <v>306</v>
      </c>
      <c r="C79" s="2" t="s">
        <v>307</v>
      </c>
      <c r="D79" s="2" t="s">
        <v>32</v>
      </c>
      <c r="E79" s="2" t="s">
        <v>21</v>
      </c>
      <c r="F79" s="2" t="s">
        <v>15</v>
      </c>
      <c r="G79" s="2" t="s">
        <v>308</v>
      </c>
      <c r="H79" s="2" t="s">
        <v>29</v>
      </c>
      <c r="I79" s="2" t="str">
        <f>IFERROR(__xludf.DUMMYFUNCTION("GOOGLETRANSLATE(C79,""fr"",""en"")"),"I am satisfied with this fast and efficient service nothing to add or complaining
No particular difficulty
Simple has validated
Thanks to Direct Insurance and good luck")</f>
        <v>I am satisfied with this fast and efficient service nothing to add or complaining
No particular difficulty
Simple has validated
Thanks to Direct Insurance and good luck</v>
      </c>
    </row>
    <row r="80" ht="15.75" customHeight="1">
      <c r="A80" s="2">
        <v>5.0</v>
      </c>
      <c r="B80" s="2" t="s">
        <v>309</v>
      </c>
      <c r="C80" s="2" t="s">
        <v>310</v>
      </c>
      <c r="D80" s="2" t="s">
        <v>124</v>
      </c>
      <c r="E80" s="2" t="s">
        <v>60</v>
      </c>
      <c r="F80" s="2" t="s">
        <v>15</v>
      </c>
      <c r="G80" s="2" t="s">
        <v>48</v>
      </c>
      <c r="H80" s="2" t="s">
        <v>48</v>
      </c>
      <c r="I80" s="2" t="str">
        <f>IFERROR(__xludf.DUMMYFUNCTION("GOOGLETRANSLATE(C80,""fr"",""en"")"),"The Service/Prix report is just top, I made sure a few weeks ago and everything went well. I recommend without hesitation.")</f>
        <v>The Service/Prix report is just top, I made sure a few weeks ago and everything went well. I recommend without hesitation.</v>
      </c>
    </row>
    <row r="81" ht="15.75" customHeight="1">
      <c r="A81" s="2">
        <v>1.0</v>
      </c>
      <c r="B81" s="2" t="s">
        <v>311</v>
      </c>
      <c r="C81" s="2" t="s">
        <v>312</v>
      </c>
      <c r="D81" s="2" t="s">
        <v>313</v>
      </c>
      <c r="E81" s="2" t="s">
        <v>82</v>
      </c>
      <c r="F81" s="2" t="s">
        <v>15</v>
      </c>
      <c r="G81" s="2" t="s">
        <v>314</v>
      </c>
      <c r="H81" s="2" t="s">
        <v>315</v>
      </c>
      <c r="I81" s="2" t="str">
        <f>IFERROR(__xludf.DUMMYFUNCTION("GOOGLETRANSLATE(C81,""fr"",""en"")"),"The care is not registered do not respond to the revival of the clinic. They do not take into account the messages that we send a lack of seriousness and professionalism certain manager available in short a mutual that I do not recommend.")</f>
        <v>The care is not registered do not respond to the revival of the clinic. They do not take into account the messages that we send a lack of seriousness and professionalism certain manager available in short a mutual that I do not recommend.</v>
      </c>
    </row>
    <row r="82" ht="15.75" customHeight="1">
      <c r="A82" s="2">
        <v>3.0</v>
      </c>
      <c r="B82" s="2" t="s">
        <v>316</v>
      </c>
      <c r="C82" s="2" t="s">
        <v>317</v>
      </c>
      <c r="D82" s="2" t="s">
        <v>32</v>
      </c>
      <c r="E82" s="2" t="s">
        <v>21</v>
      </c>
      <c r="F82" s="2" t="s">
        <v>15</v>
      </c>
      <c r="G82" s="2" t="s">
        <v>318</v>
      </c>
      <c r="H82" s="2" t="s">
        <v>104</v>
      </c>
      <c r="I82" s="2" t="str">
        <f>IFERROR(__xludf.DUMMYFUNCTION("GOOGLETRANSLATE(C82,""fr"",""en"")"),"I am satisfied with the services, indeed,
I find that the assistance in the event of a breakdown is not very useful and expensive.
I would like to replace it.
Bravo for this quality approach")</f>
        <v>I am satisfied with the services, indeed,
I find that the assistance in the event of a breakdown is not very useful and expensive.
I would like to replace it.
Bravo for this quality approach</v>
      </c>
    </row>
    <row r="83" ht="15.75" customHeight="1">
      <c r="A83" s="2">
        <v>4.0</v>
      </c>
      <c r="B83" s="2" t="s">
        <v>319</v>
      </c>
      <c r="C83" s="2" t="s">
        <v>320</v>
      </c>
      <c r="D83" s="2" t="s">
        <v>267</v>
      </c>
      <c r="E83" s="2" t="s">
        <v>21</v>
      </c>
      <c r="F83" s="2" t="s">
        <v>15</v>
      </c>
      <c r="G83" s="2" t="s">
        <v>321</v>
      </c>
      <c r="H83" s="2" t="s">
        <v>104</v>
      </c>
      <c r="I83" s="2" t="str">
        <f>IFERROR(__xludf.DUMMYFUNCTION("GOOGLETRANSLATE(C83,""fr"",""en"")"),"Hello Small personal experience I took the high -end all -risk integral and I really do not regret. After a car accident I was able to recover almost all of the sum that I had put 4 years ago. Indeed I bought it 4 years ago 14,000 and I recovered 13,500 e"&amp;"uros. I'm waiting for the following for the bodily ....")</f>
        <v>Hello Small personal experience I took the high -end all -risk integral and I really do not regret. After a car accident I was able to recover almost all of the sum that I had put 4 years ago. Indeed I bought it 4 years ago 14,000 and I recovered 13,500 euros. I'm waiting for the following for the bodily ....</v>
      </c>
    </row>
    <row r="84" ht="15.75" customHeight="1">
      <c r="A84" s="2">
        <v>3.0</v>
      </c>
      <c r="B84" s="2" t="s">
        <v>322</v>
      </c>
      <c r="C84" s="2" t="s">
        <v>323</v>
      </c>
      <c r="D84" s="2" t="s">
        <v>42</v>
      </c>
      <c r="E84" s="2" t="s">
        <v>21</v>
      </c>
      <c r="F84" s="2" t="s">
        <v>15</v>
      </c>
      <c r="G84" s="2" t="s">
        <v>132</v>
      </c>
      <c r="H84" s="2" t="s">
        <v>104</v>
      </c>
      <c r="I84" s="2" t="str">
        <f>IFERROR(__xludf.DUMMYFUNCTION("GOOGLETRANSLATE(C84,""fr"",""en"")"),"I am satisfied with the service and any Olivier team
c simple and practical and fast, I invited my friends to ensure his cars at the Olivier too")</f>
        <v>I am satisfied with the service and any Olivier team
c simple and practical and fast, I invited my friends to ensure his cars at the Olivier too</v>
      </c>
    </row>
    <row r="85" ht="15.75" customHeight="1">
      <c r="A85" s="2">
        <v>5.0</v>
      </c>
      <c r="B85" s="2" t="s">
        <v>324</v>
      </c>
      <c r="C85" s="2" t="s">
        <v>325</v>
      </c>
      <c r="D85" s="2" t="s">
        <v>42</v>
      </c>
      <c r="E85" s="2" t="s">
        <v>21</v>
      </c>
      <c r="F85" s="2" t="s">
        <v>15</v>
      </c>
      <c r="G85" s="2" t="s">
        <v>326</v>
      </c>
      <c r="H85" s="2" t="s">
        <v>29</v>
      </c>
      <c r="I85" s="2" t="str">
        <f>IFERROR(__xludf.DUMMYFUNCTION("GOOGLETRANSLATE(C85,""fr"",""en"")"),"Very pleasant telephone advisor, a well done site and affordable prices even for a person like me with a 25% penalty! I really recommend")</f>
        <v>Very pleasant telephone advisor, a well done site and affordable prices even for a person like me with a 25% penalty! I really recommend</v>
      </c>
    </row>
    <row r="86" ht="15.75" customHeight="1">
      <c r="A86" s="2">
        <v>5.0</v>
      </c>
      <c r="B86" s="2" t="s">
        <v>327</v>
      </c>
      <c r="C86" s="2" t="s">
        <v>328</v>
      </c>
      <c r="D86" s="2" t="s">
        <v>42</v>
      </c>
      <c r="E86" s="2" t="s">
        <v>21</v>
      </c>
      <c r="F86" s="2" t="s">
        <v>15</v>
      </c>
      <c r="G86" s="2" t="s">
        <v>329</v>
      </c>
      <c r="H86" s="2" t="s">
        <v>330</v>
      </c>
      <c r="I86" s="2" t="str">
        <f>IFERROR(__xludf.DUMMYFUNCTION("GOOGLETRANSLATE(C86,""fr"",""en"")"),"Very good price for good coverage. I received my green card very quickly and the sending of the attachments directly to the site is very practical. I highly recommend the olive assurance.")</f>
        <v>Very good price for good coverage. I received my green card very quickly and the sending of the attachments directly to the site is very practical. I highly recommend the olive assurance.</v>
      </c>
    </row>
    <row r="87" ht="15.75" customHeight="1">
      <c r="A87" s="2">
        <v>4.0</v>
      </c>
      <c r="B87" s="2" t="s">
        <v>331</v>
      </c>
      <c r="C87" s="2" t="s">
        <v>332</v>
      </c>
      <c r="D87" s="2" t="s">
        <v>42</v>
      </c>
      <c r="E87" s="2" t="s">
        <v>21</v>
      </c>
      <c r="F87" s="2" t="s">
        <v>15</v>
      </c>
      <c r="G87" s="2" t="s">
        <v>333</v>
      </c>
      <c r="H87" s="2" t="s">
        <v>48</v>
      </c>
      <c r="I87" s="2" t="str">
        <f>IFERROR(__xludf.DUMMYFUNCTION("GOOGLETRANSLATE(C87,""fr"",""en"")"),"Satisfied with the advice and explanation of my advisor, had some doubt during certain calls without any response but ultimately unfounded.
Correct price, despite the € 270 to pay during the subscription which is a hard to swallow.
To see how it will ha"&amp;"ppen in the event of a disaster.")</f>
        <v>Satisfied with the advice and explanation of my advisor, had some doubt during certain calls without any response but ultimately unfounded.
Correct price, despite the € 270 to pay during the subscription which is a hard to swallow.
To see how it will happen in the event of a disaster.</v>
      </c>
    </row>
    <row r="88" ht="15.75" customHeight="1">
      <c r="A88" s="2">
        <v>1.0</v>
      </c>
      <c r="B88" s="2" t="s">
        <v>334</v>
      </c>
      <c r="C88" s="2" t="s">
        <v>335</v>
      </c>
      <c r="D88" s="2" t="s">
        <v>267</v>
      </c>
      <c r="E88" s="2" t="s">
        <v>21</v>
      </c>
      <c r="F88" s="2" t="s">
        <v>15</v>
      </c>
      <c r="G88" s="2" t="s">
        <v>336</v>
      </c>
      <c r="H88" s="2" t="s">
        <v>287</v>
      </c>
      <c r="I88" s="2" t="str">
        <f>IFERROR(__xludf.DUMMYFUNCTION("GOOGLETRANSLATE(C88,""fr"",""en"")"),"Non -existent customer service, no follow -up or information. Termination for payment defect without notice. And not acceptance of payment while storage stacker being proof. To flee !!!")</f>
        <v>Non -existent customer service, no follow -up or information. Termination for payment defect without notice. And not acceptance of payment while storage stacker being proof. To flee !!!</v>
      </c>
    </row>
    <row r="89" ht="15.75" customHeight="1">
      <c r="A89" s="2">
        <v>5.0</v>
      </c>
      <c r="B89" s="2" t="s">
        <v>337</v>
      </c>
      <c r="C89" s="2" t="s">
        <v>338</v>
      </c>
      <c r="D89" s="2" t="s">
        <v>32</v>
      </c>
      <c r="E89" s="2" t="s">
        <v>21</v>
      </c>
      <c r="F89" s="2" t="s">
        <v>15</v>
      </c>
      <c r="G89" s="2" t="s">
        <v>339</v>
      </c>
      <c r="H89" s="2" t="s">
        <v>62</v>
      </c>
      <c r="I89" s="2" t="str">
        <f>IFERROR(__xludf.DUMMYFUNCTION("GOOGLETRANSLATE(C89,""fr"",""en"")"),"I am satisfied with your services, you have been informed about the prices and the possibilities offered. I also wish to have confirmation of all this by email of course
")</f>
        <v>I am satisfied with your services, you have been informed about the prices and the possibilities offered. I also wish to have confirmation of all this by email of course
</v>
      </c>
    </row>
    <row r="90" ht="15.75" customHeight="1">
      <c r="A90" s="2">
        <v>1.0</v>
      </c>
      <c r="B90" s="2" t="s">
        <v>340</v>
      </c>
      <c r="C90" s="2" t="s">
        <v>341</v>
      </c>
      <c r="D90" s="2" t="s">
        <v>342</v>
      </c>
      <c r="E90" s="2" t="s">
        <v>82</v>
      </c>
      <c r="F90" s="2" t="s">
        <v>15</v>
      </c>
      <c r="G90" s="2" t="s">
        <v>343</v>
      </c>
      <c r="H90" s="2" t="s">
        <v>29</v>
      </c>
      <c r="I90" s="2" t="str">
        <f>IFERROR(__xludf.DUMMYFUNCTION("GOOGLETRANSLATE(C90,""fr"",""en"")"),"I do not recommend this mutual:
impossible to reach them
very very long reimbursement period, beyond 4 months
No reimbursement notification,
Dashboard not updated
Refund of random fees
Mutual to flee….
")</f>
        <v>I do not recommend this mutual:
impossible to reach them
very very long reimbursement period, beyond 4 months
No reimbursement notification,
Dashboard not updated
Refund of random fees
Mutual to flee….
</v>
      </c>
    </row>
    <row r="91" ht="15.75" customHeight="1">
      <c r="A91" s="2">
        <v>2.0</v>
      </c>
      <c r="B91" s="2" t="s">
        <v>344</v>
      </c>
      <c r="C91" s="2" t="s">
        <v>345</v>
      </c>
      <c r="D91" s="2" t="s">
        <v>32</v>
      </c>
      <c r="E91" s="2" t="s">
        <v>21</v>
      </c>
      <c r="F91" s="2" t="s">
        <v>15</v>
      </c>
      <c r="G91" s="2" t="s">
        <v>346</v>
      </c>
      <c r="H91" s="2" t="s">
        <v>202</v>
      </c>
      <c r="I91" s="2" t="str">
        <f>IFERROR(__xludf.DUMMYFUNCTION("GOOGLETRANSLATE(C91,""fr"",""en"")"),"I am currently ensuring for car insurance at Direct Insurance rather direct problems. I contact to declaire a claim the person I have in such a cold and aggressive desagreable. When it is subject to disaster they are vultures that await us on the phone. I"&amp;"n short, put my sinister a car to rush into my track in front of me I avoid the worst, had the reflex to turn on it. The vehicle is fired without finding or anything. So no possible dedomation. 1 week at the time I receive a letter from direct to which mi"&amp;"nted that my responsibility is completely engaged and that yellow of the penalty. So in Laffaire they took advantage of a non -responsible sinister to be able to increase my price. They are just there in order to take you your money without pititia they t"&amp;"ake us for Imbeciles. And moreover every year without any claims before instead of decreasing thanks to the increase. Don't get it to be regretted it will be too late")</f>
        <v>I am currently ensuring for car insurance at Direct Insurance rather direct problems. I contact to declaire a claim the person I have in such a cold and aggressive desagreable. When it is subject to disaster they are vultures that await us on the phone. In short, put my sinister a car to rush into my track in front of me I avoid the worst, had the reflex to turn on it. The vehicle is fired without finding or anything. So no possible dedomation. 1 week at the time I receive a letter from direct to which minted that my responsibility is completely engaged and that yellow of the penalty. So in Laffaire they took advantage of a non -responsible sinister to be able to increase my price. They are just there in order to take you your money without pititia they take us for Imbeciles. And moreover every year without any claims before instead of decreasing thanks to the increase. Don't get it to be regretted it will be too late</v>
      </c>
    </row>
    <row r="92" ht="15.75" customHeight="1">
      <c r="A92" s="2">
        <v>3.0</v>
      </c>
      <c r="B92" s="2" t="s">
        <v>347</v>
      </c>
      <c r="C92" s="2" t="s">
        <v>348</v>
      </c>
      <c r="D92" s="2" t="s">
        <v>42</v>
      </c>
      <c r="E92" s="2" t="s">
        <v>21</v>
      </c>
      <c r="F92" s="2" t="s">
        <v>15</v>
      </c>
      <c r="G92" s="2" t="s">
        <v>349</v>
      </c>
      <c r="H92" s="2" t="s">
        <v>56</v>
      </c>
      <c r="I92" s="2" t="str">
        <f>IFERROR(__xludf.DUMMYFUNCTION("GOOGLETRANSLATE(C92,""fr"",""en"")"),"Nothing to report for the moment, the subscription is to pass, the prices are correct, and the realization and validation of the estimate at a distance is very simple to perform")</f>
        <v>Nothing to report for the moment, the subscription is to pass, the prices are correct, and the realization and validation of the estimate at a distance is very simple to perform</v>
      </c>
    </row>
    <row r="93" ht="15.75" customHeight="1">
      <c r="A93" s="2">
        <v>3.0</v>
      </c>
      <c r="B93" s="2" t="s">
        <v>350</v>
      </c>
      <c r="C93" s="2" t="s">
        <v>351</v>
      </c>
      <c r="D93" s="2" t="s">
        <v>32</v>
      </c>
      <c r="E93" s="2" t="s">
        <v>21</v>
      </c>
      <c r="F93" s="2" t="s">
        <v>15</v>
      </c>
      <c r="G93" s="2" t="s">
        <v>352</v>
      </c>
      <c r="H93" s="2" t="s">
        <v>126</v>
      </c>
      <c r="I93" s="2" t="str">
        <f>IFERROR(__xludf.DUMMYFUNCTION("GOOGLETRANSLATE(C93,""fr"",""en"")"),"Quite interesting to see more closely if the service follows.
I will try to subscribe this evening to become a customer at home.
Hoping for good management of my file.")</f>
        <v>Quite interesting to see more closely if the service follows.
I will try to subscribe this evening to become a customer at home.
Hoping for good management of my file.</v>
      </c>
    </row>
    <row r="94" ht="15.75" customHeight="1">
      <c r="A94" s="2">
        <v>4.0</v>
      </c>
      <c r="B94" s="2" t="s">
        <v>353</v>
      </c>
      <c r="C94" s="2" t="s">
        <v>354</v>
      </c>
      <c r="D94" s="2" t="s">
        <v>42</v>
      </c>
      <c r="E94" s="2" t="s">
        <v>21</v>
      </c>
      <c r="F94" s="2" t="s">
        <v>15</v>
      </c>
      <c r="G94" s="2" t="s">
        <v>355</v>
      </c>
      <c r="H94" s="2" t="s">
        <v>48</v>
      </c>
      <c r="I94" s="2" t="str">
        <f>IFERROR(__xludf.DUMMYFUNCTION("GOOGLETRANSLATE(C94,""fr"",""en"")"),"I am satisfied with your explanation as well as the telephone reception they are very clear I think that we are leaving for a longest path JP")</f>
        <v>I am satisfied with your explanation as well as the telephone reception they are very clear I think that we are leaving for a longest path JP</v>
      </c>
    </row>
    <row r="95" ht="15.75" customHeight="1">
      <c r="A95" s="2">
        <v>1.0</v>
      </c>
      <c r="B95" s="2" t="s">
        <v>356</v>
      </c>
      <c r="C95" s="2" t="s">
        <v>357</v>
      </c>
      <c r="D95" s="2" t="s">
        <v>72</v>
      </c>
      <c r="E95" s="2" t="s">
        <v>21</v>
      </c>
      <c r="F95" s="2" t="s">
        <v>15</v>
      </c>
      <c r="G95" s="2" t="s">
        <v>358</v>
      </c>
      <c r="H95" s="2" t="s">
        <v>359</v>
      </c>
      <c r="I95" s="2" t="str">
        <f>IFERROR(__xludf.DUMMYFUNCTION("GOOGLETRANSLATE(C95,""fr"",""en"")"),"no commercial sense does not respect the customer and is not attentive to the customer")</f>
        <v>no commercial sense does not respect the customer and is not attentive to the customer</v>
      </c>
    </row>
    <row r="96" ht="15.75" customHeight="1">
      <c r="A96" s="2">
        <v>1.0</v>
      </c>
      <c r="B96" s="2" t="s">
        <v>360</v>
      </c>
      <c r="C96" s="2" t="s">
        <v>361</v>
      </c>
      <c r="D96" s="2" t="s">
        <v>59</v>
      </c>
      <c r="E96" s="2" t="s">
        <v>21</v>
      </c>
      <c r="F96" s="2" t="s">
        <v>15</v>
      </c>
      <c r="G96" s="2" t="s">
        <v>362</v>
      </c>
      <c r="H96" s="2" t="s">
        <v>260</v>
      </c>
      <c r="I96" s="2" t="str">
        <f>IFERROR(__xludf.DUMMYFUNCTION("GOOGLETRANSLATE(C96,""fr"",""en"")"),"An increase in our auto insurance by 50%!!!
The cause? 2 non -responsible accidents ................
The explanations of our insurer: this is our new policy. An absolute shame, assurance to flee urgently!")</f>
        <v>An increase in our auto insurance by 50%!!!
The cause? 2 non -responsible accidents ................
The explanations of our insurer: this is our new policy. An absolute shame, assurance to flee urgently!</v>
      </c>
    </row>
    <row r="97" ht="15.75" customHeight="1">
      <c r="A97" s="2">
        <v>2.0</v>
      </c>
      <c r="B97" s="2" t="s">
        <v>363</v>
      </c>
      <c r="C97" s="2" t="s">
        <v>364</v>
      </c>
      <c r="D97" s="2" t="s">
        <v>42</v>
      </c>
      <c r="E97" s="2" t="s">
        <v>21</v>
      </c>
      <c r="F97" s="2" t="s">
        <v>15</v>
      </c>
      <c r="G97" s="2" t="s">
        <v>365</v>
      </c>
      <c r="H97" s="2" t="s">
        <v>35</v>
      </c>
      <c r="I97" s="2" t="str">
        <f>IFERROR(__xludf.DUMMYFUNCTION("GOOGLETRANSLATE(C97,""fr"",""en"")"),"This insurance is a disaster")</f>
        <v>This insurance is a disaster</v>
      </c>
    </row>
    <row r="98" ht="15.75" customHeight="1">
      <c r="A98" s="2">
        <v>1.0</v>
      </c>
      <c r="B98" s="2" t="s">
        <v>366</v>
      </c>
      <c r="C98" s="2" t="s">
        <v>367</v>
      </c>
      <c r="D98" s="2" t="s">
        <v>32</v>
      </c>
      <c r="E98" s="2" t="s">
        <v>21</v>
      </c>
      <c r="F98" s="2" t="s">
        <v>15</v>
      </c>
      <c r="G98" s="2" t="s">
        <v>368</v>
      </c>
      <c r="H98" s="2" t="s">
        <v>115</v>
      </c>
      <c r="I98" s="2" t="str">
        <f>IFERROR(__xludf.DUMMYFUNCTION("GOOGLETRANSLATE(C98,""fr"",""en"")"),"Attention attention
They refuse the offices during a non -responsible disaster being in addition any risk
They only rely in the opinion of their experts
Franchises are very very expensive
More than 40 minutes of waiting to speak to a advice in the eve"&amp;"nt of a claim
It is better to pay a few more euros in another insurer but have the quality of a monitoring during a disaster")</f>
        <v>Attention attention
They refuse the offices during a non -responsible disaster being in addition any risk
They only rely in the opinion of their experts
Franchises are very very expensive
More than 40 minutes of waiting to speak to a advice in the event of a claim
It is better to pay a few more euros in another insurer but have the quality of a monitoring during a disaster</v>
      </c>
    </row>
    <row r="99" ht="15.75" customHeight="1">
      <c r="A99" s="2">
        <v>5.0</v>
      </c>
      <c r="B99" s="2" t="s">
        <v>369</v>
      </c>
      <c r="C99" s="2" t="s">
        <v>370</v>
      </c>
      <c r="D99" s="2" t="s">
        <v>42</v>
      </c>
      <c r="E99" s="2" t="s">
        <v>21</v>
      </c>
      <c r="F99" s="2" t="s">
        <v>15</v>
      </c>
      <c r="G99" s="2" t="s">
        <v>371</v>
      </c>
      <c r="H99" s="2" t="s">
        <v>151</v>
      </c>
      <c r="I99" s="2" t="str">
        <f>IFERROR(__xludf.DUMMYFUNCTION("GOOGLETRANSLATE(C99,""fr"",""en"")"),"I am satisfied with the service prices suit me simple professional professional practice I strongly recommend to be at the olive price quality")</f>
        <v>I am satisfied with the service prices suit me simple professional professional practice I strongly recommend to be at the olive price quality</v>
      </c>
    </row>
    <row r="100" ht="15.75" customHeight="1">
      <c r="A100" s="2">
        <v>4.0</v>
      </c>
      <c r="B100" s="2" t="s">
        <v>372</v>
      </c>
      <c r="C100" s="2" t="s">
        <v>373</v>
      </c>
      <c r="D100" s="2" t="s">
        <v>183</v>
      </c>
      <c r="E100" s="2" t="s">
        <v>21</v>
      </c>
      <c r="F100" s="2" t="s">
        <v>15</v>
      </c>
      <c r="G100" s="2" t="s">
        <v>249</v>
      </c>
      <c r="H100" s="2" t="s">
        <v>250</v>
      </c>
      <c r="I100" s="2" t="str">
        <f>IFERROR(__xludf.DUMMYFUNCTION("GOOGLETRANSLATE(C100,""fr"",""en"")"),"I can make the difference with other insurers and there is no photo !!! In terms of responsiveness and of course taking into account my requests. It is a happiness compared to other telephone platforms ................ Press the 1 etc ..........")</f>
        <v>I can make the difference with other insurers and there is no photo !!! In terms of responsiveness and of course taking into account my requests. It is a happiness compared to other telephone platforms ................ Press the 1 etc ..........</v>
      </c>
    </row>
    <row r="101" ht="15.75" customHeight="1">
      <c r="A101" s="2">
        <v>2.0</v>
      </c>
      <c r="B101" s="2" t="s">
        <v>374</v>
      </c>
      <c r="C101" s="2" t="s">
        <v>375</v>
      </c>
      <c r="D101" s="2" t="s">
        <v>32</v>
      </c>
      <c r="E101" s="2" t="s">
        <v>21</v>
      </c>
      <c r="F101" s="2" t="s">
        <v>15</v>
      </c>
      <c r="G101" s="2" t="s">
        <v>376</v>
      </c>
      <c r="H101" s="2" t="s">
        <v>104</v>
      </c>
      <c r="I101" s="2" t="str">
        <f>IFERROR(__xludf.DUMMYFUNCTION("GOOGLETRANSLATE(C101,""fr"",""en"")"),"Hello, when we ask for a monthly monthly monthly payment that it is impossible or given the current situation is very surprising this lack of effort! Thank you")</f>
        <v>Hello, when we ask for a monthly monthly monthly payment that it is impossible or given the current situation is very surprising this lack of effort! Thank you</v>
      </c>
    </row>
    <row r="102" ht="15.75" customHeight="1">
      <c r="A102" s="2">
        <v>5.0</v>
      </c>
      <c r="B102" s="2" t="s">
        <v>377</v>
      </c>
      <c r="C102" s="2" t="s">
        <v>378</v>
      </c>
      <c r="D102" s="2" t="s">
        <v>379</v>
      </c>
      <c r="E102" s="2" t="s">
        <v>82</v>
      </c>
      <c r="F102" s="2" t="s">
        <v>15</v>
      </c>
      <c r="G102" s="2" t="s">
        <v>380</v>
      </c>
      <c r="H102" s="2" t="s">
        <v>95</v>
      </c>
      <c r="I102" s="2" t="str">
        <f>IFERROR(__xludf.DUMMYFUNCTION("GOOGLETRANSLATE(C102,""fr"",""en"")"),"The advisers are always available The price of insurance is not too high compared to the reimbursement which is practically 100%
In the event of a claim there are always good advice and reimbursement is done without problem.")</f>
        <v>The advisers are always available The price of insurance is not too high compared to the reimbursement which is practically 100%
In the event of a claim there are always good advice and reimbursement is done without problem.</v>
      </c>
    </row>
    <row r="103" ht="15.75" customHeight="1">
      <c r="A103" s="2">
        <v>1.0</v>
      </c>
      <c r="B103" s="2" t="s">
        <v>381</v>
      </c>
      <c r="C103" s="2" t="s">
        <v>382</v>
      </c>
      <c r="D103" s="2" t="s">
        <v>98</v>
      </c>
      <c r="E103" s="2" t="s">
        <v>21</v>
      </c>
      <c r="F103" s="2" t="s">
        <v>15</v>
      </c>
      <c r="G103" s="2" t="s">
        <v>383</v>
      </c>
      <c r="H103" s="2" t="s">
        <v>305</v>
      </c>
      <c r="I103" s="2" t="str">
        <f>IFERROR(__xludf.DUMMYFUNCTION("GOOGLETRANSLATE(C103,""fr"",""en"")"),"I sent my file to these people 3 weeks ago and I still have not received my car insurance contract. Last week, I phoned. They answered quickly, but they told me that my file had been delayed because I had not included a copy of my driving license with the"&amp;" other documents. That was not true. I included all the stipulated documents. In the end, I sent it again, but by email. I have still heard nothing. I sent them a number of emails in recent days, but I haven't received any response. He simply ignore them.")</f>
        <v>I sent my file to these people 3 weeks ago and I still have not received my car insurance contract. Last week, I phoned. They answered quickly, but they told me that my file had been delayed because I had not included a copy of my driving license with the other documents. That was not true. I included all the stipulated documents. In the end, I sent it again, but by email. I have still heard nothing. I sent them a number of emails in recent days, but I haven't received any response. He simply ignore them.</v>
      </c>
    </row>
    <row r="104" ht="15.75" customHeight="1">
      <c r="A104" s="2">
        <v>4.0</v>
      </c>
      <c r="B104" s="2" t="s">
        <v>384</v>
      </c>
      <c r="C104" s="2" t="s">
        <v>385</v>
      </c>
      <c r="D104" s="2" t="s">
        <v>303</v>
      </c>
      <c r="E104" s="2" t="s">
        <v>21</v>
      </c>
      <c r="F104" s="2" t="s">
        <v>15</v>
      </c>
      <c r="G104" s="2" t="s">
        <v>386</v>
      </c>
      <c r="H104" s="2" t="s">
        <v>52</v>
      </c>
      <c r="I104" s="2" t="str">
        <f>IFERROR(__xludf.DUMMYFUNCTION("GOOGLETRANSLATE(C104,""fr"",""en"")"),"Usually people complain. I come here today to say ""thank you the Macif"". Punction in Île de France and not repairable tire. In terms of the vehicle which will be repatriated to the concessionaire path tomorrow morning. A taxi brought me home, punctuatin"&amp;"g at 3 p.m., towing at 4 p.m. and home at 6 p.m. 30 terminals in the Paris region in peak hours, it's not nothing. All this supported and programmed by Macif Assistance. So, low hat and thank you again for efficiency.
Obviously, I have troubleshooting op"&amp;"tions in my contract and I do not regret !!")</f>
        <v>Usually people complain. I come here today to say "thank you the Macif". Punction in Île de France and not repairable tire. In terms of the vehicle which will be repatriated to the concessionaire path tomorrow morning. A taxi brought me home, punctuating at 3 p.m., towing at 4 p.m. and home at 6 p.m. 30 terminals in the Paris region in peak hours, it's not nothing. All this supported and programmed by Macif Assistance. So, low hat and thank you again for efficiency.
Obviously, I have troubleshooting options in my contract and I do not regret !!</v>
      </c>
    </row>
    <row r="105" ht="15.75" customHeight="1">
      <c r="A105" s="2">
        <v>2.0</v>
      </c>
      <c r="B105" s="2" t="s">
        <v>387</v>
      </c>
      <c r="C105" s="2" t="s">
        <v>388</v>
      </c>
      <c r="D105" s="2" t="s">
        <v>59</v>
      </c>
      <c r="E105" s="2" t="s">
        <v>33</v>
      </c>
      <c r="F105" s="2" t="s">
        <v>15</v>
      </c>
      <c r="G105" s="2" t="s">
        <v>308</v>
      </c>
      <c r="H105" s="2" t="s">
        <v>29</v>
      </c>
      <c r="I105" s="2" t="str">
        <f>IFERROR(__xludf.DUMMYFUNCTION("GOOGLETRANSLATE(C105,""fr"",""en"")"),"My mother-in-law AXA insurer increased her home insurance by 18% in 2 years, without a disaster and without explanation, of course, probably counting on his great age (86 years old) to accept without flinching.
I asked for an explanation ( + 8% in 2020 a"&amp;"nd + 10% in 2021), and I'm waiting ...")</f>
        <v>My mother-in-law AXA insurer increased her home insurance by 18% in 2 years, without a disaster and without explanation, of course, probably counting on his great age (86 years old) to accept without flinching.
I asked for an explanation ( + 8% in 2020 and + 10% in 2021), and I'm waiting ...</v>
      </c>
    </row>
    <row r="106" ht="15.75" customHeight="1">
      <c r="A106" s="2">
        <v>5.0</v>
      </c>
      <c r="B106" s="2" t="s">
        <v>389</v>
      </c>
      <c r="C106" s="2" t="s">
        <v>390</v>
      </c>
      <c r="D106" s="2" t="s">
        <v>32</v>
      </c>
      <c r="E106" s="2" t="s">
        <v>21</v>
      </c>
      <c r="F106" s="2" t="s">
        <v>15</v>
      </c>
      <c r="G106" s="2" t="s">
        <v>391</v>
      </c>
      <c r="H106" s="2" t="s">
        <v>29</v>
      </c>
      <c r="I106" s="2" t="str">
        <f>IFERROR(__xludf.DUMMYFUNCTION("GOOGLETRANSLATE(C106,""fr"",""en"")"),"Very interesting price, after seeing afterwards if the services follow when you need it. Allows you to have a full contract with 0km assistance has a reasonable price.")</f>
        <v>Very interesting price, after seeing afterwards if the services follow when you need it. Allows you to have a full contract with 0km assistance has a reasonable price.</v>
      </c>
    </row>
    <row r="107" ht="15.75" customHeight="1">
      <c r="A107" s="2">
        <v>4.0</v>
      </c>
      <c r="B107" s="2" t="s">
        <v>392</v>
      </c>
      <c r="C107" s="2" t="s">
        <v>393</v>
      </c>
      <c r="D107" s="2" t="s">
        <v>196</v>
      </c>
      <c r="E107" s="2" t="s">
        <v>82</v>
      </c>
      <c r="F107" s="2" t="s">
        <v>15</v>
      </c>
      <c r="G107" s="2" t="s">
        <v>394</v>
      </c>
      <c r="H107" s="2" t="s">
        <v>395</v>
      </c>
      <c r="I107" s="2" t="str">
        <f>IFERROR(__xludf.DUMMYFUNCTION("GOOGLETRANSLATE(C107,""fr"",""en"")"),"Client for 4 years and satisfied services and prices. I'm going to go to a dear and more advantageous formula")</f>
        <v>Client for 4 years and satisfied services and prices. I'm going to go to a dear and more advantageous formula</v>
      </c>
    </row>
    <row r="108" ht="15.75" customHeight="1">
      <c r="A108" s="2">
        <v>1.0</v>
      </c>
      <c r="B108" s="2" t="s">
        <v>396</v>
      </c>
      <c r="C108" s="2" t="s">
        <v>397</v>
      </c>
      <c r="D108" s="2" t="s">
        <v>183</v>
      </c>
      <c r="E108" s="2" t="s">
        <v>220</v>
      </c>
      <c r="F108" s="2" t="s">
        <v>15</v>
      </c>
      <c r="G108" s="2" t="s">
        <v>398</v>
      </c>
      <c r="H108" s="2" t="s">
        <v>48</v>
      </c>
      <c r="I108" s="2" t="str">
        <f>IFERROR(__xludf.DUMMYFUNCTION("GOOGLETRANSLATE(C108,""fr"",""en"")"),"My mother -in -law holds a Tellus contract which is a real disaster in terms of return. She wishes to arbitrate her supports and does not even manage to obtain the performance stopped at 12/31/20 on 8/04/21! The telephone numbers where to join Allianz are"&amp;" false, and after a long research, I have been online with them for 45 minutes before they do not send me a document that is not the one I need! What a shame before such incompetence.")</f>
        <v>My mother -in -law holds a Tellus contract which is a real disaster in terms of return. She wishes to arbitrate her supports and does not even manage to obtain the performance stopped at 12/31/20 on 8/04/21! The telephone numbers where to join Allianz are false, and after a long research, I have been online with them for 45 minutes before they do not send me a document that is not the one I need! What a shame before such incompetence.</v>
      </c>
    </row>
    <row r="109" ht="15.75" customHeight="1">
      <c r="A109" s="2">
        <v>3.0</v>
      </c>
      <c r="B109" s="2" t="s">
        <v>399</v>
      </c>
      <c r="C109" s="2" t="s">
        <v>400</v>
      </c>
      <c r="D109" s="2" t="s">
        <v>42</v>
      </c>
      <c r="E109" s="2" t="s">
        <v>21</v>
      </c>
      <c r="F109" s="2" t="s">
        <v>15</v>
      </c>
      <c r="G109" s="2" t="s">
        <v>401</v>
      </c>
      <c r="H109" s="2" t="s">
        <v>39</v>
      </c>
      <c r="I109" s="2" t="str">
        <f>IFERROR(__xludf.DUMMYFUNCTION("GOOGLETRANSLATE(C109,""fr"",""en"")"),"Hello,
I am new as a customer, and for the moment I am quite satisfied with the exchanges that I have been able to have with my interlocutor. Thank you
Yours")</f>
        <v>Hello,
I am new as a customer, and for the moment I am quite satisfied with the exchanges that I have been able to have with my interlocutor. Thank you
Yours</v>
      </c>
    </row>
    <row r="110" ht="15.75" customHeight="1">
      <c r="A110" s="2">
        <v>3.0</v>
      </c>
      <c r="B110" s="2" t="s">
        <v>402</v>
      </c>
      <c r="C110" s="2" t="s">
        <v>403</v>
      </c>
      <c r="D110" s="2" t="s">
        <v>135</v>
      </c>
      <c r="E110" s="2" t="s">
        <v>60</v>
      </c>
      <c r="F110" s="2" t="s">
        <v>15</v>
      </c>
      <c r="G110" s="2" t="s">
        <v>404</v>
      </c>
      <c r="H110" s="2" t="s">
        <v>405</v>
      </c>
      <c r="I110" s="2" t="str">
        <f>IFERROR(__xludf.DUMMYFUNCTION("GOOGLETRANSLATE(C110,""fr"",""en"")"),"Very average and ineffective customer service. IT problems, bad connections, untimely hanging up, it's really not terrible and it lacks services")</f>
        <v>Very average and ineffective customer service. IT problems, bad connections, untimely hanging up, it's really not terrible and it lacks services</v>
      </c>
    </row>
    <row r="111" ht="15.75" customHeight="1">
      <c r="A111" s="2">
        <v>2.0</v>
      </c>
      <c r="B111" s="2" t="s">
        <v>406</v>
      </c>
      <c r="C111" s="2" t="s">
        <v>407</v>
      </c>
      <c r="D111" s="2" t="s">
        <v>267</v>
      </c>
      <c r="E111" s="2" t="s">
        <v>33</v>
      </c>
      <c r="F111" s="2" t="s">
        <v>15</v>
      </c>
      <c r="G111" s="2" t="s">
        <v>408</v>
      </c>
      <c r="H111" s="2" t="s">
        <v>104</v>
      </c>
      <c r="I111" s="2" t="str">
        <f>IFERROR(__xludf.DUMMYFUNCTION("GOOGLETRANSLATE(C111,""fr"",""en"")"),"Following a claim I was not compensated for what I could claim ...
I made an appeal without a positive response. No empathy
No proof
No recourse
")</f>
        <v>Following a claim I was not compensated for what I could claim ...
I made an appeal without a positive response. No empathy
No proof
No recourse
</v>
      </c>
    </row>
    <row r="112" ht="15.75" customHeight="1">
      <c r="A112" s="2">
        <v>1.0</v>
      </c>
      <c r="B112" s="2" t="s">
        <v>409</v>
      </c>
      <c r="C112" s="2" t="s">
        <v>410</v>
      </c>
      <c r="D112" s="2" t="s">
        <v>32</v>
      </c>
      <c r="E112" s="2" t="s">
        <v>21</v>
      </c>
      <c r="F112" s="2" t="s">
        <v>15</v>
      </c>
      <c r="G112" s="2" t="s">
        <v>411</v>
      </c>
      <c r="H112" s="2" t="s">
        <v>412</v>
      </c>
      <c r="I112" s="2" t="str">
        <f>IFERROR(__xludf.DUMMYFUNCTION("GOOGLETRANSLATE(C112,""fr"",""en"")"),"During a first subscription to this insurer, there is a call price, lower than other company. Then every year, without there being any claim, it increases its prices by around 12 %. Almost a complaint, either he does not answer, or he considers that it is"&amp;" the place of residence that justifies it. Later moving and going to the provinces, its prices continue to increase. So its only logic whatever the conditions, is to increase its prices, so I leave it after 4 years, without any declared claim and to 50 % "&amp;"of bonuses. Thank you the ad")</f>
        <v>During a first subscription to this insurer, there is a call price, lower than other company. Then every year, without there being any claim, it increases its prices by around 12 %. Almost a complaint, either he does not answer, or he considers that it is the place of residence that justifies it. Later moving and going to the provinces, its prices continue to increase. So its only logic whatever the conditions, is to increase its prices, so I leave it after 4 years, without any declared claim and to 50 % of bonuses. Thank you the ad</v>
      </c>
    </row>
    <row r="113" ht="15.75" customHeight="1">
      <c r="A113" s="2">
        <v>2.0</v>
      </c>
      <c r="B113" s="2" t="s">
        <v>413</v>
      </c>
      <c r="C113" s="2" t="s">
        <v>414</v>
      </c>
      <c r="D113" s="2" t="s">
        <v>72</v>
      </c>
      <c r="E113" s="2" t="s">
        <v>33</v>
      </c>
      <c r="F113" s="2" t="s">
        <v>15</v>
      </c>
      <c r="G113" s="2" t="s">
        <v>415</v>
      </c>
      <c r="H113" s="2" t="s">
        <v>412</v>
      </c>
      <c r="I113" s="2" t="str">
        <f>IFERROR(__xludf.DUMMYFUNCTION("GOOGLETRANSLATE(C113,""fr"",""en"")"),"First water damage in my life.
The Matmut discharges and arranges so that the work is reimbursed by the insurance of my lessor. (5000 euros of work)
I was offered 130 euros in repair for material damage.
Two bedrooms fully redo paints, floors and cabin"&amp;"ets for 5000 euros and I am reimbursed 130 euros.
Almost a year before the work was carried out and a year and a half to receive a check for 100 euros. I specify that I had to return to my mother with my son and buy everything in an emergency and that I "&amp;"suffer from severe asthma.
")</f>
        <v>First water damage in my life.
The Matmut discharges and arranges so that the work is reimbursed by the insurance of my lessor. (5000 euros of work)
I was offered 130 euros in repair for material damage.
Two bedrooms fully redo paints, floors and cabinets for 5000 euros and I am reimbursed 130 euros.
Almost a year before the work was carried out and a year and a half to receive a check for 100 euros. I specify that I had to return to my mother with my son and buy everything in an emergency and that I suffer from severe asthma.
</v>
      </c>
    </row>
    <row r="114" ht="15.75" customHeight="1">
      <c r="A114" s="2">
        <v>1.0</v>
      </c>
      <c r="B114" s="2" t="s">
        <v>416</v>
      </c>
      <c r="C114" s="2" t="s">
        <v>417</v>
      </c>
      <c r="D114" s="2" t="s">
        <v>129</v>
      </c>
      <c r="E114" s="2" t="s">
        <v>33</v>
      </c>
      <c r="F114" s="2" t="s">
        <v>15</v>
      </c>
      <c r="G114" s="2" t="s">
        <v>418</v>
      </c>
      <c r="H114" s="2" t="s">
        <v>419</v>
      </c>
      <c r="I114" s="2" t="str">
        <f>IFERROR(__xludf.DUMMYFUNCTION("GOOGLETRANSLATE(C114,""fr"",""en"")"),"The sinister service is unreachable by phone. Even by going through commercial services they do not recall.")</f>
        <v>The sinister service is unreachable by phone. Even by going through commercial services they do not recall.</v>
      </c>
    </row>
    <row r="115" ht="15.75" customHeight="1">
      <c r="A115" s="2">
        <v>2.0</v>
      </c>
      <c r="B115" s="2" t="s">
        <v>420</v>
      </c>
      <c r="C115" s="2" t="s">
        <v>421</v>
      </c>
      <c r="D115" s="2" t="s">
        <v>59</v>
      </c>
      <c r="E115" s="2" t="s">
        <v>21</v>
      </c>
      <c r="F115" s="2" t="s">
        <v>15</v>
      </c>
      <c r="G115" s="2" t="s">
        <v>422</v>
      </c>
      <c r="H115" s="2" t="s">
        <v>115</v>
      </c>
      <c r="I115" s="2" t="str">
        <f>IFERROR(__xludf.DUMMYFUNCTION("GOOGLETRANSLATE(C115,""fr"",""en"")"),"Very strange customer relationship process, following a fractured car, after sending my complaint, no news, then after calling, I understand that I have to make an appointment with the expert. This one explains to me in the end that it is not for me to do"&amp;" it, so relaunch Axa to hasten the appointment; Then once the repair work is done, no news either on the rest of the process, does the expert send the report and the invoice to AXA or is it up to me to do so? No news, in doubt I still restart with sending"&amp;" the invoice in copy, no news ... Normal the lady went on vacation without warning. I start again, the replacement is busy, I am reminded of what it seems. For an insurer who boasts of having a human welcome, it's rather average, it will make us love robo"&amp;"ts and hotlines. By passing when it is called at 5:45 p.m. barely, the answering machine announces that it closes at 6:00 p.m. and that it is necessary to remember later, look for the error.")</f>
        <v>Very strange customer relationship process, following a fractured car, after sending my complaint, no news, then after calling, I understand that I have to make an appointment with the expert. This one explains to me in the end that it is not for me to do it, so relaunch Axa to hasten the appointment; Then once the repair work is done, no news either on the rest of the process, does the expert send the report and the invoice to AXA or is it up to me to do so? No news, in doubt I still restart with sending the invoice in copy, no news ... Normal the lady went on vacation without warning. I start again, the replacement is busy, I am reminded of what it seems. For an insurer who boasts of having a human welcome, it's rather average, it will make us love robots and hotlines. By passing when it is called at 5:45 p.m. barely, the answering machine announces that it closes at 6:00 p.m. and that it is necessary to remember later, look for the error.</v>
      </c>
    </row>
    <row r="116" ht="15.75" customHeight="1">
      <c r="A116" s="2">
        <v>1.0</v>
      </c>
      <c r="B116" s="2" t="s">
        <v>423</v>
      </c>
      <c r="C116" s="2" t="s">
        <v>424</v>
      </c>
      <c r="D116" s="2" t="s">
        <v>425</v>
      </c>
      <c r="E116" s="2" t="s">
        <v>27</v>
      </c>
      <c r="F116" s="2" t="s">
        <v>15</v>
      </c>
      <c r="G116" s="2" t="s">
        <v>426</v>
      </c>
      <c r="H116" s="2" t="s">
        <v>427</v>
      </c>
      <c r="I116" s="2" t="str">
        <f>IFERROR(__xludf.DUMMYFUNCTION("GOOGLETRANSLATE(C116,""fr"",""en"")"),"Fighter's journey is an understatement! I should be compensated since the last 5 in vain! All means are good not to pay people and leave them in financial distress! Being affected by breast cancer being currently under treatment and having undergone a mas"&amp;"tectomy and an axillary cleaning I still expect my compensation provided for by my borrower insurance care. I call every week and I am told that my file is being studied because my attending physician did not want to fulfill the medical questionnaire in a"&amp;"ccordance with the report of the Council of the Order of Physicians adopted in 2015.j 'I still attached to this file all my reports of operations, mammographer reports, MRI, scanner results of Anapath. Last week I was told that I should see an expert doct"&amp;"or still a way to save time not to pay. What is a shame cardif to take people in financial hostage.")</f>
        <v>Fighter's journey is an understatement! I should be compensated since the last 5 in vain! All means are good not to pay people and leave them in financial distress! Being affected by breast cancer being currently under treatment and having undergone a mastectomy and an axillary cleaning I still expect my compensation provided for by my borrower insurance care. I call every week and I am told that my file is being studied because my attending physician did not want to fulfill the medical questionnaire in accordance with the report of the Council of the Order of Physicians adopted in 2015.j 'I still attached to this file all my reports of operations, mammographer reports, MRI, scanner results of Anapath. Last week I was told that I should see an expert doctor still a way to save time not to pay. What is a shame cardif to take people in financial hostage.</v>
      </c>
    </row>
    <row r="117" ht="15.75" customHeight="1">
      <c r="A117" s="2">
        <v>3.0</v>
      </c>
      <c r="B117" s="2" t="s">
        <v>428</v>
      </c>
      <c r="C117" s="2" t="s">
        <v>429</v>
      </c>
      <c r="D117" s="2" t="s">
        <v>430</v>
      </c>
      <c r="E117" s="2" t="s">
        <v>82</v>
      </c>
      <c r="F117" s="2" t="s">
        <v>15</v>
      </c>
      <c r="G117" s="2" t="s">
        <v>431</v>
      </c>
      <c r="H117" s="2" t="s">
        <v>432</v>
      </c>
      <c r="I117" s="2" t="str">
        <f>IFERROR(__xludf.DUMMYFUNCTION("GOOGLETRANSLATE(C117,""fr"",""en"")"),"A real disaster")</f>
        <v>A real disaster</v>
      </c>
    </row>
    <row r="118" ht="15.75" customHeight="1">
      <c r="A118" s="2">
        <v>2.0</v>
      </c>
      <c r="B118" s="2" t="s">
        <v>433</v>
      </c>
      <c r="C118" s="2" t="s">
        <v>434</v>
      </c>
      <c r="D118" s="2" t="s">
        <v>145</v>
      </c>
      <c r="E118" s="2" t="s">
        <v>33</v>
      </c>
      <c r="F118" s="2" t="s">
        <v>15</v>
      </c>
      <c r="G118" s="2" t="s">
        <v>435</v>
      </c>
      <c r="H118" s="2" t="s">
        <v>202</v>
      </c>
      <c r="I118" s="2" t="str">
        <f>IFERROR(__xludf.DUMMYFUNCTION("GOOGLETRANSLATE(C118,""fr"",""en"")"),"I accidentally learned that the MAAF had terminated my home insurance and warned me by registered letter that I never received. After investigation this letter was returned to the Maaf which did nothing and did not even warn me of this return. So I was no"&amp;" longer assured if a disaster or a drama arrived. The ""institution"" is content to terminate in large numbers the contracts which do not bring it enough even if there is no wrong. Do like me, say goodbye the maaf!")</f>
        <v>I accidentally learned that the MAAF had terminated my home insurance and warned me by registered letter that I never received. After investigation this letter was returned to the Maaf which did nothing and did not even warn me of this return. So I was no longer assured if a disaster or a drama arrived. The "institution" is content to terminate in large numbers the contracts which do not bring it enough even if there is no wrong. Do like me, say goodbye the maaf!</v>
      </c>
    </row>
    <row r="119" ht="15.75" customHeight="1">
      <c r="A119" s="2">
        <v>1.0</v>
      </c>
      <c r="B119" s="2" t="s">
        <v>436</v>
      </c>
      <c r="C119" s="2" t="s">
        <v>437</v>
      </c>
      <c r="D119" s="2" t="s">
        <v>430</v>
      </c>
      <c r="E119" s="2" t="s">
        <v>27</v>
      </c>
      <c r="F119" s="2" t="s">
        <v>15</v>
      </c>
      <c r="G119" s="2" t="s">
        <v>438</v>
      </c>
      <c r="H119" s="2" t="s">
        <v>439</v>
      </c>
      <c r="I119" s="2" t="str">
        <f>IFERROR(__xludf.DUMMYFUNCTION("GOOGLETRANSLATE(C119,""fr"",""en"")"),"Impossible to terminate the contract with non -compliance with notice and deciduous, communication despite several telephone exchanges and by very misery emails they do not want to know anything I am very disappointed frankly")</f>
        <v>Impossible to terminate the contract with non -compliance with notice and deciduous, communication despite several telephone exchanges and by very misery emails they do not want to know anything I am very disappointed frankly</v>
      </c>
    </row>
    <row r="120" ht="15.75" customHeight="1">
      <c r="A120" s="2">
        <v>1.0</v>
      </c>
      <c r="B120" s="2" t="s">
        <v>440</v>
      </c>
      <c r="C120" s="2" t="s">
        <v>441</v>
      </c>
      <c r="D120" s="2" t="s">
        <v>442</v>
      </c>
      <c r="E120" s="2" t="s">
        <v>157</v>
      </c>
      <c r="F120" s="2" t="s">
        <v>15</v>
      </c>
      <c r="G120" s="2" t="s">
        <v>443</v>
      </c>
      <c r="H120" s="2" t="s">
        <v>39</v>
      </c>
      <c r="I120" s="2" t="str">
        <f>IFERROR(__xludf.DUMMYFUNCTION("GOOGLETRANSLATE(C120,""fr"",""en"")"),"Please note AvySis Banque Postal contract: trap contract !!! They increase contributions without warning you and after the due date: Result: obliged to pay one more year because excluding termination notice!")</f>
        <v>Please note AvySis Banque Postal contract: trap contract !!! They increase contributions without warning you and after the due date: Result: obliged to pay one more year because excluding termination notice!</v>
      </c>
    </row>
    <row r="121" ht="15.75" customHeight="1">
      <c r="A121" s="2">
        <v>3.0</v>
      </c>
      <c r="B121" s="2" t="s">
        <v>444</v>
      </c>
      <c r="C121" s="2" t="s">
        <v>445</v>
      </c>
      <c r="D121" s="2" t="s">
        <v>32</v>
      </c>
      <c r="E121" s="2" t="s">
        <v>21</v>
      </c>
      <c r="F121" s="2" t="s">
        <v>15</v>
      </c>
      <c r="G121" s="2" t="s">
        <v>446</v>
      </c>
      <c r="H121" s="2" t="s">
        <v>62</v>
      </c>
      <c r="I121" s="2" t="str">
        <f>IFERROR(__xludf.DUMMYFUNCTION("GOOGLETRANSLATE(C121,""fr"",""en"")"),"The cars are inexressing, it remains to be seen in the event of a disaster how it goes.
I do not wish to discover it immediately and keep my vehicles in good condition.")</f>
        <v>The cars are inexressing, it remains to be seen in the event of a disaster how it goes.
I do not wish to discover it immediately and keep my vehicles in good condition.</v>
      </c>
    </row>
    <row r="122" ht="15.75" customHeight="1">
      <c r="A122" s="2">
        <v>5.0</v>
      </c>
      <c r="B122" s="2" t="s">
        <v>447</v>
      </c>
      <c r="C122" s="2" t="s">
        <v>448</v>
      </c>
      <c r="D122" s="2" t="s">
        <v>129</v>
      </c>
      <c r="E122" s="2" t="s">
        <v>21</v>
      </c>
      <c r="F122" s="2" t="s">
        <v>15</v>
      </c>
      <c r="G122" s="2" t="s">
        <v>84</v>
      </c>
      <c r="H122" s="2" t="s">
        <v>84</v>
      </c>
      <c r="I122" s="2" t="str">
        <f>IFERROR(__xludf.DUMMYFUNCTION("GOOGLETRANSLATE(C122,""fr"",""en"")"),"My parents have been there for a very long time and have always been satisfied with it; This is why I have been there for four years and I have only satisfaction; During my two claims, non-responsible, they have always been present, reactive and even very"&amp;" compassionate, humanly, for my suffered personal damage (especially bodily), taking time to learn about my health, my recovery to the shock psychological. One of my sisters, in a similar case, was also very well followed, and quickly reimbursed. She is a"&amp;"lso enchanted and only says good.")</f>
        <v>My parents have been there for a very long time and have always been satisfied with it; This is why I have been there for four years and I have only satisfaction; During my two claims, non-responsible, they have always been present, reactive and even very compassionate, humanly, for my suffered personal damage (especially bodily), taking time to learn about my health, my recovery to the shock psychological. One of my sisters, in a similar case, was also very well followed, and quickly reimbursed. She is also enchanted and only says good.</v>
      </c>
    </row>
    <row r="123" ht="15.75" customHeight="1">
      <c r="A123" s="2">
        <v>4.0</v>
      </c>
      <c r="B123" s="2" t="s">
        <v>449</v>
      </c>
      <c r="C123" s="2" t="s">
        <v>450</v>
      </c>
      <c r="D123" s="2" t="s">
        <v>451</v>
      </c>
      <c r="E123" s="2" t="s">
        <v>82</v>
      </c>
      <c r="F123" s="2" t="s">
        <v>15</v>
      </c>
      <c r="G123" s="2" t="s">
        <v>452</v>
      </c>
      <c r="H123" s="2" t="s">
        <v>453</v>
      </c>
      <c r="I123" s="2" t="str">
        <f>IFERROR(__xludf.DUMMYFUNCTION("GOOGLETRANSLATE(C123,""fr"",""en"")"),"I have been insured by the company for 6 months. I have so far had no concern for data remote transmission and reimbursements are very fast compared to certain other mutuals.
I find that there are a lot of negative comments and I wonder about the rest of"&amp;" my contract because I am retired soon")</f>
        <v>I have been insured by the company for 6 months. I have so far had no concern for data remote transmission and reimbursements are very fast compared to certain other mutuals.
I find that there are a lot of negative comments and I wonder about the rest of my contract because I am retired soon</v>
      </c>
    </row>
    <row r="124" ht="15.75" customHeight="1">
      <c r="A124" s="2">
        <v>5.0</v>
      </c>
      <c r="B124" s="2" t="s">
        <v>454</v>
      </c>
      <c r="C124" s="2" t="s">
        <v>455</v>
      </c>
      <c r="D124" s="2" t="s">
        <v>72</v>
      </c>
      <c r="E124" s="2" t="s">
        <v>21</v>
      </c>
      <c r="F124" s="2" t="s">
        <v>15</v>
      </c>
      <c r="G124" s="2" t="s">
        <v>456</v>
      </c>
      <c r="H124" s="2" t="s">
        <v>359</v>
      </c>
      <c r="I124" s="2" t="str">
        <f>IFERROR(__xludf.DUMMYFUNCTION("GOOGLETRANSLATE(C124,""fr"",""en"")"),"I was a member of the Matmut, I tried another insurer and returned to the Matmut. Recently I needed information I was listened to heard and far beyond my expectations. Thanks to R.A and his advice I saved a lot on my insurance and various covers. The Matm"&amp;"ut, it ensures in the whole sense of the word.")</f>
        <v>I was a member of the Matmut, I tried another insurer and returned to the Matmut. Recently I needed information I was listened to heard and far beyond my expectations. Thanks to R.A and his advice I saved a lot on my insurance and various covers. The Matmut, it ensures in the whole sense of the word.</v>
      </c>
    </row>
    <row r="125" ht="15.75" customHeight="1">
      <c r="A125" s="2">
        <v>1.0</v>
      </c>
      <c r="B125" s="2" t="s">
        <v>457</v>
      </c>
      <c r="C125" s="2" t="s">
        <v>458</v>
      </c>
      <c r="D125" s="2" t="s">
        <v>459</v>
      </c>
      <c r="E125" s="2" t="s">
        <v>220</v>
      </c>
      <c r="F125" s="2" t="s">
        <v>15</v>
      </c>
      <c r="G125" s="2" t="s">
        <v>460</v>
      </c>
      <c r="H125" s="2" t="s">
        <v>177</v>
      </c>
      <c r="I125" s="2" t="str">
        <f>IFERROR(__xludf.DUMMYFUNCTION("GOOGLETRANSLATE(C125,""fr"",""en"")"),"Unacceptable I made any requests and I signed nothing I find myself paying 35 euros in fees on Sogecap day by aftermaths! I require a refund.")</f>
        <v>Unacceptable I made any requests and I signed nothing I find myself paying 35 euros in fees on Sogecap day by aftermaths! I require a refund.</v>
      </c>
    </row>
    <row r="126" ht="15.75" customHeight="1">
      <c r="A126" s="2">
        <v>5.0</v>
      </c>
      <c r="B126" s="2" t="s">
        <v>461</v>
      </c>
      <c r="C126" s="2" t="s">
        <v>462</v>
      </c>
      <c r="D126" s="2" t="s">
        <v>42</v>
      </c>
      <c r="E126" s="2" t="s">
        <v>21</v>
      </c>
      <c r="F126" s="2" t="s">
        <v>15</v>
      </c>
      <c r="G126" s="2" t="s">
        <v>463</v>
      </c>
      <c r="H126" s="2" t="s">
        <v>464</v>
      </c>
      <c r="I126" s="2" t="str">
        <f>IFERROR(__xludf.DUMMYFUNCTION("GOOGLETRANSLATE(C126,""fr"",""en"")"),"Ergonomics of the application, good price compared to competition. To see in time if the services are easily reachable. Positive experiences.")</f>
        <v>Ergonomics of the application, good price compared to competition. To see in time if the services are easily reachable. Positive experiences.</v>
      </c>
    </row>
    <row r="127" ht="15.75" customHeight="1">
      <c r="A127" s="2">
        <v>4.0</v>
      </c>
      <c r="B127" s="2" t="s">
        <v>465</v>
      </c>
      <c r="C127" s="2" t="s">
        <v>466</v>
      </c>
      <c r="D127" s="2" t="s">
        <v>32</v>
      </c>
      <c r="E127" s="2" t="s">
        <v>21</v>
      </c>
      <c r="F127" s="2" t="s">
        <v>15</v>
      </c>
      <c r="G127" s="2" t="s">
        <v>467</v>
      </c>
      <c r="H127" s="2" t="s">
        <v>104</v>
      </c>
      <c r="I127" s="2" t="str">
        <f>IFERROR(__xludf.DUMMYFUNCTION("GOOGLETRANSLATE(C127,""fr"",""en"")"),"Satisfied while waiting for the future to see if no surprise!
Increase price no estimated payment in certain cases if you can easily be reached
")</f>
        <v>Satisfied while waiting for the future to see if no surprise!
Increase price no estimated payment in certain cases if you can easily be reached
</v>
      </c>
    </row>
    <row r="128" ht="15.75" customHeight="1">
      <c r="A128" s="2">
        <v>3.0</v>
      </c>
      <c r="B128" s="2" t="s">
        <v>468</v>
      </c>
      <c r="C128" s="2" t="s">
        <v>469</v>
      </c>
      <c r="D128" s="2" t="s">
        <v>32</v>
      </c>
      <c r="E128" s="2" t="s">
        <v>21</v>
      </c>
      <c r="F128" s="2" t="s">
        <v>15</v>
      </c>
      <c r="G128" s="2" t="s">
        <v>470</v>
      </c>
      <c r="H128" s="2" t="s">
        <v>56</v>
      </c>
      <c r="I128" s="2" t="str">
        <f>IFERROR(__xludf.DUMMYFUNCTION("GOOGLETRANSLATE(C128,""fr"",""en"")"),"Slightly excessive price, however the reception on the phone is always pleasant and the listening service at the top! Quick and kind telephone service.")</f>
        <v>Slightly excessive price, however the reception on the phone is always pleasant and the listening service at the top! Quick and kind telephone service.</v>
      </c>
    </row>
    <row r="129" ht="15.75" customHeight="1">
      <c r="A129" s="2">
        <v>4.0</v>
      </c>
      <c r="B129" s="2" t="s">
        <v>471</v>
      </c>
      <c r="C129" s="2" t="s">
        <v>472</v>
      </c>
      <c r="D129" s="2" t="s">
        <v>42</v>
      </c>
      <c r="E129" s="2" t="s">
        <v>21</v>
      </c>
      <c r="F129" s="2" t="s">
        <v>15</v>
      </c>
      <c r="G129" s="2" t="s">
        <v>473</v>
      </c>
      <c r="H129" s="2" t="s">
        <v>474</v>
      </c>
      <c r="I129" s="2" t="str">
        <f>IFERROR(__xludf.DUMMYFUNCTION("GOOGLETRANSLATE(C129,""fr"",""en"")"),"Overall, I am very satisfied with this insurance, with its price, its life bonus and the drop in the franchise (subject to continuity of the contract). Being in LOA, I would have appreciated a financial loss guarantee in the event of a flight or an irrepa"&amp;"rable vehicle.")</f>
        <v>Overall, I am very satisfied with this insurance, with its price, its life bonus and the drop in the franchise (subject to continuity of the contract). Being in LOA, I would have appreciated a financial loss guarantee in the event of a flight or an irreparable vehicle.</v>
      </c>
    </row>
    <row r="130" ht="15.75" customHeight="1">
      <c r="A130" s="2">
        <v>1.0</v>
      </c>
      <c r="B130" s="2" t="s">
        <v>475</v>
      </c>
      <c r="C130" s="2" t="s">
        <v>476</v>
      </c>
      <c r="D130" s="2" t="s">
        <v>477</v>
      </c>
      <c r="E130" s="2" t="s">
        <v>14</v>
      </c>
      <c r="F130" s="2" t="s">
        <v>15</v>
      </c>
      <c r="G130" s="2" t="s">
        <v>478</v>
      </c>
      <c r="H130" s="2" t="s">
        <v>100</v>
      </c>
      <c r="I130" s="2" t="str">
        <f>IFERROR(__xludf.DUMMYFUNCTION("GOOGLETRANSLATE(C130,""fr"",""en"")"),"Owner of a Rottweiler female, I joined in June 2006 until my dog ​​died in December 2017. In total, my samples by Santévet have been up since 2006 to € 5,380.14. Never sick the purpose of my dog's life turned out to be expensive since I presented € 1,213,"&amp;"82 in health health invoices for repayment.
On the pretext that I had exceeded the ceiling of reimbursements, these sums were not reimbursed.
Professional of the dog, I will now advise my dear customers not to adhere to insurance, whatever, but to open "&amp;"a booklet on which it could be paid a monthly sum, which would report interest.
Indeed, it is rare to need a veterinarian during the young years of our dogs. On the other hand, their purpose of life means that the costs can be significant. Never forget t"&amp;"hat and turn rather on a savings book from which you can draw the sums allowing you to treat your companions as best as possible.")</f>
        <v>Owner of a Rottweiler female, I joined in June 2006 until my dog ​​died in December 2017. In total, my samples by Santévet have been up since 2006 to € 5,380.14. Never sick the purpose of my dog's life turned out to be expensive since I presented € 1,213,82 in health health invoices for repayment.
On the pretext that I had exceeded the ceiling of reimbursements, these sums were not reimbursed.
Professional of the dog, I will now advise my dear customers not to adhere to insurance, whatever, but to open a booklet on which it could be paid a monthly sum, which would report interest.
Indeed, it is rare to need a veterinarian during the young years of our dogs. On the other hand, their purpose of life means that the costs can be significant. Never forget that and turn rather on a savings book from which you can draw the sums allowing you to treat your companions as best as possible.</v>
      </c>
    </row>
    <row r="131" ht="15.75" customHeight="1">
      <c r="A131" s="2">
        <v>3.0</v>
      </c>
      <c r="B131" s="2" t="s">
        <v>479</v>
      </c>
      <c r="C131" s="2" t="s">
        <v>480</v>
      </c>
      <c r="D131" s="2" t="s">
        <v>32</v>
      </c>
      <c r="E131" s="2" t="s">
        <v>21</v>
      </c>
      <c r="F131" s="2" t="s">
        <v>15</v>
      </c>
      <c r="G131" s="2" t="s">
        <v>481</v>
      </c>
      <c r="H131" s="2" t="s">
        <v>56</v>
      </c>
      <c r="I131" s="2" t="str">
        <f>IFERROR(__xludf.DUMMYFUNCTION("GOOGLETRANSLATE(C131,""fr"",""en"")"),"Nickel everything is clear and fast thank you
Covenant price with several guarantees included top for the very risk and not dear lassurance at all thank you")</f>
        <v>Nickel everything is clear and fast thank you
Covenant price with several guarantees included top for the very risk and not dear lassurance at all thank you</v>
      </c>
    </row>
    <row r="132" ht="15.75" customHeight="1">
      <c r="A132" s="2">
        <v>1.0</v>
      </c>
      <c r="B132" s="2" t="s">
        <v>482</v>
      </c>
      <c r="C132" s="2" t="s">
        <v>483</v>
      </c>
      <c r="D132" s="2" t="s">
        <v>459</v>
      </c>
      <c r="E132" s="2" t="s">
        <v>27</v>
      </c>
      <c r="F132" s="2" t="s">
        <v>15</v>
      </c>
      <c r="G132" s="2" t="s">
        <v>484</v>
      </c>
      <c r="H132" s="2" t="s">
        <v>485</v>
      </c>
      <c r="I132" s="2" t="str">
        <f>IFERROR(__xludf.DUMMYFUNCTION("GOOGLETRANSLATE(C132,""fr"",""en"")"),"In work stoppage since 6/12/2016 FUND SUPPORT RESAL AND PERICARDITE, I sent my request on 04/04/2017, still awaiting acceptance")</f>
        <v>In work stoppage since 6/12/2016 FUND SUPPORT RESAL AND PERICARDITE, I sent my request on 04/04/2017, still awaiting acceptance</v>
      </c>
    </row>
    <row r="133" ht="15.75" customHeight="1">
      <c r="A133" s="2">
        <v>2.0</v>
      </c>
      <c r="B133" s="2" t="s">
        <v>486</v>
      </c>
      <c r="C133" s="2" t="s">
        <v>487</v>
      </c>
      <c r="D133" s="2" t="s">
        <v>32</v>
      </c>
      <c r="E133" s="2" t="s">
        <v>21</v>
      </c>
      <c r="F133" s="2" t="s">
        <v>15</v>
      </c>
      <c r="G133" s="2" t="s">
        <v>488</v>
      </c>
      <c r="H133" s="2" t="s">
        <v>315</v>
      </c>
      <c r="I133" s="2" t="str">
        <f>IFERROR(__xludf.DUMMYFUNCTION("GOOGLETRANSLATE(C133,""fr"",""en"")"),"I have a vehicle insured all risks.
In June 2018, following an electrical fire start, I made a declaration of a claim.
The expert assesses the damage to 1,700 euros, but the garage gives me a quote of 6000 euros and explains to me that it is impossible "&amp;"to repair the vehicle by following the expert's report.
The vehicle is not worth 6000 euros. The expert explains to me then that insurance must mandate it to estimate the value of the vehicle.
After at least 20 emails and 10 calls for the expert and ins"&amp;"urance, Direct Insurance still has not mandated the expert to correct his expertise.
There is no follow -up from Direct Insurance. I am only entitled to standard answers.
Absolutely no one supports requests and manages the claim.
A year later, when the"&amp;" vehicle has not been driving since then, they don't hesitate to relaunch me to pay my full pot.")</f>
        <v>I have a vehicle insured all risks.
In June 2018, following an electrical fire start, I made a declaration of a claim.
The expert assesses the damage to 1,700 euros, but the garage gives me a quote of 6000 euros and explains to me that it is impossible to repair the vehicle by following the expert's report.
The vehicle is not worth 6000 euros. The expert explains to me then that insurance must mandate it to estimate the value of the vehicle.
After at least 20 emails and 10 calls for the expert and insurance, Direct Insurance still has not mandated the expert to correct his expertise.
There is no follow -up from Direct Insurance. I am only entitled to standard answers.
Absolutely no one supports requests and manages the claim.
A year later, when the vehicle has not been driving since then, they don't hesitate to relaunch me to pay my full pot.</v>
      </c>
    </row>
    <row r="134" ht="15.75" customHeight="1">
      <c r="A134" s="2">
        <v>4.0</v>
      </c>
      <c r="B134" s="2" t="s">
        <v>489</v>
      </c>
      <c r="C134" s="2" t="s">
        <v>490</v>
      </c>
      <c r="D134" s="2" t="s">
        <v>32</v>
      </c>
      <c r="E134" s="2" t="s">
        <v>21</v>
      </c>
      <c r="F134" s="2" t="s">
        <v>15</v>
      </c>
      <c r="G134" s="2" t="s">
        <v>491</v>
      </c>
      <c r="H134" s="2" t="s">
        <v>39</v>
      </c>
      <c r="I134" s="2" t="str">
        <f>IFERROR(__xludf.DUMMYFUNCTION("GOOGLETRANSLATE(C134,""fr"",""en"")"),"I am very satisfied with your services even in these times of Cavid. Not everyone reacts the same:
- Carossier 2 months delay
- 2 expertise (photos and presentation)
The covid has a good back!")</f>
        <v>I am very satisfied with your services even in these times of Cavid. Not everyone reacts the same:
- Carossier 2 months delay
- 2 expertise (photos and presentation)
The covid has a good back!</v>
      </c>
    </row>
    <row r="135" ht="15.75" customHeight="1">
      <c r="A135" s="2">
        <v>5.0</v>
      </c>
      <c r="B135" s="2" t="s">
        <v>492</v>
      </c>
      <c r="C135" s="2" t="s">
        <v>493</v>
      </c>
      <c r="D135" s="2" t="s">
        <v>72</v>
      </c>
      <c r="E135" s="2" t="s">
        <v>33</v>
      </c>
      <c r="F135" s="2" t="s">
        <v>15</v>
      </c>
      <c r="G135" s="2" t="s">
        <v>494</v>
      </c>
      <c r="H135" s="2" t="s">
        <v>427</v>
      </c>
      <c r="I135" s="2" t="str">
        <f>IFERROR(__xludf.DUMMYFUNCTION("GOOGLETRANSLATE(C135,""fr"",""en"")"),"I went twice this week, very welcome, very good understanding of the PB as well as its taking into account. As I went there twice, I put 5 stars twice")</f>
        <v>I went twice this week, very welcome, very good understanding of the PB as well as its taking into account. As I went there twice, I put 5 stars twice</v>
      </c>
    </row>
    <row r="136" ht="15.75" customHeight="1">
      <c r="A136" s="2">
        <v>3.0</v>
      </c>
      <c r="B136" s="2" t="s">
        <v>495</v>
      </c>
      <c r="C136" s="2" t="s">
        <v>496</v>
      </c>
      <c r="D136" s="2" t="s">
        <v>196</v>
      </c>
      <c r="E136" s="2" t="s">
        <v>82</v>
      </c>
      <c r="F136" s="2" t="s">
        <v>15</v>
      </c>
      <c r="G136" s="2" t="s">
        <v>497</v>
      </c>
      <c r="H136" s="2" t="s">
        <v>474</v>
      </c>
      <c r="I136" s="2" t="str">
        <f>IFERROR(__xludf.DUMMYFUNCTION("GOOGLETRANSLATE(C136,""fr"",""en"")"),"I have subscribed since January 1 in Neoliane, a big concern, we are on the 21st still not done with the CPAM. Demcharching on the phone very insistent, mutual which is not very expensive but beware, a lot of things not taken in question")</f>
        <v>I have subscribed since January 1 in Neoliane, a big concern, we are on the 21st still not done with the CPAM. Demcharching on the phone very insistent, mutual which is not very expensive but beware, a lot of things not taken in question</v>
      </c>
    </row>
    <row r="137" ht="15.75" customHeight="1">
      <c r="A137" s="2">
        <v>1.0</v>
      </c>
      <c r="B137" s="2" t="s">
        <v>498</v>
      </c>
      <c r="C137" s="2" t="s">
        <v>499</v>
      </c>
      <c r="D137" s="2" t="s">
        <v>145</v>
      </c>
      <c r="E137" s="2" t="s">
        <v>60</v>
      </c>
      <c r="F137" s="2" t="s">
        <v>15</v>
      </c>
      <c r="G137" s="2" t="s">
        <v>500</v>
      </c>
      <c r="H137" s="2" t="s">
        <v>62</v>
      </c>
      <c r="I137" s="2" t="str">
        <f>IFERROR(__xludf.DUMMYFUNCTION("GOOGLETRANSLATE(C137,""fr"",""en"")"),"It is currently 7:45 p.m., I called the MAAF at exactly 6:17 p.m., and I am still on hold. I wanted to have a quote for car and motorcycle insurance. Impossible to have someone is a shame.
With all the money that insurance is made, I think that hiring st"&amp;"aff to answer the phone will not ruin them. It is unacceptable, I would never go to them, no matter the price.")</f>
        <v>It is currently 7:45 p.m., I called the MAAF at exactly 6:17 p.m., and I am still on hold. I wanted to have a quote for car and motorcycle insurance. Impossible to have someone is a shame.
With all the money that insurance is made, I think that hiring staff to answer the phone will not ruin them. It is unacceptable, I would never go to them, no matter the price.</v>
      </c>
    </row>
    <row r="138" ht="15.75" customHeight="1">
      <c r="A138" s="2">
        <v>4.0</v>
      </c>
      <c r="B138" s="2" t="s">
        <v>501</v>
      </c>
      <c r="C138" s="2" t="s">
        <v>502</v>
      </c>
      <c r="D138" s="2" t="s">
        <v>42</v>
      </c>
      <c r="E138" s="2" t="s">
        <v>21</v>
      </c>
      <c r="F138" s="2" t="s">
        <v>15</v>
      </c>
      <c r="G138" s="2" t="s">
        <v>193</v>
      </c>
      <c r="H138" s="2" t="s">
        <v>52</v>
      </c>
      <c r="I138" s="2" t="str">
        <f>IFERROR(__xludf.DUMMYFUNCTION("GOOGLETRANSLATE(C138,""fr"",""en"")"),"Satisfied with the online service. Good information by the advisor. Signature of the rapid contract.
Negative point of the contract: the franchise is high")</f>
        <v>Satisfied with the online service. Good information by the advisor. Signature of the rapid contract.
Negative point of the contract: the franchise is high</v>
      </c>
    </row>
    <row r="139" ht="15.75" customHeight="1">
      <c r="A139" s="2">
        <v>4.0</v>
      </c>
      <c r="B139" s="2" t="s">
        <v>503</v>
      </c>
      <c r="C139" s="2" t="s">
        <v>504</v>
      </c>
      <c r="D139" s="2" t="s">
        <v>26</v>
      </c>
      <c r="E139" s="2" t="s">
        <v>27</v>
      </c>
      <c r="F139" s="2" t="s">
        <v>15</v>
      </c>
      <c r="G139" s="2" t="s">
        <v>505</v>
      </c>
      <c r="H139" s="2" t="s">
        <v>56</v>
      </c>
      <c r="I139" s="2" t="str">
        <f>IFERROR(__xludf.DUMMYFUNCTION("GOOGLETRANSLATE(C139,""fr"",""en"")"),"I am very satisfied with my interlocutor Mr. Mekki since the beginning of the care of my file.
Very professional and pleasant person with each Telephonic Exchange.")</f>
        <v>I am very satisfied with my interlocutor Mr. Mekki since the beginning of the care of my file.
Very professional and pleasant person with each Telephonic Exchange.</v>
      </c>
    </row>
    <row r="140" ht="15.75" customHeight="1">
      <c r="A140" s="2">
        <v>3.0</v>
      </c>
      <c r="B140" s="2" t="s">
        <v>506</v>
      </c>
      <c r="C140" s="2" t="s">
        <v>507</v>
      </c>
      <c r="D140" s="2" t="s">
        <v>42</v>
      </c>
      <c r="E140" s="2" t="s">
        <v>21</v>
      </c>
      <c r="F140" s="2" t="s">
        <v>15</v>
      </c>
      <c r="G140" s="2" t="s">
        <v>398</v>
      </c>
      <c r="H140" s="2" t="s">
        <v>48</v>
      </c>
      <c r="I140" s="2" t="str">
        <f>IFERROR(__xludf.DUMMYFUNCTION("GOOGLETRANSLATE(C140,""fr"",""en"")"),"I am satisfied with the price yes it's not expensive, but not the personal species it did not want to work on my computer and in addition it lacks an application")</f>
        <v>I am satisfied with the price yes it's not expensive, but not the personal species it did not want to work on my computer and in addition it lacks an application</v>
      </c>
    </row>
    <row r="141" ht="15.75" customHeight="1">
      <c r="A141" s="2">
        <v>3.0</v>
      </c>
      <c r="B141" s="2" t="s">
        <v>508</v>
      </c>
      <c r="C141" s="2" t="s">
        <v>509</v>
      </c>
      <c r="D141" s="2" t="s">
        <v>32</v>
      </c>
      <c r="E141" s="2" t="s">
        <v>21</v>
      </c>
      <c r="F141" s="2" t="s">
        <v>15</v>
      </c>
      <c r="G141" s="2" t="s">
        <v>510</v>
      </c>
      <c r="H141" s="2" t="s">
        <v>29</v>
      </c>
      <c r="I141" s="2" t="str">
        <f>IFERROR(__xludf.DUMMYFUNCTION("GOOGLETRANSLATE(C141,""fr"",""en"")"),"Very satisfied with my subscription, really competitive prices, reactive advisor by phone and by email, the only ones to have made an insurance proposal for my vehicle.")</f>
        <v>Very satisfied with my subscription, really competitive prices, reactive advisor by phone and by email, the only ones to have made an insurance proposal for my vehicle.</v>
      </c>
    </row>
    <row r="142" ht="15.75" customHeight="1">
      <c r="A142" s="2">
        <v>1.0</v>
      </c>
      <c r="B142" s="2" t="s">
        <v>511</v>
      </c>
      <c r="C142" s="2" t="s">
        <v>512</v>
      </c>
      <c r="D142" s="2" t="s">
        <v>430</v>
      </c>
      <c r="E142" s="2" t="s">
        <v>82</v>
      </c>
      <c r="F142" s="2" t="s">
        <v>15</v>
      </c>
      <c r="G142" s="2" t="s">
        <v>513</v>
      </c>
      <c r="H142" s="2" t="s">
        <v>485</v>
      </c>
      <c r="I142" s="2" t="str">
        <f>IFERROR(__xludf.DUMMYFUNCTION("GOOGLETRANSLATE(C142,""fr"",""en"")"),"lamentable emailing by phone for the age of age. They are going on for their complementary mutual insurance")</f>
        <v>lamentable emailing by phone for the age of age. They are going on for their complementary mutual insurance</v>
      </c>
    </row>
    <row r="143" ht="15.75" customHeight="1">
      <c r="A143" s="2">
        <v>5.0</v>
      </c>
      <c r="B143" s="2" t="s">
        <v>514</v>
      </c>
      <c r="C143" s="2" t="s">
        <v>515</v>
      </c>
      <c r="D143" s="2" t="s">
        <v>135</v>
      </c>
      <c r="E143" s="2" t="s">
        <v>60</v>
      </c>
      <c r="F143" s="2" t="s">
        <v>15</v>
      </c>
      <c r="G143" s="2" t="s">
        <v>505</v>
      </c>
      <c r="H143" s="2" t="s">
        <v>56</v>
      </c>
      <c r="I143" s="2" t="str">
        <f>IFERROR(__xludf.DUMMYFUNCTION("GOOGLETRANSLATE(C143,""fr"",""en"")"),"I am very satisfied with the application allowing rapid and complete subscription, services and insurance prices. I highly recommend.")</f>
        <v>I am very satisfied with the application allowing rapid and complete subscription, services and insurance prices. I highly recommend.</v>
      </c>
    </row>
    <row r="144" ht="15.75" customHeight="1">
      <c r="A144" s="2">
        <v>4.0</v>
      </c>
      <c r="B144" s="2" t="s">
        <v>516</v>
      </c>
      <c r="C144" s="2" t="s">
        <v>517</v>
      </c>
      <c r="D144" s="2" t="s">
        <v>518</v>
      </c>
      <c r="E144" s="2" t="s">
        <v>60</v>
      </c>
      <c r="F144" s="2" t="s">
        <v>15</v>
      </c>
      <c r="G144" s="2" t="s">
        <v>519</v>
      </c>
      <c r="H144" s="2" t="s">
        <v>92</v>
      </c>
      <c r="I144" s="2" t="str">
        <f>IFERROR(__xludf.DUMMYFUNCTION("GOOGLETRANSLATE(C144,""fr"",""en"")"),"I am satisfied with this mutual adviser by the FFMC members, I had a non -responsible disaster after passing the expert repayment within 10 days which is rather correct. Also correct price for the service provided.
Thank you the mutual.")</f>
        <v>I am satisfied with this mutual adviser by the FFMC members, I had a non -responsible disaster after passing the expert repayment within 10 days which is rather correct. Also correct price for the service provided.
Thank you the mutual.</v>
      </c>
    </row>
    <row r="145" ht="15.75" customHeight="1">
      <c r="A145" s="2">
        <v>3.0</v>
      </c>
      <c r="B145" s="2" t="s">
        <v>520</v>
      </c>
      <c r="C145" s="2" t="s">
        <v>521</v>
      </c>
      <c r="D145" s="2" t="s">
        <v>32</v>
      </c>
      <c r="E145" s="2" t="s">
        <v>21</v>
      </c>
      <c r="F145" s="2" t="s">
        <v>15</v>
      </c>
      <c r="G145" s="2" t="s">
        <v>61</v>
      </c>
      <c r="H145" s="2" t="s">
        <v>62</v>
      </c>
      <c r="I145" s="2" t="str">
        <f>IFERROR(__xludf.DUMMYFUNCTION("GOOGLETRANSLATE(C145,""fr"",""en"")"),"The service is at the top! The online procedures are simple. In addition, the rates that increase while the penalus decreases are bad! The bonus should result in a drop in subscription!")</f>
        <v>The service is at the top! The online procedures are simple. In addition, the rates that increase while the penalus decreases are bad! The bonus should result in a drop in subscription!</v>
      </c>
    </row>
    <row r="146" ht="15.75" customHeight="1">
      <c r="A146" s="2">
        <v>3.0</v>
      </c>
      <c r="B146" s="2" t="s">
        <v>522</v>
      </c>
      <c r="C146" s="2" t="s">
        <v>523</v>
      </c>
      <c r="D146" s="2" t="s">
        <v>32</v>
      </c>
      <c r="E146" s="2" t="s">
        <v>21</v>
      </c>
      <c r="F146" s="2" t="s">
        <v>15</v>
      </c>
      <c r="G146" s="2" t="s">
        <v>524</v>
      </c>
      <c r="H146" s="2" t="s">
        <v>44</v>
      </c>
      <c r="I146" s="2" t="str">
        <f>IFERROR(__xludf.DUMMYFUNCTION("GOOGLETRANSLATE(C146,""fr"",""en"")"),"Tilled as a pedestrian on a protected passage. The direct insurance assurance never responded to the requests of my insurance which was forced to assign him to the court and to turn against the driver of the vehicle .... this n 'Is not an insurer !!!!")</f>
        <v>Tilled as a pedestrian on a protected passage. The direct insurance assurance never responded to the requests of my insurance which was forced to assign him to the court and to turn against the driver of the vehicle .... this n 'Is not an insurer !!!!</v>
      </c>
    </row>
    <row r="147" ht="15.75" customHeight="1">
      <c r="A147" s="2">
        <v>4.0</v>
      </c>
      <c r="B147" s="2" t="s">
        <v>525</v>
      </c>
      <c r="C147" s="2" t="s">
        <v>526</v>
      </c>
      <c r="D147" s="2" t="s">
        <v>32</v>
      </c>
      <c r="E147" s="2" t="s">
        <v>21</v>
      </c>
      <c r="F147" s="2" t="s">
        <v>15</v>
      </c>
      <c r="G147" s="2" t="s">
        <v>527</v>
      </c>
      <c r="H147" s="2" t="s">
        <v>29</v>
      </c>
      <c r="I147" s="2" t="str">
        <f>IFERROR(__xludf.DUMMYFUNCTION("GOOGLETRANSLATE(C147,""fr"",""en"")"),"At the level of equivalent services This insurance allows you to return cheaper thanks to the case.
A responsible eco-driving allows up to € 120 in reduction reimbursed in the year.
For a young license without bonus or penalty, it is motivating")</f>
        <v>At the level of equivalent services This insurance allows you to return cheaper thanks to the case.
A responsible eco-driving allows up to € 120 in reduction reimbursed in the year.
For a young license without bonus or penalty, it is motivating</v>
      </c>
    </row>
    <row r="148" ht="15.75" customHeight="1">
      <c r="A148" s="2">
        <v>1.0</v>
      </c>
      <c r="B148" s="2" t="s">
        <v>528</v>
      </c>
      <c r="C148" s="2" t="s">
        <v>529</v>
      </c>
      <c r="D148" s="2" t="s">
        <v>200</v>
      </c>
      <c r="E148" s="2" t="s">
        <v>21</v>
      </c>
      <c r="F148" s="2" t="s">
        <v>15</v>
      </c>
      <c r="G148" s="2" t="s">
        <v>530</v>
      </c>
      <c r="H148" s="2" t="s">
        <v>531</v>
      </c>
      <c r="I148" s="2" t="str">
        <f>IFERROR(__xludf.DUMMYFUNCTION("GOOGLETRANSLATE(C148,""fr"",""en"")"),"I cannot testify to their level of warranty, I had only 2 broken ice in 4 or5 years. I left this insurance (car) because each year, the increase in the price was significant, arrived at more than € 650 annually, the increase was 150 € in 4 or 5 years !!! "&amp;"They were therefore well placed the first year but have now become more expensive than other insurance with agencies. I received a confirmation from my breach of the contract on January 25, valid from January 31. However, on February 5, they still levied "&amp;"me the annual amount for the following year: therefore € 650 !! After 2 calls, and being on February 23, I have still not been reimbursed, and they claim that it is normal. I absolutely do not recommend this insurer.
")</f>
        <v>I cannot testify to their level of warranty, I had only 2 broken ice in 4 or5 years. I left this insurance (car) because each year, the increase in the price was significant, arrived at more than € 650 annually, the increase was 150 € in 4 or 5 years !!! They were therefore well placed the first year but have now become more expensive than other insurance with agencies. I received a confirmation from my breach of the contract on January 25, valid from January 31. However, on February 5, they still levied me the annual amount for the following year: therefore € 650 !! After 2 calls, and being on February 23, I have still not been reimbursed, and they claim that it is normal. I absolutely do not recommend this insurer.
</v>
      </c>
    </row>
    <row r="149" ht="15.75" customHeight="1">
      <c r="A149" s="2">
        <v>4.0</v>
      </c>
      <c r="B149" s="2" t="s">
        <v>532</v>
      </c>
      <c r="C149" s="2" t="s">
        <v>533</v>
      </c>
      <c r="D149" s="2" t="s">
        <v>42</v>
      </c>
      <c r="E149" s="2" t="s">
        <v>21</v>
      </c>
      <c r="F149" s="2" t="s">
        <v>15</v>
      </c>
      <c r="G149" s="2" t="s">
        <v>534</v>
      </c>
      <c r="H149" s="2" t="s">
        <v>52</v>
      </c>
      <c r="I149" s="2" t="str">
        <f>IFERROR(__xludf.DUMMYFUNCTION("GOOGLETRANSLATE(C149,""fr"",""en"")"),"Satisfied with the service.
Nice exchange with the advisers.
Affordable prices.
An ease of communication and reachable very quickly.
I recommend.")</f>
        <v>Satisfied with the service.
Nice exchange with the advisers.
Affordable prices.
An ease of communication and reachable very quickly.
I recommend.</v>
      </c>
    </row>
    <row r="150" ht="15.75" customHeight="1">
      <c r="A150" s="2">
        <v>2.0</v>
      </c>
      <c r="B150" s="2" t="s">
        <v>535</v>
      </c>
      <c r="C150" s="2" t="s">
        <v>536</v>
      </c>
      <c r="D150" s="2" t="s">
        <v>425</v>
      </c>
      <c r="E150" s="2" t="s">
        <v>220</v>
      </c>
      <c r="F150" s="2" t="s">
        <v>15</v>
      </c>
      <c r="G150" s="2" t="s">
        <v>537</v>
      </c>
      <c r="H150" s="2" t="s">
        <v>62</v>
      </c>
      <c r="I150" s="2" t="str">
        <f>IFERROR(__xludf.DUMMYFUNCTION("GOOGLETRANSLATE(C150,""fr"",""en"")"),"Since the beginning of May I have sent a complete Father's transfer file it is still not processed and yet it is from Cardif to Cardif, the telephone service sends you from service to service, ditto for the complaint service which explains that They are w"&amp;"aiting for the other cardif service, the emails remain unanswered for the recommended with ar
I no longer know what to think about it is incompetence or bad will")</f>
        <v>Since the beginning of May I have sent a complete Father's transfer file it is still not processed and yet it is from Cardif to Cardif, the telephone service sends you from service to service, ditto for the complaint service which explains that They are waiting for the other cardif service, the emails remain unanswered for the recommended with ar
I no longer know what to think about it is incompetence or bad will</v>
      </c>
    </row>
    <row r="151" ht="15.75" customHeight="1">
      <c r="A151" s="2">
        <v>1.0</v>
      </c>
      <c r="B151" s="2" t="s">
        <v>538</v>
      </c>
      <c r="C151" s="2" t="s">
        <v>539</v>
      </c>
      <c r="D151" s="2" t="s">
        <v>209</v>
      </c>
      <c r="E151" s="2" t="s">
        <v>82</v>
      </c>
      <c r="F151" s="2" t="s">
        <v>15</v>
      </c>
      <c r="G151" s="2" t="s">
        <v>283</v>
      </c>
      <c r="H151" s="2" t="s">
        <v>52</v>
      </c>
      <c r="I151" s="2" t="str">
        <f>IFERROR(__xludf.DUMMYFUNCTION("GOOGLETRANSLATE(C151,""fr"",""en"")"),"Very unhappy, does not even deserve 1 star ... with each consultation you must send the social security statement and the invoice even for a consultation with your general practitioner! Teletransmission is not automatically done so if you are not vigilant"&amp;" on your accounts or that you have forgotten to request an invoice you are going alongside your reimbursements !! Most of the other mutuals do the remote transmission automatically. I very much regret my old mutual.")</f>
        <v>Very unhappy, does not even deserve 1 star ... with each consultation you must send the social security statement and the invoice even for a consultation with your general practitioner! Teletransmission is not automatically done so if you are not vigilant on your accounts or that you have forgotten to request an invoice you are going alongside your reimbursements !! Most of the other mutuals do the remote transmission automatically. I very much regret my old mutual.</v>
      </c>
    </row>
    <row r="152" ht="15.75" customHeight="1">
      <c r="A152" s="2">
        <v>2.0</v>
      </c>
      <c r="B152" s="2" t="s">
        <v>540</v>
      </c>
      <c r="C152" s="2" t="s">
        <v>541</v>
      </c>
      <c r="D152" s="2" t="s">
        <v>81</v>
      </c>
      <c r="E152" s="2" t="s">
        <v>82</v>
      </c>
      <c r="F152" s="2" t="s">
        <v>15</v>
      </c>
      <c r="G152" s="2" t="s">
        <v>542</v>
      </c>
      <c r="H152" s="2" t="s">
        <v>432</v>
      </c>
      <c r="I152" s="2" t="str">
        <f>IFERROR(__xludf.DUMMYFUNCTION("GOOGLETRANSLATE(C152,""fr"",""en"")"),"I took four days to have an online person to take care of the clinic.
Finally this morning I had Erika who made me my request because I need it for tomorrow. Cordially
")</f>
        <v>I took four days to have an online person to take care of the clinic.
Finally this morning I had Erika who made me my request because I need it for tomorrow. Cordially
</v>
      </c>
    </row>
    <row r="153" ht="15.75" customHeight="1">
      <c r="A153" s="2">
        <v>5.0</v>
      </c>
      <c r="B153" s="2" t="s">
        <v>543</v>
      </c>
      <c r="C153" s="2" t="s">
        <v>544</v>
      </c>
      <c r="D153" s="2" t="s">
        <v>32</v>
      </c>
      <c r="E153" s="2" t="s">
        <v>21</v>
      </c>
      <c r="F153" s="2" t="s">
        <v>15</v>
      </c>
      <c r="G153" s="2" t="s">
        <v>545</v>
      </c>
      <c r="H153" s="2" t="s">
        <v>29</v>
      </c>
      <c r="I153" s="2" t="str">
        <f>IFERROR(__xludf.DUMMYFUNCTION("GOOGLETRANSLATE(C153,""fr"",""en"")"),"I am satisfied and the prices are attractive I intend to advertise for your insurance which is easy to contract.
Regards, Domingos
")</f>
        <v>I am satisfied and the prices are attractive I intend to advertise for your insurance which is easy to contract.
Regards, Domingos
</v>
      </c>
    </row>
    <row r="154" ht="15.75" customHeight="1">
      <c r="A154" s="2">
        <v>3.0</v>
      </c>
      <c r="B154" s="2" t="s">
        <v>546</v>
      </c>
      <c r="C154" s="2" t="s">
        <v>547</v>
      </c>
      <c r="D154" s="2" t="s">
        <v>32</v>
      </c>
      <c r="E154" s="2" t="s">
        <v>21</v>
      </c>
      <c r="F154" s="2" t="s">
        <v>15</v>
      </c>
      <c r="G154" s="2" t="s">
        <v>548</v>
      </c>
      <c r="H154" s="2" t="s">
        <v>39</v>
      </c>
      <c r="I154" s="2" t="str">
        <f>IFERROR(__xludf.DUMMYFUNCTION("GOOGLETRANSLATE(C154,""fr"",""en"")"),"You need to or even if you react. The franchises in the event of accidents are too high. An interlocutor with whom I have an interview was difficult to understand")</f>
        <v>You need to or even if you react. The franchises in the event of accidents are too high. An interlocutor with whom I have an interview was difficult to understand</v>
      </c>
    </row>
    <row r="155" ht="15.75" customHeight="1">
      <c r="A155" s="2">
        <v>3.0</v>
      </c>
      <c r="B155" s="2" t="s">
        <v>549</v>
      </c>
      <c r="C155" s="2" t="s">
        <v>550</v>
      </c>
      <c r="D155" s="2" t="s">
        <v>169</v>
      </c>
      <c r="E155" s="2" t="s">
        <v>82</v>
      </c>
      <c r="F155" s="2" t="s">
        <v>15</v>
      </c>
      <c r="G155" s="2" t="s">
        <v>551</v>
      </c>
      <c r="H155" s="2" t="s">
        <v>84</v>
      </c>
      <c r="I155" s="2" t="str">
        <f>IFERROR(__xludf.DUMMYFUNCTION("GOOGLETRANSLATE(C155,""fr"",""en"")"),"It is the mutual to avoid.")</f>
        <v>It is the mutual to avoid.</v>
      </c>
    </row>
    <row r="156" ht="15.75" customHeight="1">
      <c r="A156" s="2">
        <v>4.0</v>
      </c>
      <c r="B156" s="2" t="s">
        <v>552</v>
      </c>
      <c r="C156" s="2" t="s">
        <v>553</v>
      </c>
      <c r="D156" s="2" t="s">
        <v>32</v>
      </c>
      <c r="E156" s="2" t="s">
        <v>21</v>
      </c>
      <c r="F156" s="2" t="s">
        <v>15</v>
      </c>
      <c r="G156" s="2" t="s">
        <v>554</v>
      </c>
      <c r="H156" s="2" t="s">
        <v>39</v>
      </c>
      <c r="I156" s="2" t="str">
        <f>IFERROR(__xludf.DUMMYFUNCTION("GOOGLETRANSLATE(C156,""fr"",""en"")"),"The prices are very affordable, very fast, very simple, pay facilitation, I highly recommend direct insurance.
For a 1st purchases of vehicles they are the cheapest.")</f>
        <v>The prices are very affordable, very fast, very simple, pay facilitation, I highly recommend direct insurance.
For a 1st purchases of vehicles they are the cheapest.</v>
      </c>
    </row>
    <row r="157" ht="15.75" customHeight="1">
      <c r="A157" s="2">
        <v>1.0</v>
      </c>
      <c r="B157" s="2" t="s">
        <v>555</v>
      </c>
      <c r="C157" s="2" t="s">
        <v>556</v>
      </c>
      <c r="D157" s="2" t="s">
        <v>196</v>
      </c>
      <c r="E157" s="2" t="s">
        <v>82</v>
      </c>
      <c r="F157" s="2" t="s">
        <v>15</v>
      </c>
      <c r="G157" s="2" t="s">
        <v>557</v>
      </c>
      <c r="H157" s="2" t="s">
        <v>330</v>
      </c>
      <c r="I157" s="2" t="str">
        <f>IFERROR(__xludf.DUMMYFUNCTION("GOOGLETRANSLATE(C157,""fr"",""en"")"),"Does not relate to the security reimbursement for almost 1 year and a half and now I have resilled and I am attached to the security except that I lost my children. Wow !!!! 2 operations with so -called Result management I have paid. Great.")</f>
        <v>Does not relate to the security reimbursement for almost 1 year and a half and now I have resilled and I am attached to the security except that I lost my children. Wow !!!! 2 operations with so -called Result management I have paid. Great.</v>
      </c>
    </row>
    <row r="158" ht="15.75" customHeight="1">
      <c r="A158" s="2">
        <v>1.0</v>
      </c>
      <c r="B158" s="2" t="s">
        <v>558</v>
      </c>
      <c r="C158" s="2" t="s">
        <v>559</v>
      </c>
      <c r="D158" s="2" t="s">
        <v>560</v>
      </c>
      <c r="E158" s="2" t="s">
        <v>33</v>
      </c>
      <c r="F158" s="2" t="s">
        <v>15</v>
      </c>
      <c r="G158" s="2" t="s">
        <v>561</v>
      </c>
      <c r="H158" s="2" t="s">
        <v>561</v>
      </c>
      <c r="I158" s="2" t="str">
        <f>IFERROR(__xludf.DUMMYFUNCTION("GOOGLETRANSLATE(C158,""fr"",""en"")"),"CM is a bank not insurance")</f>
        <v>CM is a bank not insurance</v>
      </c>
    </row>
    <row r="159" ht="15.75" customHeight="1">
      <c r="A159" s="2">
        <v>1.0</v>
      </c>
      <c r="B159" s="2" t="s">
        <v>562</v>
      </c>
      <c r="C159" s="2" t="s">
        <v>563</v>
      </c>
      <c r="D159" s="2" t="s">
        <v>42</v>
      </c>
      <c r="E159" s="2" t="s">
        <v>21</v>
      </c>
      <c r="F159" s="2" t="s">
        <v>15</v>
      </c>
      <c r="G159" s="2" t="s">
        <v>564</v>
      </c>
      <c r="H159" s="2" t="s">
        <v>74</v>
      </c>
      <c r="I159" s="2" t="str">
        <f>IFERROR(__xludf.DUMMYFUNCTION("GOOGLETRANSLATE(C159,""fr"",""en"")"),"I strongly advise you against this insurance: false advertising, foutage of mouth and zero customer service (5 traps to avoid when subscribing to car insurance) it is the oliver.")</f>
        <v>I strongly advise you against this insurance: false advertising, foutage of mouth and zero customer service (5 traps to avoid when subscribing to car insurance) it is the oliver.</v>
      </c>
    </row>
    <row r="160" ht="15.75" customHeight="1">
      <c r="A160" s="2">
        <v>5.0</v>
      </c>
      <c r="B160" s="2" t="s">
        <v>565</v>
      </c>
      <c r="C160" s="2" t="s">
        <v>566</v>
      </c>
      <c r="D160" s="2" t="s">
        <v>81</v>
      </c>
      <c r="E160" s="2" t="s">
        <v>82</v>
      </c>
      <c r="F160" s="2" t="s">
        <v>15</v>
      </c>
      <c r="G160" s="2" t="s">
        <v>464</v>
      </c>
      <c r="H160" s="2" t="s">
        <v>464</v>
      </c>
      <c r="I160" s="2" t="str">
        <f>IFERROR(__xludf.DUMMYFUNCTION("GOOGLETRANSLATE(C160,""fr"",""en"")"),"Very good telephone support for Widad clear response, kindness and very good listening.
The answers provided fully answered my questions.")</f>
        <v>Very good telephone support for Widad clear response, kindness and very good listening.
The answers provided fully answered my questions.</v>
      </c>
    </row>
    <row r="161" ht="15.75" customHeight="1">
      <c r="A161" s="2">
        <v>2.0</v>
      </c>
      <c r="B161" s="2" t="s">
        <v>567</v>
      </c>
      <c r="C161" s="2" t="s">
        <v>568</v>
      </c>
      <c r="D161" s="2" t="s">
        <v>303</v>
      </c>
      <c r="E161" s="2" t="s">
        <v>33</v>
      </c>
      <c r="F161" s="2" t="s">
        <v>15</v>
      </c>
      <c r="G161" s="2" t="s">
        <v>569</v>
      </c>
      <c r="H161" s="2" t="s">
        <v>531</v>
      </c>
      <c r="I161" s="2" t="str">
        <f>IFERROR(__xludf.DUMMYFUNCTION("GOOGLETRANSLATE(C161,""fr"",""en"")"),"Faithful for 30 years and at the first concern (burglary) we are treated as liars, scraper in quotes and RV, minimum service for work (makeup of the break -in, basic lock, door left as it). We leave the Macif with good heart!")</f>
        <v>Faithful for 30 years and at the first concern (burglary) we are treated as liars, scraper in quotes and RV, minimum service for work (makeup of the break -in, basic lock, door left as it). We leave the Macif with good heart!</v>
      </c>
    </row>
    <row r="162" ht="15.75" customHeight="1">
      <c r="A162" s="2">
        <v>1.0</v>
      </c>
      <c r="B162" s="2" t="s">
        <v>570</v>
      </c>
      <c r="C162" s="2" t="s">
        <v>571</v>
      </c>
      <c r="D162" s="2" t="s">
        <v>32</v>
      </c>
      <c r="E162" s="2" t="s">
        <v>21</v>
      </c>
      <c r="F162" s="2" t="s">
        <v>15</v>
      </c>
      <c r="G162" s="2" t="s">
        <v>572</v>
      </c>
      <c r="H162" s="2" t="s">
        <v>104</v>
      </c>
      <c r="I162" s="2" t="str">
        <f>IFERROR(__xludf.DUMMYFUNCTION("GOOGLETRANSLATE(C162,""fr"",""en"")"),"Interesting price the first year and instead of lowering when the bonus evolves the price soar ... Disappointed with this increase when I did not have a sinister.
")</f>
        <v>Interesting price the first year and instead of lowering when the bonus evolves the price soar ... Disappointed with this increase when I did not have a sinister.
</v>
      </c>
    </row>
    <row r="163" ht="15.75" customHeight="1">
      <c r="A163" s="2">
        <v>1.0</v>
      </c>
      <c r="B163" s="2" t="s">
        <v>573</v>
      </c>
      <c r="C163" s="2" t="s">
        <v>574</v>
      </c>
      <c r="D163" s="2" t="s">
        <v>303</v>
      </c>
      <c r="E163" s="2" t="s">
        <v>33</v>
      </c>
      <c r="F163" s="2" t="s">
        <v>15</v>
      </c>
      <c r="G163" s="2" t="s">
        <v>575</v>
      </c>
      <c r="H163" s="2" t="s">
        <v>202</v>
      </c>
      <c r="I163" s="2" t="str">
        <f>IFERROR(__xludf.DUMMYFUNCTION("GOOGLETRANSLATE(C163,""fr"",""en"")"),"Following a sinister bike against bike on a cycle path without responsibility on my part other than that of being present an impressive number of mail was necessary to finally arrive at the closure of this file. I therefore signed the document presented i"&amp;"ndicating the amount to be received. Without any prior information of the Bank costs of Société Générale (Banque de la Macif) and then its intermediate subsidiary was simply deducted from the agreed amount.
By all means the Macif management encourages it"&amp;"s officials to cheat, to fly.
What a shame this mode to be detestable. Unfortunately, this is what is suffering from current France with insurances such as the non -certified and unscrupulous Macif.")</f>
        <v>Following a sinister bike against bike on a cycle path without responsibility on my part other than that of being present an impressive number of mail was necessary to finally arrive at the closure of this file. I therefore signed the document presented indicating the amount to be received. Without any prior information of the Bank costs of Société Générale (Banque de la Macif) and then its intermediate subsidiary was simply deducted from the agreed amount.
By all means the Macif management encourages its officials to cheat, to fly.
What a shame this mode to be detestable. Unfortunately, this is what is suffering from current France with insurances such as the non -certified and unscrupulous Macif.</v>
      </c>
    </row>
    <row r="164" ht="15.75" customHeight="1">
      <c r="A164" s="2">
        <v>3.0</v>
      </c>
      <c r="B164" s="2" t="s">
        <v>576</v>
      </c>
      <c r="C164" s="2" t="s">
        <v>577</v>
      </c>
      <c r="D164" s="2" t="s">
        <v>32</v>
      </c>
      <c r="E164" s="2" t="s">
        <v>21</v>
      </c>
      <c r="F164" s="2" t="s">
        <v>15</v>
      </c>
      <c r="G164" s="2" t="s">
        <v>126</v>
      </c>
      <c r="H164" s="2" t="s">
        <v>126</v>
      </c>
      <c r="I164" s="2" t="str">
        <f>IFERROR(__xludf.DUMMYFUNCTION("GOOGLETRANSLATE(C164,""fr"",""en"")"),"I am satisfied with the quote and the information to give on the site everything has been clear for me to explain well and price level I find very affordable for young driver")</f>
        <v>I am satisfied with the quote and the information to give on the site everything has been clear for me to explain well and price level I find very affordable for young driver</v>
      </c>
    </row>
    <row r="165" ht="15.75" customHeight="1">
      <c r="A165" s="2">
        <v>1.0</v>
      </c>
      <c r="B165" s="2" t="s">
        <v>578</v>
      </c>
      <c r="C165" s="2" t="s">
        <v>579</v>
      </c>
      <c r="D165" s="2" t="s">
        <v>196</v>
      </c>
      <c r="E165" s="2" t="s">
        <v>82</v>
      </c>
      <c r="F165" s="2" t="s">
        <v>15</v>
      </c>
      <c r="G165" s="2" t="s">
        <v>580</v>
      </c>
      <c r="H165" s="2" t="s">
        <v>531</v>
      </c>
      <c r="I165" s="2" t="str">
        <f>IFERROR(__xludf.DUMMYFUNCTION("GOOGLETRANSLATE(C165,""fr"",""en"")"),"I am not at all satisfied with it. I had problems terminating the contract despite a divorce; Then they continue to take me € 18.64 every month. Since the termination, they have not reimbursed me the dentist whose date still entered the contribution perio"&amp;"d.")</f>
        <v>I am not at all satisfied with it. I had problems terminating the contract despite a divorce; Then they continue to take me € 18.64 every month. Since the termination, they have not reimbursed me the dentist whose date still entered the contribution period.</v>
      </c>
    </row>
    <row r="166" ht="15.75" customHeight="1">
      <c r="A166" s="2">
        <v>3.0</v>
      </c>
      <c r="B166" s="2" t="s">
        <v>581</v>
      </c>
      <c r="C166" s="2" t="s">
        <v>582</v>
      </c>
      <c r="D166" s="2" t="s">
        <v>32</v>
      </c>
      <c r="E166" s="2" t="s">
        <v>21</v>
      </c>
      <c r="F166" s="2" t="s">
        <v>15</v>
      </c>
      <c r="G166" s="2" t="s">
        <v>467</v>
      </c>
      <c r="H166" s="2" t="s">
        <v>104</v>
      </c>
      <c r="I166" s="2" t="str">
        <f>IFERROR(__xludf.DUMMYFUNCTION("GOOGLETRANSLATE(C166,""fr"",""en"")"),"Satisfied with the service for a first first accommodation insurance ... fairly correct price, I am satisfied with the service offered by Direct Insurance")</f>
        <v>Satisfied with the service for a first first accommodation insurance ... fairly correct price, I am satisfied with the service offered by Direct Insurance</v>
      </c>
    </row>
    <row r="167" ht="15.75" customHeight="1">
      <c r="A167" s="2">
        <v>4.0</v>
      </c>
      <c r="B167" s="2" t="s">
        <v>583</v>
      </c>
      <c r="C167" s="2" t="s">
        <v>584</v>
      </c>
      <c r="D167" s="2" t="s">
        <v>183</v>
      </c>
      <c r="E167" s="2" t="s">
        <v>33</v>
      </c>
      <c r="F167" s="2" t="s">
        <v>15</v>
      </c>
      <c r="G167" s="2" t="s">
        <v>585</v>
      </c>
      <c r="H167" s="2" t="s">
        <v>159</v>
      </c>
      <c r="I167" s="2" t="str">
        <f>IFERROR(__xludf.DUMMYFUNCTION("GOOGLETRANSLATE(C167,""fr"",""en"")"),"I have nothing to say, if only to my opinion, having an insurer is above all to have a person known in front of you, all my experiences (except for AXA) are positive, very positive for Allianz because I have very good contacts with my insurer, provided ho"&amp;"wever to understand that insurance does not make a gift or a miracle and that an insurance does not mean that you are reimbursed, but just that 'We compensate you ... so it is better to protect yourself than to have very expensive insurance ^^.")</f>
        <v>I have nothing to say, if only to my opinion, having an insurer is above all to have a person known in front of you, all my experiences (except for AXA) are positive, very positive for Allianz because I have very good contacts with my insurer, provided however to understand that insurance does not make a gift or a miracle and that an insurance does not mean that you are reimbursed, but just that 'We compensate you ... so it is better to protect yourself than to have very expensive insurance ^^.</v>
      </c>
    </row>
    <row r="168" ht="15.75" customHeight="1">
      <c r="A168" s="2">
        <v>2.0</v>
      </c>
      <c r="B168" s="2" t="s">
        <v>586</v>
      </c>
      <c r="C168" s="2" t="s">
        <v>587</v>
      </c>
      <c r="D168" s="2" t="s">
        <v>135</v>
      </c>
      <c r="E168" s="2" t="s">
        <v>60</v>
      </c>
      <c r="F168" s="2" t="s">
        <v>15</v>
      </c>
      <c r="G168" s="2" t="s">
        <v>588</v>
      </c>
      <c r="H168" s="2" t="s">
        <v>330</v>
      </c>
      <c r="I168" s="2" t="str">
        <f>IFERROR(__xludf.DUMMYFUNCTION("GOOGLETRANSLATE(C168,""fr"",""en"")"),"AMV is a Generali broker, so intermediary in addition, result, more than 40 days that I await the downstream of this insurance for repairs of my motorcycle while opposing insurance has recognized the twists of its client 100% He There are 40 days, the oth"&amp;"er vehicle has been redone for 1 month and I have to call every 2 days because I am not told anything apart we do not have the paper. So I might have my motorcycle in winter, always nice to pay insurance for nothing year -round being given that the right "&amp;"season only lasts 2 months in the mountains ...")</f>
        <v>AMV is a Generali broker, so intermediary in addition, result, more than 40 days that I await the downstream of this insurance for repairs of my motorcycle while opposing insurance has recognized the twists of its client 100% He There are 40 days, the other vehicle has been redone for 1 month and I have to call every 2 days because I am not told anything apart we do not have the paper. So I might have my motorcycle in winter, always nice to pay insurance for nothing year -round being given that the right season only lasts 2 months in the mountains ...</v>
      </c>
    </row>
    <row r="169" ht="15.75" customHeight="1">
      <c r="A169" s="2">
        <v>4.0</v>
      </c>
      <c r="B169" s="2" t="s">
        <v>589</v>
      </c>
      <c r="C169" s="2" t="s">
        <v>590</v>
      </c>
      <c r="D169" s="2" t="s">
        <v>65</v>
      </c>
      <c r="E169" s="2" t="s">
        <v>60</v>
      </c>
      <c r="F169" s="2" t="s">
        <v>15</v>
      </c>
      <c r="G169" s="2" t="s">
        <v>591</v>
      </c>
      <c r="H169" s="2" t="s">
        <v>52</v>
      </c>
      <c r="I169" s="2" t="str">
        <f>IFERROR(__xludf.DUMMYFUNCTION("GOOGLETRANSLATE(C169,""fr"",""en"")"),"The prices are attractive even if the first two months are higher I do not know why, for a 2007 SVS, € 95 for the first two then € 47 !!")</f>
        <v>The prices are attractive even if the first two months are higher I do not know why, for a 2007 SVS, € 95 for the first two then € 47 !!</v>
      </c>
    </row>
    <row r="170" ht="15.75" customHeight="1">
      <c r="A170" s="2">
        <v>5.0</v>
      </c>
      <c r="B170" s="2" t="s">
        <v>592</v>
      </c>
      <c r="C170" s="2" t="s">
        <v>593</v>
      </c>
      <c r="D170" s="2" t="s">
        <v>32</v>
      </c>
      <c r="E170" s="2" t="s">
        <v>21</v>
      </c>
      <c r="F170" s="2" t="s">
        <v>15</v>
      </c>
      <c r="G170" s="2" t="s">
        <v>594</v>
      </c>
      <c r="H170" s="2" t="s">
        <v>17</v>
      </c>
      <c r="I170" s="2" t="str">
        <f>IFERROR(__xludf.DUMMYFUNCTION("GOOGLETRANSLATE(C170,""fr"",""en"")"),"Excellent online service, the price is very good walking without skimp on quality and services, the offer is personalized and adapts to all needs")</f>
        <v>Excellent online service, the price is very good walking without skimp on quality and services, the offer is personalized and adapts to all needs</v>
      </c>
    </row>
    <row r="171" ht="15.75" customHeight="1">
      <c r="A171" s="2">
        <v>1.0</v>
      </c>
      <c r="B171" s="2" t="s">
        <v>595</v>
      </c>
      <c r="C171" s="2" t="s">
        <v>596</v>
      </c>
      <c r="D171" s="2" t="s">
        <v>183</v>
      </c>
      <c r="E171" s="2" t="s">
        <v>33</v>
      </c>
      <c r="F171" s="2" t="s">
        <v>15</v>
      </c>
      <c r="G171" s="2" t="s">
        <v>597</v>
      </c>
      <c r="H171" s="2" t="s">
        <v>598</v>
      </c>
      <c r="I171" s="2" t="str">
        <f>IFERROR(__xludf.DUMMYFUNCTION("GOOGLETRANSLATE(C171,""fr"",""en"")"),"Hello Following a home insurance quote in an agency in Moissac 82200 We have my subscriber without my agreement has a contract without having signed it beforehand 6 months after the agency tells me that I have a 2th housing contract I explain it that I ha"&amp;"ve nothing to sign she tells me that is that word against mine she sees my dissatisfaction she cancels the contract with nothing (neither letter, nor email ....) in short I decide to terminate my contracts I am taken from 200euros what's more. I will see "&amp;"her she tells me that it is the contract that she makes me subscribe and that threw bad times I said ok !!!!
So I ask him my or are my contract? Where is my schedule? Where is my Recumonde letter for termination?
She did not know how to answer me this w"&amp;"eek I see my lawyers I file a complaint for breach of trust and no levy authorization for an imaginary contract Allianz you take you what want to increase you when they want !!!")</f>
        <v>Hello Following a home insurance quote in an agency in Moissac 82200 We have my subscriber without my agreement has a contract without having signed it beforehand 6 months after the agency tells me that I have a 2th housing contract I explain it that I have nothing to sign she tells me that is that word against mine she sees my dissatisfaction she cancels the contract with nothing (neither letter, nor email ....) in short I decide to terminate my contracts I am taken from 200euros what's more. I will see her she tells me that it is the contract that she makes me subscribe and that threw bad times I said ok !!!!
So I ask him my or are my contract? Where is my schedule? Where is my Recumonde letter for termination?
She did not know how to answer me this week I see my lawyers I file a complaint for breach of trust and no levy authorization for an imaginary contract Allianz you take you what want to increase you when they want !!!</v>
      </c>
    </row>
    <row r="172" ht="15.75" customHeight="1">
      <c r="A172" s="2">
        <v>1.0</v>
      </c>
      <c r="B172" s="2" t="s">
        <v>599</v>
      </c>
      <c r="C172" s="2" t="s">
        <v>600</v>
      </c>
      <c r="D172" s="2" t="s">
        <v>263</v>
      </c>
      <c r="E172" s="2" t="s">
        <v>157</v>
      </c>
      <c r="F172" s="2" t="s">
        <v>15</v>
      </c>
      <c r="G172" s="2" t="s">
        <v>601</v>
      </c>
      <c r="H172" s="2" t="s">
        <v>29</v>
      </c>
      <c r="I172" s="2" t="str">
        <f>IFERROR(__xludf.DUMMYFUNCTION("GOOGLETRANSLATE(C172,""fr"",""en"")"),"I have been paying for a pension contract for Swisslife for several years. Today it has been 2 years that a file is open for a disability pension ... They do everything to discourage me and use all the techniques so as not to pay. A hassle and real bad fa"&amp;"ith! Sometimes several months of response to a single question. Medical reports of experts experts almost impossible to obtain.
In short, never go to them, you will never have your disability pension.
But I will not let go of them and I will go to justi"&amp;"ce if necessary even if it should take 10 years")</f>
        <v>I have been paying for a pension contract for Swisslife for several years. Today it has been 2 years that a file is open for a disability pension ... They do everything to discourage me and use all the techniques so as not to pay. A hassle and real bad faith! Sometimes several months of response to a single question. Medical reports of experts experts almost impossible to obtain.
In short, never go to them, you will never have your disability pension.
But I will not let go of them and I will go to justice if necessary even if it should take 10 years</v>
      </c>
    </row>
    <row r="173" ht="15.75" customHeight="1">
      <c r="A173" s="2">
        <v>4.0</v>
      </c>
      <c r="B173" s="2" t="s">
        <v>602</v>
      </c>
      <c r="C173" s="2" t="s">
        <v>603</v>
      </c>
      <c r="D173" s="2" t="s">
        <v>42</v>
      </c>
      <c r="E173" s="2" t="s">
        <v>21</v>
      </c>
      <c r="F173" s="2" t="s">
        <v>15</v>
      </c>
      <c r="G173" s="2" t="s">
        <v>537</v>
      </c>
      <c r="H173" s="2" t="s">
        <v>62</v>
      </c>
      <c r="I173" s="2" t="str">
        <f>IFERROR(__xludf.DUMMYFUNCTION("GOOGLETRANSLATE(C173,""fr"",""en"")"),"Very fast service I find that the price is very good we will see later if the services follow well in the event of a problem or other.
thank you for your speed")</f>
        <v>Very fast service I find that the price is very good we will see later if the services follow well in the event of a problem or other.
thank you for your speed</v>
      </c>
    </row>
    <row r="174" ht="15.75" customHeight="1">
      <c r="A174" s="2">
        <v>4.0</v>
      </c>
      <c r="B174" s="2" t="s">
        <v>604</v>
      </c>
      <c r="C174" s="2" t="s">
        <v>605</v>
      </c>
      <c r="D174" s="2" t="s">
        <v>129</v>
      </c>
      <c r="E174" s="2" t="s">
        <v>21</v>
      </c>
      <c r="F174" s="2" t="s">
        <v>15</v>
      </c>
      <c r="G174" s="2" t="s">
        <v>606</v>
      </c>
      <c r="H174" s="2" t="s">
        <v>39</v>
      </c>
      <c r="I174" s="2" t="str">
        <f>IFERROR(__xludf.DUMMYFUNCTION("GOOGLETRANSLATE(C174,""fr"",""en"")"),"Satisfied thank you
Ease of axxes to the online insurance service, and certificate of certificate for purchase of used vehicle to be quickly resolved. Restful of the paper certificate to drive which is a bit reassuring npn.
")</f>
        <v>Satisfied thank you
Ease of axxes to the online insurance service, and certificate of certificate for purchase of used vehicle to be quickly resolved. Restful of the paper certificate to drive which is a bit reassuring npn.
</v>
      </c>
    </row>
    <row r="175" ht="15.75" customHeight="1">
      <c r="A175" s="2">
        <v>3.0</v>
      </c>
      <c r="B175" s="2" t="s">
        <v>607</v>
      </c>
      <c r="C175" s="2" t="s">
        <v>608</v>
      </c>
      <c r="D175" s="2" t="s">
        <v>20</v>
      </c>
      <c r="E175" s="2" t="s">
        <v>33</v>
      </c>
      <c r="F175" s="2" t="s">
        <v>15</v>
      </c>
      <c r="G175" s="2" t="s">
        <v>609</v>
      </c>
      <c r="H175" s="2" t="s">
        <v>166</v>
      </c>
      <c r="I175" s="2" t="str">
        <f>IFERROR(__xludf.DUMMYFUNCTION("GOOGLETRANSLATE(C175,""fr"",""en"")"),"Good advice. Refunds are made quickly. The advisers say the same things. Good file follow -up. Reasonable price. There is advice on the site.")</f>
        <v>Good advice. Refunds are made quickly. The advisers say the same things. Good file follow -up. Reasonable price. There is advice on the site.</v>
      </c>
    </row>
    <row r="176" ht="15.75" customHeight="1">
      <c r="A176" s="2">
        <v>2.0</v>
      </c>
      <c r="B176" s="2" t="s">
        <v>610</v>
      </c>
      <c r="C176" s="2" t="s">
        <v>611</v>
      </c>
      <c r="D176" s="2" t="s">
        <v>32</v>
      </c>
      <c r="E176" s="2" t="s">
        <v>21</v>
      </c>
      <c r="F176" s="2" t="s">
        <v>15</v>
      </c>
      <c r="G176" s="2" t="s">
        <v>510</v>
      </c>
      <c r="H176" s="2" t="s">
        <v>29</v>
      </c>
      <c r="I176" s="2" t="str">
        <f>IFERROR(__xludf.DUMMYFUNCTION("GOOGLETRANSLATE(C176,""fr"",""en"")"),"A little expensive insurance by being young driver but easy and effective procedures. However, this remains the cheapest insurance compared to others.")</f>
        <v>A little expensive insurance by being young driver but easy and effective procedures. However, this remains the cheapest insurance compared to others.</v>
      </c>
    </row>
    <row r="177" ht="15.75" customHeight="1">
      <c r="A177" s="2">
        <v>4.0</v>
      </c>
      <c r="B177" s="2" t="s">
        <v>612</v>
      </c>
      <c r="C177" s="2" t="s">
        <v>613</v>
      </c>
      <c r="D177" s="2" t="s">
        <v>81</v>
      </c>
      <c r="E177" s="2" t="s">
        <v>82</v>
      </c>
      <c r="F177" s="2" t="s">
        <v>15</v>
      </c>
      <c r="G177" s="2" t="s">
        <v>614</v>
      </c>
      <c r="H177" s="2" t="s">
        <v>52</v>
      </c>
      <c r="I177" s="2" t="str">
        <f>IFERROR(__xludf.DUMMYFUNCTION("GOOGLETRANSLATE(C177,""fr"",""en"")"),"About an error concerning the transmission of the third -party payment card, Maria by phone to customer service, solved the problem with efficiency. Very satisfied with his intervention and his kindness.")</f>
        <v>About an error concerning the transmission of the third -party payment card, Maria by phone to customer service, solved the problem with efficiency. Very satisfied with his intervention and his kindness.</v>
      </c>
    </row>
    <row r="178" ht="15.75" customHeight="1">
      <c r="A178" s="2">
        <v>4.0</v>
      </c>
      <c r="B178" s="2" t="s">
        <v>615</v>
      </c>
      <c r="C178" s="2" t="s">
        <v>616</v>
      </c>
      <c r="D178" s="2" t="s">
        <v>81</v>
      </c>
      <c r="E178" s="2" t="s">
        <v>82</v>
      </c>
      <c r="F178" s="2" t="s">
        <v>15</v>
      </c>
      <c r="G178" s="2" t="s">
        <v>617</v>
      </c>
      <c r="H178" s="2" t="s">
        <v>618</v>
      </c>
      <c r="I178" s="2" t="str">
        <f>IFERROR(__xludf.DUMMYFUNCTION("GOOGLETRANSLATE(C178,""fr"",""en"")"),"Very warm welcome and responses by Erika.")</f>
        <v>Very warm welcome and responses by Erika.</v>
      </c>
    </row>
    <row r="179" ht="15.75" customHeight="1">
      <c r="A179" s="2">
        <v>4.0</v>
      </c>
      <c r="B179" s="2" t="s">
        <v>619</v>
      </c>
      <c r="C179" s="2" t="s">
        <v>620</v>
      </c>
      <c r="D179" s="2" t="s">
        <v>42</v>
      </c>
      <c r="E179" s="2" t="s">
        <v>21</v>
      </c>
      <c r="F179" s="2" t="s">
        <v>15</v>
      </c>
      <c r="G179" s="2" t="s">
        <v>621</v>
      </c>
      <c r="H179" s="2" t="s">
        <v>62</v>
      </c>
      <c r="I179" s="2" t="str">
        <f>IFERROR(__xludf.DUMMYFUNCTION("GOOGLETRANSLATE(C179,""fr"",""en"")"),"Satisfied, well accompanied during the telephone exchange, the person was very professional and gave very clear explanations. Reading and signature of the very simple contract. thank you")</f>
        <v>Satisfied, well accompanied during the telephone exchange, the person was very professional and gave very clear explanations. Reading and signature of the very simple contract. thank you</v>
      </c>
    </row>
    <row r="180" ht="15.75" customHeight="1">
      <c r="A180" s="2">
        <v>3.0</v>
      </c>
      <c r="B180" s="2" t="s">
        <v>622</v>
      </c>
      <c r="C180" s="2" t="s">
        <v>623</v>
      </c>
      <c r="D180" s="2" t="s">
        <v>32</v>
      </c>
      <c r="E180" s="2" t="s">
        <v>21</v>
      </c>
      <c r="F180" s="2" t="s">
        <v>15</v>
      </c>
      <c r="G180" s="2" t="s">
        <v>234</v>
      </c>
      <c r="H180" s="2" t="s">
        <v>29</v>
      </c>
      <c r="I180" s="2" t="str">
        <f>IFERROR(__xludf.DUMMYFUNCTION("GOOGLETRANSLATE(C180,""fr"",""en"")"),"Price too classic relations to others and with less more than the quotes made in other agencies but the advantage is the speed of implementation")</f>
        <v>Price too classic relations to others and with less more than the quotes made in other agencies but the advantage is the speed of implementation</v>
      </c>
    </row>
    <row r="181" ht="15.75" customHeight="1">
      <c r="A181" s="2">
        <v>1.0</v>
      </c>
      <c r="B181" s="2" t="s">
        <v>624</v>
      </c>
      <c r="C181" s="2" t="s">
        <v>625</v>
      </c>
      <c r="D181" s="2" t="s">
        <v>200</v>
      </c>
      <c r="E181" s="2" t="s">
        <v>21</v>
      </c>
      <c r="F181" s="2" t="s">
        <v>15</v>
      </c>
      <c r="G181" s="2" t="s">
        <v>626</v>
      </c>
      <c r="H181" s="2" t="s">
        <v>78</v>
      </c>
      <c r="I181" s="2" t="str">
        <f>IFERROR(__xludf.DUMMYFUNCTION("GOOGLETRANSLATE(C181,""fr"",""en"")"),"If you thought you had found a quality /price ratio by choosing Eurofil, you are in error !!!
You discover, unfortunately and late, that it is low cost insurance.
Indeed, to offer pricing, which at first sight, could seem advantageous, the quality of se"&amp;"rvice is less.
For my part, I discover that following an accident on the highway for which I am not responsible, I am forced to dismember to be repaired from the place of accident, that I have no loan car, and that I do not even benefit from a taxi that "&amp;"could drop me off on a vehicle rental center. In addition, the approved garages to which the insurer runs you, do not have coutoisie vehicles. You must juggle by phone, between different services. There is no fluidity, or even coordination between service"&amp;"s. It is only the first stage of this accident. I dare not imagine the next !!
A word of advice? .... Flee !!!
At an almost equal price and much higher services, I invite you, for those who are there, not to leave GMF
With this beginning of experience,"&amp;" for my part, I will return in a few months.
The few euros won do not justify such an aberration")</f>
        <v>If you thought you had found a quality /price ratio by choosing Eurofil, you are in error !!!
You discover, unfortunately and late, that it is low cost insurance.
Indeed, to offer pricing, which at first sight, could seem advantageous, the quality of service is less.
For my part, I discover that following an accident on the highway for which I am not responsible, I am forced to dismember to be repaired from the place of accident, that I have no loan car, and that I do not even benefit from a taxi that could drop me off on a vehicle rental center. In addition, the approved garages to which the insurer runs you, do not have coutoisie vehicles. You must juggle by phone, between different services. There is no fluidity, or even coordination between services. It is only the first stage of this accident. I dare not imagine the next !!
A word of advice? .... Flee !!!
At an almost equal price and much higher services, I invite you, for those who are there, not to leave GMF
With this beginning of experience, for my part, I will return in a few months.
The few euros won do not justify such an aberration</v>
      </c>
    </row>
    <row r="182" ht="15.75" customHeight="1">
      <c r="A182" s="2">
        <v>5.0</v>
      </c>
      <c r="B182" s="2" t="s">
        <v>627</v>
      </c>
      <c r="C182" s="2" t="s">
        <v>628</v>
      </c>
      <c r="D182" s="2" t="s">
        <v>65</v>
      </c>
      <c r="E182" s="2" t="s">
        <v>60</v>
      </c>
      <c r="F182" s="2" t="s">
        <v>15</v>
      </c>
      <c r="G182" s="2" t="s">
        <v>500</v>
      </c>
      <c r="H182" s="2" t="s">
        <v>62</v>
      </c>
      <c r="I182" s="2" t="str">
        <f>IFERROR(__xludf.DUMMYFUNCTION("GOOGLETRANSLATE(C182,""fr"",""en"")"),"Price and guarantees very well from or my insurance recovery in you as soon as I buy my motorcycle comparison with large motorcycle group you are well placed continue")</f>
        <v>Price and guarantees very well from or my insurance recovery in you as soon as I buy my motorcycle comparison with large motorcycle group you are well placed continue</v>
      </c>
    </row>
    <row r="183" ht="15.75" customHeight="1">
      <c r="A183" s="2">
        <v>2.0</v>
      </c>
      <c r="B183" s="2" t="s">
        <v>629</v>
      </c>
      <c r="C183" s="2" t="s">
        <v>630</v>
      </c>
      <c r="D183" s="2" t="s">
        <v>20</v>
      </c>
      <c r="E183" s="2" t="s">
        <v>21</v>
      </c>
      <c r="F183" s="2" t="s">
        <v>15</v>
      </c>
      <c r="G183" s="2" t="s">
        <v>631</v>
      </c>
      <c r="H183" s="2" t="s">
        <v>632</v>
      </c>
      <c r="I183" s="2" t="str">
        <f>IFERROR(__xludf.DUMMYFUNCTION("GOOGLETRANSLATE(C183,""fr"",""en"")"),"Following an accident we discovered that a member of my family is epiliptic (she forgot everything about this accident). She first filed a complaint to the gendarmerie that what had damaged her car in a parking lot, following a gendarmerie investigation h"&amp;"e turns out that she was responsible for an accident (or there is had only material damage), and following the harassment of the insurance of the other person she modified her declaration to the gendarmerie. From this person no longer drives, following th"&amp;"e doctor's advice, and the MAIF has requested the reimbursement of the vehicle's repair costs. The son of this person set up an Aupres de la Maif file, then the file was closed according to the agent of the MAIF. A few months later, the MAIF again request"&amp;"s the reimbursement (was the file reopened? We were lied to telling us that the file was closed?) And since that time the person respects what he To recommend the doctor, she does not drive ...")</f>
        <v>Following an accident we discovered that a member of my family is epiliptic (she forgot everything about this accident). She first filed a complaint to the gendarmerie that what had damaged her car in a parking lot, following a gendarmerie investigation he turns out that she was responsible for an accident (or there is had only material damage), and following the harassment of the insurance of the other person she modified her declaration to the gendarmerie. From this person no longer drives, following the doctor's advice, and the MAIF has requested the reimbursement of the vehicle's repair costs. The son of this person set up an Aupres de la Maif file, then the file was closed according to the agent of the MAIF. A few months later, the MAIF again requests the reimbursement (was the file reopened? We were lied to telling us that the file was closed?) And since that time the person respects what he To recommend the doctor, she does not drive ...</v>
      </c>
    </row>
    <row r="184" ht="15.75" customHeight="1">
      <c r="A184" s="2">
        <v>4.0</v>
      </c>
      <c r="B184" s="2" t="s">
        <v>633</v>
      </c>
      <c r="C184" s="2" t="s">
        <v>634</v>
      </c>
      <c r="D184" s="2" t="s">
        <v>32</v>
      </c>
      <c r="E184" s="2" t="s">
        <v>21</v>
      </c>
      <c r="F184" s="2" t="s">
        <v>15</v>
      </c>
      <c r="G184" s="2" t="s">
        <v>635</v>
      </c>
      <c r="H184" s="2" t="s">
        <v>62</v>
      </c>
      <c r="I184" s="2" t="str">
        <f>IFERROR(__xludf.DUMMYFUNCTION("GOOGLETRANSLATE(C184,""fr"",""en"")"),"Direct Insurance very easy registration a little quick quick to see for the future in the event of a claim otherwise the site very good it too")</f>
        <v>Direct Insurance very easy registration a little quick quick to see for the future in the event of a claim otherwise the site very good it too</v>
      </c>
    </row>
    <row r="185" ht="15.75" customHeight="1">
      <c r="A185" s="2">
        <v>1.0</v>
      </c>
      <c r="B185" s="2" t="s">
        <v>636</v>
      </c>
      <c r="C185" s="2" t="s">
        <v>637</v>
      </c>
      <c r="D185" s="2" t="s">
        <v>90</v>
      </c>
      <c r="E185" s="2" t="s">
        <v>82</v>
      </c>
      <c r="F185" s="2" t="s">
        <v>15</v>
      </c>
      <c r="G185" s="2" t="s">
        <v>638</v>
      </c>
      <c r="H185" s="2" t="s">
        <v>44</v>
      </c>
      <c r="I185" s="2" t="str">
        <f>IFERROR(__xludf.DUMMYFUNCTION("GOOGLETRANSLATE(C185,""fr"",""en"")"),"2 months of untreated files but monthly levy not forgotten and not reimburse. I called 10 times having the same unparalleled response.
And the icing on the cake, a counselor hooked on me on the phone, no confusion on my part, just an explanation of my si"&amp;"tuation and my desire to be reimbursed as Harmonie had made me hope so well who according to The statements of the last advisor ""No trace of this request, so it will not be successful"".
I am shocked by this advisor. The calls being recorded, make sure "&amp;"to have competent advisers who do not act on the phone to ultimately hang up without the customer said anything.")</f>
        <v>2 months of untreated files but monthly levy not forgotten and not reimburse. I called 10 times having the same unparalleled response.
And the icing on the cake, a counselor hooked on me on the phone, no confusion on my part, just an explanation of my situation and my desire to be reimbursed as Harmonie had made me hope so well who according to The statements of the last advisor "No trace of this request, so it will not be successful".
I am shocked by this advisor. The calls being recorded, make sure to have competent advisers who do not act on the phone to ultimately hang up without the customer said anything.</v>
      </c>
    </row>
    <row r="186" ht="15.75" customHeight="1">
      <c r="A186" s="2">
        <v>2.0</v>
      </c>
      <c r="B186" s="2" t="s">
        <v>639</v>
      </c>
      <c r="C186" s="2" t="s">
        <v>640</v>
      </c>
      <c r="D186" s="2" t="s">
        <v>641</v>
      </c>
      <c r="E186" s="2" t="s">
        <v>33</v>
      </c>
      <c r="F186" s="2" t="s">
        <v>15</v>
      </c>
      <c r="G186" s="2" t="s">
        <v>56</v>
      </c>
      <c r="H186" s="2" t="s">
        <v>56</v>
      </c>
      <c r="I186" s="2" t="str">
        <f>IFERROR(__xludf.DUMMYFUNCTION("GOOGLETRANSLATE(C186,""fr"",""en"")"),"Hello
On the insurance itself I have nothing to reproach but the welcome in Châteauroux is deplorable: you enter a hall, 6 glass offices around you no one is looking at you you stay there knowing what to do.
At least 20 minutes after someone deigns hell"&amp;"o to you and that a person will take care of you.
When tired of waiting you end up leaving, you have, at least lost 1 hour of your life, you have exceeded the parking hour for your car and you are looking for another insurer hoping that the customer will"&amp;" be treated with dignity.")</f>
        <v>Hello
On the insurance itself I have nothing to reproach but the welcome in Châteauroux is deplorable: you enter a hall, 6 glass offices around you no one is looking at you you stay there knowing what to do.
At least 20 minutes after someone deigns hello to you and that a person will take care of you.
When tired of waiting you end up leaving, you have, at least lost 1 hour of your life, you have exceeded the parking hour for your car and you are looking for another insurer hoping that the customer will be treated with dignity.</v>
      </c>
    </row>
    <row r="187" ht="15.75" customHeight="1">
      <c r="A187" s="2">
        <v>2.0</v>
      </c>
      <c r="B187" s="2" t="s">
        <v>642</v>
      </c>
      <c r="C187" s="2" t="s">
        <v>643</v>
      </c>
      <c r="D187" s="2" t="s">
        <v>65</v>
      </c>
      <c r="E187" s="2" t="s">
        <v>60</v>
      </c>
      <c r="F187" s="2" t="s">
        <v>15</v>
      </c>
      <c r="G187" s="2" t="s">
        <v>644</v>
      </c>
      <c r="H187" s="2" t="s">
        <v>439</v>
      </c>
      <c r="I187" s="2" t="str">
        <f>IFERROR(__xludf.DUMMYFUNCTION("GOOGLETRANSLATE(C187,""fr"",""en"")"),"Insured at April Moto for several years now. And following a very attractive price when registering almost 10 years ago the price continues to increase and having done a small search on the Internet realizes that if I will be new customers I will pay 50 %"&amp;" cheaper.")</f>
        <v>Insured at April Moto for several years now. And following a very attractive price when registering almost 10 years ago the price continues to increase and having done a small search on the Internet realizes that if I will be new customers I will pay 50 % cheaper.</v>
      </c>
    </row>
    <row r="188" ht="15.75" customHeight="1">
      <c r="A188" s="2">
        <v>2.0</v>
      </c>
      <c r="B188" s="2" t="s">
        <v>645</v>
      </c>
      <c r="C188" s="2" t="s">
        <v>646</v>
      </c>
      <c r="D188" s="2" t="s">
        <v>200</v>
      </c>
      <c r="E188" s="2" t="s">
        <v>21</v>
      </c>
      <c r="F188" s="2" t="s">
        <v>15</v>
      </c>
      <c r="G188" s="2" t="s">
        <v>647</v>
      </c>
      <c r="H188" s="2" t="s">
        <v>531</v>
      </c>
      <c r="I188" s="2" t="str">
        <f>IFERROR(__xludf.DUMMYFUNCTION("GOOGLETRANSLATE(C188,""fr"",""en"")"),"No news since the decline of claim on January 9 and after the expert's passage on January 13, since no telephone contact")</f>
        <v>No news since the decline of claim on January 9 and after the expert's passage on January 13, since no telephone contact</v>
      </c>
    </row>
    <row r="189" ht="15.75" customHeight="1">
      <c r="A189" s="2">
        <v>1.0</v>
      </c>
      <c r="B189" s="2" t="s">
        <v>648</v>
      </c>
      <c r="C189" s="2" t="s">
        <v>649</v>
      </c>
      <c r="D189" s="2" t="s">
        <v>650</v>
      </c>
      <c r="E189" s="2" t="s">
        <v>33</v>
      </c>
      <c r="F189" s="2" t="s">
        <v>15</v>
      </c>
      <c r="G189" s="2" t="s">
        <v>651</v>
      </c>
      <c r="H189" s="2" t="s">
        <v>278</v>
      </c>
      <c r="I189" s="2" t="str">
        <f>IFERROR(__xludf.DUMMYFUNCTION("GOOGLETRANSLATE(C189,""fr"",""en"")"),"Disgusted I am returned on 36 different numbers for no warranty behind in the end I pay for in the end to be assured on almost improbable or very rare criteria I subscribed to the blind I will pay much more attention to whom I will trust in a next Change "&amp;"insurance very soon goodbye sogessur no compassion for customers")</f>
        <v>Disgusted I am returned on 36 different numbers for no warranty behind in the end I pay for in the end to be assured on almost improbable or very rare criteria I subscribed to the blind I will pay much more attention to whom I will trust in a next Change insurance very soon goodbye sogessur no compassion for customers</v>
      </c>
    </row>
    <row r="190" ht="15.75" customHeight="1">
      <c r="A190" s="2">
        <v>4.0</v>
      </c>
      <c r="B190" s="2" t="s">
        <v>652</v>
      </c>
      <c r="C190" s="2" t="s">
        <v>653</v>
      </c>
      <c r="D190" s="2" t="s">
        <v>42</v>
      </c>
      <c r="E190" s="2" t="s">
        <v>21</v>
      </c>
      <c r="F190" s="2" t="s">
        <v>15</v>
      </c>
      <c r="G190" s="2" t="s">
        <v>132</v>
      </c>
      <c r="H190" s="2" t="s">
        <v>104</v>
      </c>
      <c r="I190" s="2" t="str">
        <f>IFERROR(__xludf.DUMMYFUNCTION("GOOGLETRANSLATE(C190,""fr"",""en"")"),"The assistant I had on the phone is very competent and friendly. The information requested is done effectively and precisely. It is very good !
")</f>
        <v>The assistant I had on the phone is very competent and friendly. The information requested is done effectively and precisely. It is very good !
</v>
      </c>
    </row>
    <row r="191" ht="15.75" customHeight="1">
      <c r="A191" s="2">
        <v>1.0</v>
      </c>
      <c r="B191" s="2" t="s">
        <v>654</v>
      </c>
      <c r="C191" s="2" t="s">
        <v>655</v>
      </c>
      <c r="D191" s="2" t="s">
        <v>656</v>
      </c>
      <c r="E191" s="2" t="s">
        <v>14</v>
      </c>
      <c r="F191" s="2" t="s">
        <v>15</v>
      </c>
      <c r="G191" s="2" t="s">
        <v>657</v>
      </c>
      <c r="H191" s="2" t="s">
        <v>632</v>
      </c>
      <c r="I191" s="2" t="str">
        <f>IFERROR(__xludf.DUMMYFUNCTION("GOOGLETRANSLATE(C191,""fr"",""en"")"),"Insurance that only knows how to take the money from people who subscribe to their homes thinking of having honest insurance but who is far from being I expect a refund for a veterinary visit and it will soon be a month that I Always have nothing next to "&amp;"that he takes me for a liar and finds all the pretexts so as not to cover the costs when the animal has problems. When they are asked to remember of course Madam he will remind you but I don't know when in fact it never means it hides behind email I will "&amp;"not make them good ad")</f>
        <v>Insurance that only knows how to take the money from people who subscribe to their homes thinking of having honest insurance but who is far from being I expect a refund for a veterinary visit and it will soon be a month that I Always have nothing next to that he takes me for a liar and finds all the pretexts so as not to cover the costs when the animal has problems. When they are asked to remember of course Madam he will remind you but I don't know when in fact it never means it hides behind email I will not make them good ad</v>
      </c>
    </row>
    <row r="192" ht="15.75" customHeight="1">
      <c r="A192" s="2">
        <v>1.0</v>
      </c>
      <c r="B192" s="2" t="s">
        <v>658</v>
      </c>
      <c r="C192" s="2" t="s">
        <v>659</v>
      </c>
      <c r="D192" s="2" t="s">
        <v>20</v>
      </c>
      <c r="E192" s="2" t="s">
        <v>33</v>
      </c>
      <c r="F192" s="2" t="s">
        <v>15</v>
      </c>
      <c r="G192" s="2" t="s">
        <v>660</v>
      </c>
      <c r="H192" s="2" t="s">
        <v>661</v>
      </c>
      <c r="I192" s="2" t="str">
        <f>IFERROR(__xludf.DUMMYFUNCTION("GOOGLETRANSLATE(C192,""fr"",""en"")"),"My 1997 RAQVAM contract stipulated legal protection with exclusions. Protection of copyrights was not one of these exclusions. I have never authorized any modification of my initial contract. A lawyer's office tells me that with an old contract ensures th"&amp;"is type of risk. I cannot assert my rights, they try to pass on their new contract which supports copyrights but much less advantageous for the protection of the house !! They try to break the old contracts. I am very worried about what I am supposed to b"&amp;"e protected. I spend 2800 euros in insurance per year at home. I will resume my contracts, one by one and migrate to another insurance. I no longer trust something to change Maif !!")</f>
        <v>My 1997 RAQVAM contract stipulated legal protection with exclusions. Protection of copyrights was not one of these exclusions. I have never authorized any modification of my initial contract. A lawyer's office tells me that with an old contract ensures this type of risk. I cannot assert my rights, they try to pass on their new contract which supports copyrights but much less advantageous for the protection of the house !! They try to break the old contracts. I am very worried about what I am supposed to be protected. I spend 2800 euros in insurance per year at home. I will resume my contracts, one by one and migrate to another insurance. I no longer trust something to change Maif !!</v>
      </c>
    </row>
    <row r="193" ht="15.75" customHeight="1">
      <c r="A193" s="2">
        <v>1.0</v>
      </c>
      <c r="B193" s="2" t="s">
        <v>662</v>
      </c>
      <c r="C193" s="2" t="s">
        <v>663</v>
      </c>
      <c r="D193" s="2" t="s">
        <v>518</v>
      </c>
      <c r="E193" s="2" t="s">
        <v>60</v>
      </c>
      <c r="F193" s="2" t="s">
        <v>15</v>
      </c>
      <c r="G193" s="2" t="s">
        <v>664</v>
      </c>
      <c r="H193" s="2" t="s">
        <v>104</v>
      </c>
      <c r="I193" s="2" t="str">
        <f>IFERROR(__xludf.DUMMYFUNCTION("GOOGLETRANSLATE(C193,""fr"",""en"")"),"I am insured with the mutual of bikers, I just received my schedule when I saw the amount I thought it was a mistake suddenly I called the insurance, they explained the reason for The increase which is around 20%. I find it abused, I want to pay a little "&amp;"more but a small increase of 20% it will certainly be without me.")</f>
        <v>I am insured with the mutual of bikers, I just received my schedule when I saw the amount I thought it was a mistake suddenly I called the insurance, they explained the reason for The increase which is around 20%. I find it abused, I want to pay a little more but a small increase of 20% it will certainly be without me.</v>
      </c>
    </row>
    <row r="194" ht="15.75" customHeight="1">
      <c r="A194" s="2">
        <v>2.0</v>
      </c>
      <c r="B194" s="2" t="s">
        <v>665</v>
      </c>
      <c r="C194" s="2" t="s">
        <v>666</v>
      </c>
      <c r="D194" s="2" t="s">
        <v>200</v>
      </c>
      <c r="E194" s="2" t="s">
        <v>21</v>
      </c>
      <c r="F194" s="2" t="s">
        <v>15</v>
      </c>
      <c r="G194" s="2" t="s">
        <v>667</v>
      </c>
      <c r="H194" s="2" t="s">
        <v>23</v>
      </c>
      <c r="I194" s="2" t="str">
        <f>IFERROR(__xludf.DUMMYFUNCTION("GOOGLETRANSLATE(C194,""fr"",""en"")"),"It is a scandal! It's been two and a half months that I cannot recover my vehicle which is repaired at the garage following damage caused by a convenience store mandated by Eurofil themselves and which smashed my car on the journey. It's scandalous, Eurof"&amp;"il absolutely does not assume its responsibility in this file and deprives me of my vehicle. No communication possible with a manager! I have never seen that!")</f>
        <v>It is a scandal! It's been two and a half months that I cannot recover my vehicle which is repaired at the garage following damage caused by a convenience store mandated by Eurofil themselves and which smashed my car on the journey. It's scandalous, Eurofil absolutely does not assume its responsibility in this file and deprives me of my vehicle. No communication possible with a manager! I have never seen that!</v>
      </c>
    </row>
    <row r="195" ht="15.75" customHeight="1">
      <c r="A195" s="2">
        <v>3.0</v>
      </c>
      <c r="B195" s="2" t="s">
        <v>668</v>
      </c>
      <c r="C195" s="2" t="s">
        <v>669</v>
      </c>
      <c r="D195" s="2" t="s">
        <v>98</v>
      </c>
      <c r="E195" s="2" t="s">
        <v>21</v>
      </c>
      <c r="F195" s="2" t="s">
        <v>15</v>
      </c>
      <c r="G195" s="2" t="s">
        <v>670</v>
      </c>
      <c r="H195" s="2" t="s">
        <v>104</v>
      </c>
      <c r="I195" s="2" t="str">
        <f>IFERROR(__xludf.DUMMYFUNCTION("GOOGLETRANSLATE(C195,""fr"",""en"")"),"I have subscribed to auto insurance .. transmitted the documents for 10 days .. I receive emails asking me the documents, I call and tell me that they have everything is late. Result still no green card , and impossible to know where my file is. Not serio"&amp;"us at all, no information, nobody knows anything .. ??")</f>
        <v>I have subscribed to auto insurance .. transmitted the documents for 10 days .. I receive emails asking me the documents, I call and tell me that they have everything is late. Result still no green card , and impossible to know where my file is. Not serious at all, no information, nobody knows anything .. ??</v>
      </c>
    </row>
    <row r="196" ht="15.75" customHeight="1">
      <c r="A196" s="2">
        <v>1.0</v>
      </c>
      <c r="B196" s="2" t="s">
        <v>671</v>
      </c>
      <c r="C196" s="2" t="s">
        <v>672</v>
      </c>
      <c r="D196" s="2" t="s">
        <v>129</v>
      </c>
      <c r="E196" s="2" t="s">
        <v>21</v>
      </c>
      <c r="F196" s="2" t="s">
        <v>15</v>
      </c>
      <c r="G196" s="2" t="s">
        <v>146</v>
      </c>
      <c r="H196" s="2" t="s">
        <v>147</v>
      </c>
      <c r="I196" s="2" t="str">
        <f>IFERROR(__xludf.DUMMYFUNCTION("GOOGLETRANSLATE(C196,""fr"",""en"")"),"I think that's what we can call mosquitoes from modern times !!!")</f>
        <v>I think that's what we can call mosquitoes from modern times !!!</v>
      </c>
    </row>
    <row r="197" ht="15.75" customHeight="1">
      <c r="A197" s="2">
        <v>1.0</v>
      </c>
      <c r="B197" s="2" t="s">
        <v>673</v>
      </c>
      <c r="C197" s="2" t="s">
        <v>674</v>
      </c>
      <c r="D197" s="2" t="s">
        <v>59</v>
      </c>
      <c r="E197" s="2" t="s">
        <v>21</v>
      </c>
      <c r="F197" s="2" t="s">
        <v>15</v>
      </c>
      <c r="G197" s="2" t="s">
        <v>675</v>
      </c>
      <c r="H197" s="2" t="s">
        <v>676</v>
      </c>
      <c r="I197" s="2" t="str">
        <f>IFERROR(__xludf.DUMMYFUNCTION("GOOGLETRANSLATE(C197,""fr"",""en"")"),"Insurance that collects every month, but as soon as it is a question of repaying a disaster they all do so as not to pay ... by insinuating that I made a false statement for vandalism and I am stuck a responsibility at 100 % when my vehicle was parked! I "&amp;"feel humiliated when I am told that I made a false statement! After 6 years with you, it is my last vehicle that I assure at AXA! Very disappointed that I am treated like this ...
")</f>
        <v>Insurance that collects every month, but as soon as it is a question of repaying a disaster they all do so as not to pay ... by insinuating that I made a false statement for vandalism and I am stuck a responsibility at 100 % when my vehicle was parked! I feel humiliated when I am told that I made a false statement! After 6 years with you, it is my last vehicle that I assure at AXA! Very disappointed that I am treated like this ...
</v>
      </c>
    </row>
    <row r="198" ht="15.75" customHeight="1">
      <c r="A198" s="2">
        <v>1.0</v>
      </c>
      <c r="B198" s="2" t="s">
        <v>677</v>
      </c>
      <c r="C198" s="2" t="s">
        <v>678</v>
      </c>
      <c r="D198" s="2" t="s">
        <v>219</v>
      </c>
      <c r="E198" s="2" t="s">
        <v>220</v>
      </c>
      <c r="F198" s="2" t="s">
        <v>15</v>
      </c>
      <c r="G198" s="2" t="s">
        <v>431</v>
      </c>
      <c r="H198" s="2" t="s">
        <v>432</v>
      </c>
      <c r="I198" s="2" t="str">
        <f>IFERROR(__xludf.DUMMYFUNCTION("GOOGLETRANSLATE(C198,""fr"",""en"")"),"Several months (8) to touch the capital, with a game consisting in making the wrong address, change a document, ... and each time, while the file is complete, argue that there is a deadline for 'A month of treatment. All this to earn a few tens of euros i"&amp;"n interest?! Or are they struggling to release the cash? (That's how Madoff fell ..)")</f>
        <v>Several months (8) to touch the capital, with a game consisting in making the wrong address, change a document, ... and each time, while the file is complete, argue that there is a deadline for 'A month of treatment. All this to earn a few tens of euros in interest?! Or are they struggling to release the cash? (That's how Madoff fell ..)</v>
      </c>
    </row>
    <row r="199" ht="15.75" customHeight="1">
      <c r="A199" s="2">
        <v>4.0</v>
      </c>
      <c r="B199" s="2" t="s">
        <v>679</v>
      </c>
      <c r="C199" s="2" t="s">
        <v>680</v>
      </c>
      <c r="D199" s="2" t="s">
        <v>298</v>
      </c>
      <c r="E199" s="2" t="s">
        <v>157</v>
      </c>
      <c r="F199" s="2" t="s">
        <v>15</v>
      </c>
      <c r="G199" s="2" t="s">
        <v>681</v>
      </c>
      <c r="H199" s="2" t="s">
        <v>35</v>
      </c>
      <c r="I199" s="2" t="str">
        <f>IFERROR(__xludf.DUMMYFUNCTION("GOOGLETRANSLATE(C199,""fr"",""en"")"),"I have been an interior member for several years. A year ago I was hospitalized and discovered the services of the mutual during this period of hospitalization.")</f>
        <v>I have been an interior member for several years. A year ago I was hospitalized and discovered the services of the mutual during this period of hospitalization.</v>
      </c>
    </row>
    <row r="200" ht="15.75" customHeight="1">
      <c r="A200" s="2">
        <v>2.0</v>
      </c>
      <c r="B200" s="2" t="s">
        <v>682</v>
      </c>
      <c r="C200" s="2" t="s">
        <v>683</v>
      </c>
      <c r="D200" s="2" t="s">
        <v>42</v>
      </c>
      <c r="E200" s="2" t="s">
        <v>21</v>
      </c>
      <c r="F200" s="2" t="s">
        <v>15</v>
      </c>
      <c r="G200" s="2" t="s">
        <v>333</v>
      </c>
      <c r="H200" s="2" t="s">
        <v>48</v>
      </c>
      <c r="I200" s="2" t="str">
        <f>IFERROR(__xludf.DUMMYFUNCTION("GOOGLETRANSLATE(C200,""fr"",""en"")"),"- I am generally satisfied with the service and the conditions of the contract.
- Prices also suit me, as well as the responsiveness of the service.
")</f>
        <v>- I am generally satisfied with the service and the conditions of the contract.
- Prices also suit me, as well as the responsiveness of the service.
</v>
      </c>
    </row>
    <row r="201" ht="15.75" customHeight="1">
      <c r="A201" s="2">
        <v>4.0</v>
      </c>
      <c r="B201" s="2" t="s">
        <v>684</v>
      </c>
      <c r="C201" s="2" t="s">
        <v>685</v>
      </c>
      <c r="D201" s="2" t="s">
        <v>42</v>
      </c>
      <c r="E201" s="2" t="s">
        <v>21</v>
      </c>
      <c r="F201" s="2" t="s">
        <v>15</v>
      </c>
      <c r="G201" s="2" t="s">
        <v>686</v>
      </c>
      <c r="H201" s="2" t="s">
        <v>104</v>
      </c>
      <c r="I201" s="2" t="str">
        <f>IFERROR(__xludf.DUMMYFUNCTION("GOOGLETRANSLATE(C201,""fr"",""en"")"),"Pending to be able to give a real opinion, for the moment on the phone I have been advised. The prices are attractive remains to be seen if all this will always be topical in the coming years.
")</f>
        <v>Pending to be able to give a real opinion, for the moment on the phone I have been advised. The prices are attractive remains to be seen if all this will always be topical in the coming years.
</v>
      </c>
    </row>
    <row r="202" ht="15.75" customHeight="1">
      <c r="A202" s="2">
        <v>1.0</v>
      </c>
      <c r="B202" s="2" t="s">
        <v>687</v>
      </c>
      <c r="C202" s="2" t="s">
        <v>688</v>
      </c>
      <c r="D202" s="2" t="s">
        <v>641</v>
      </c>
      <c r="E202" s="2" t="s">
        <v>33</v>
      </c>
      <c r="F202" s="2" t="s">
        <v>15</v>
      </c>
      <c r="G202" s="2" t="s">
        <v>689</v>
      </c>
      <c r="H202" s="2" t="s">
        <v>661</v>
      </c>
      <c r="I202" s="2" t="str">
        <f>IFERROR(__xludf.DUMMYFUNCTION("GOOGLETRANSLATE(C202,""fr"",""en"")"),"When it comes to paying the contributions no worries, everything is going well.")</f>
        <v>When it comes to paying the contributions no worries, everything is going well.</v>
      </c>
    </row>
    <row r="203" ht="15.75" customHeight="1">
      <c r="A203" s="2">
        <v>2.0</v>
      </c>
      <c r="B203" s="2" t="s">
        <v>690</v>
      </c>
      <c r="C203" s="2" t="s">
        <v>691</v>
      </c>
      <c r="D203" s="2" t="s">
        <v>135</v>
      </c>
      <c r="E203" s="2" t="s">
        <v>60</v>
      </c>
      <c r="F203" s="2" t="s">
        <v>15</v>
      </c>
      <c r="G203" s="2" t="s">
        <v>234</v>
      </c>
      <c r="H203" s="2" t="s">
        <v>29</v>
      </c>
      <c r="I203" s="2" t="str">
        <f>IFERROR(__xludf.DUMMYFUNCTION("GOOGLETRANSLATE(C203,""fr"",""en"")"),"Hello
After a year of insurance for my jetski, once the sale has been established, Amv announces to me that out of 25 € monthly I will continue to pay 8 € monthly for a year.
Terrible is my feeling ...
I have no use, I just have to wait for the renew"&amp;"al of my contract and not respond
I do not recommend AMV for Jetski
")</f>
        <v>Hello
After a year of insurance for my jetski, once the sale has been established, Amv announces to me that out of 25 € monthly I will continue to pay 8 € monthly for a year.
Terrible is my feeling ...
I have no use, I just have to wait for the renewal of my contract and not respond
I do not recommend AMV for Jetski
</v>
      </c>
    </row>
    <row r="204" ht="15.75" customHeight="1">
      <c r="A204" s="2">
        <v>2.0</v>
      </c>
      <c r="B204" s="2" t="s">
        <v>692</v>
      </c>
      <c r="C204" s="2" t="s">
        <v>693</v>
      </c>
      <c r="D204" s="2" t="s">
        <v>32</v>
      </c>
      <c r="E204" s="2" t="s">
        <v>21</v>
      </c>
      <c r="F204" s="2" t="s">
        <v>15</v>
      </c>
      <c r="G204" s="2" t="s">
        <v>694</v>
      </c>
      <c r="H204" s="2" t="s">
        <v>206</v>
      </c>
      <c r="I204" s="2" t="str">
        <f>IFERROR(__xludf.DUMMYFUNCTION("GOOGLETRANSLATE(C204,""fr"",""en"")"),"Big problems with our auto contracts:
1. Confusions of names on our contracts: I found myself the owner of my spouse's car, or a gray card with his name.
2. Bad license plate enter their system.
3. Loss of unexplained bonuses: when I terminate with the"&amp;"m I realized that I paid for a bonus of 0.90 instead of 0.80. Bonus lost without any explanation. Today, they make no gesture when my husband is still insured there when the too much paid is reimbursed.
4. Information statement with erroneous information"&amp;", impossible according to changing it ...
Does not recommend at all.
")</f>
        <v>Big problems with our auto contracts:
1. Confusions of names on our contracts: I found myself the owner of my spouse's car, or a gray card with his name.
2. Bad license plate enter their system.
3. Loss of unexplained bonuses: when I terminate with them I realized that I paid for a bonus of 0.90 instead of 0.80. Bonus lost without any explanation. Today, they make no gesture when my husband is still insured there when the too much paid is reimbursed.
4. Information statement with erroneous information, impossible according to changing it ...
Does not recommend at all.
</v>
      </c>
    </row>
    <row r="205" ht="15.75" customHeight="1">
      <c r="A205" s="2">
        <v>2.0</v>
      </c>
      <c r="B205" s="2" t="s">
        <v>695</v>
      </c>
      <c r="C205" s="2" t="s">
        <v>696</v>
      </c>
      <c r="D205" s="2" t="s">
        <v>42</v>
      </c>
      <c r="E205" s="2" t="s">
        <v>21</v>
      </c>
      <c r="F205" s="2" t="s">
        <v>15</v>
      </c>
      <c r="G205" s="2" t="s">
        <v>537</v>
      </c>
      <c r="H205" s="2" t="s">
        <v>62</v>
      </c>
      <c r="I205" s="2" t="str">
        <f>IFERROR(__xludf.DUMMYFUNCTION("GOOGLETRANSLATE(C205,""fr"",""en"")"),"To transfer a car insurance to a new car, what a hassle! More than 30 'with sales service yesterday and I must now call customer service to cancel the old car.
Back to prehistoric times .... a single agent necessary and there was no need to restore all t"&amp;"he information from A to Z Ville du I was a new customer! Catastrophic!")</f>
        <v>To transfer a car insurance to a new car, what a hassle! More than 30 'with sales service yesterday and I must now call customer service to cancel the old car.
Back to prehistoric times .... a single agent necessary and there was no need to restore all the information from A to Z Ville du I was a new customer! Catastrophic!</v>
      </c>
    </row>
    <row r="206" ht="15.75" customHeight="1">
      <c r="A206" s="2">
        <v>5.0</v>
      </c>
      <c r="B206" s="2" t="s">
        <v>697</v>
      </c>
      <c r="C206" s="2" t="s">
        <v>698</v>
      </c>
      <c r="D206" s="2" t="s">
        <v>81</v>
      </c>
      <c r="E206" s="2" t="s">
        <v>82</v>
      </c>
      <c r="F206" s="2" t="s">
        <v>15</v>
      </c>
      <c r="G206" s="2" t="s">
        <v>699</v>
      </c>
      <c r="H206" s="2" t="s">
        <v>166</v>
      </c>
      <c r="I206" s="2" t="str">
        <f>IFERROR(__xludf.DUMMYFUNCTION("GOOGLETRANSLATE(C206,""fr"",""en"")"),"Satisfactory guarantees. Problem response to mail and phone. poorly supported dental and hearing care.")</f>
        <v>Satisfactory guarantees. Problem response to mail and phone. poorly supported dental and hearing care.</v>
      </c>
    </row>
    <row r="207" ht="15.75" customHeight="1">
      <c r="A207" s="2">
        <v>1.0</v>
      </c>
      <c r="B207" s="2" t="s">
        <v>700</v>
      </c>
      <c r="C207" s="2" t="s">
        <v>701</v>
      </c>
      <c r="D207" s="2" t="s">
        <v>303</v>
      </c>
      <c r="E207" s="2" t="s">
        <v>21</v>
      </c>
      <c r="F207" s="2" t="s">
        <v>15</v>
      </c>
      <c r="G207" s="2" t="s">
        <v>702</v>
      </c>
      <c r="H207" s="2" t="s">
        <v>405</v>
      </c>
      <c r="I207" s="2" t="str">
        <f>IFERROR(__xludf.DUMMYFUNCTION("GOOGLETRANSLATE(C207,""fr"",""en"")"),"Refusal of the insurer to terminate my car contract following the sale of my vehicle in the garage.
Photocopy of the GRISE CARD Rayer and signed with the date of the sale send. I am told that this is not enough. I send proof of the transfer of the vehicl"&amp;"e to sign by the garage and I even send by email have replied that this is not enough because I do not appear in their database (accessible via the prefecture) of vehicle sold.
Excluding the prefecture in June/July/August cannot process requests so quick"&amp;"ly.
Result have continued to take the amount of insurance for me when I no longer have the vehicle impossible to terminate.
I am waiting for the insurance mediator to find a solution ....")</f>
        <v>Refusal of the insurer to terminate my car contract following the sale of my vehicle in the garage.
Photocopy of the GRISE CARD Rayer and signed with the date of the sale send. I am told that this is not enough. I send proof of the transfer of the vehicle to sign by the garage and I even send by email have replied that this is not enough because I do not appear in their database (accessible via the prefecture) of vehicle sold.
Excluding the prefecture in June/July/August cannot process requests so quickly.
Result have continued to take the amount of insurance for me when I no longer have the vehicle impossible to terminate.
I am waiting for the insurance mediator to find a solution ....</v>
      </c>
    </row>
    <row r="208" ht="15.75" customHeight="1">
      <c r="A208" s="2">
        <v>5.0</v>
      </c>
      <c r="B208" s="2" t="s">
        <v>703</v>
      </c>
      <c r="C208" s="2" t="s">
        <v>704</v>
      </c>
      <c r="D208" s="2" t="s">
        <v>42</v>
      </c>
      <c r="E208" s="2" t="s">
        <v>21</v>
      </c>
      <c r="F208" s="2" t="s">
        <v>15</v>
      </c>
      <c r="G208" s="2" t="s">
        <v>705</v>
      </c>
      <c r="H208" s="2" t="s">
        <v>29</v>
      </c>
      <c r="I208" s="2" t="str">
        <f>IFERROR(__xludf.DUMMYFUNCTION("GOOGLETRANSLATE(C208,""fr"",""en"")"),"Completely satisfied with the service, I needed insurance quickly and has a lower cost and the Olivier Insurance met all my expectations.")</f>
        <v>Completely satisfied with the service, I needed insurance quickly and has a lower cost and the Olivier Insurance met all my expectations.</v>
      </c>
    </row>
    <row r="209" ht="15.75" customHeight="1">
      <c r="A209" s="2">
        <v>4.0</v>
      </c>
      <c r="B209" s="2" t="s">
        <v>706</v>
      </c>
      <c r="C209" s="2" t="s">
        <v>707</v>
      </c>
      <c r="D209" s="2" t="s">
        <v>32</v>
      </c>
      <c r="E209" s="2" t="s">
        <v>21</v>
      </c>
      <c r="F209" s="2" t="s">
        <v>15</v>
      </c>
      <c r="G209" s="2" t="s">
        <v>708</v>
      </c>
      <c r="H209" s="2" t="s">
        <v>287</v>
      </c>
      <c r="I209" s="2" t="str">
        <f>IFERROR(__xludf.DUMMYFUNCTION("GOOGLETRANSLATE(C209,""fr"",""en"")"),"It's quite simple, practical
I regret that there is no mention of the franchises
However, the prices are difficult to evaluable because they are very close to the competition except with the box that I ask to see the advantages and the inconvenience"&amp;"s")</f>
        <v>It's quite simple, practical
I regret that there is no mention of the franchises
However, the prices are difficult to evaluable because they are very close to the competition except with the box that I ask to see the advantages and the inconveniences</v>
      </c>
    </row>
    <row r="210" ht="15.75" customHeight="1">
      <c r="A210" s="2">
        <v>2.0</v>
      </c>
      <c r="B210" s="2" t="s">
        <v>709</v>
      </c>
      <c r="C210" s="2" t="s">
        <v>710</v>
      </c>
      <c r="D210" s="2" t="s">
        <v>42</v>
      </c>
      <c r="E210" s="2" t="s">
        <v>21</v>
      </c>
      <c r="F210" s="2" t="s">
        <v>15</v>
      </c>
      <c r="G210" s="2" t="s">
        <v>711</v>
      </c>
      <c r="H210" s="2" t="s">
        <v>151</v>
      </c>
      <c r="I210" s="2" t="str">
        <f>IFERROR(__xludf.DUMMYFUNCTION("GOOGLETRANSLATE(C210,""fr"",""en"")"),"If you don't need them it's good insurance.
Breaking down at 8 p.m. a winter evening in the night, the car no longer restarted in a fire. A car's line behind that hobs. I call the olive assurance, person on the phone. Type 1, type 3 etc. All that so that"&amp;" I have been sent by SMS. Too little internet network, I take 10 minutes to fill out their form. One informs me that a convenience store will be there in 45 minutes (tJrs car in the middle of the track), after an hour no one I had to fend for myself.
Imp"&amp;"ossible to terminate my contract because it is committed for one year. A contract is a reciprocal commitment, I pay, you help me out. If I do not respect my commitments you cut the contract, how do you do it when you do not respect your commitments?")</f>
        <v>If you don't need them it's good insurance.
Breaking down at 8 p.m. a winter evening in the night, the car no longer restarted in a fire. A car's line behind that hobs. I call the olive assurance, person on the phone. Type 1, type 3 etc. All that so that I have been sent by SMS. Too little internet network, I take 10 minutes to fill out their form. One informs me that a convenience store will be there in 45 minutes (tJrs car in the middle of the track), after an hour no one I had to fend for myself.
Impossible to terminate my contract because it is committed for one year. A contract is a reciprocal commitment, I pay, you help me out. If I do not respect my commitments you cut the contract, how do you do it when you do not respect your commitments?</v>
      </c>
    </row>
    <row r="211" ht="15.75" customHeight="1">
      <c r="A211" s="2">
        <v>4.0</v>
      </c>
      <c r="B211" s="2" t="s">
        <v>712</v>
      </c>
      <c r="C211" s="2" t="s">
        <v>713</v>
      </c>
      <c r="D211" s="2" t="s">
        <v>42</v>
      </c>
      <c r="E211" s="2" t="s">
        <v>21</v>
      </c>
      <c r="F211" s="2" t="s">
        <v>15</v>
      </c>
      <c r="G211" s="2" t="s">
        <v>38</v>
      </c>
      <c r="H211" s="2" t="s">
        <v>39</v>
      </c>
      <c r="I211" s="2" t="str">
        <f>IFERROR(__xludf.DUMMYFUNCTION("GOOGLETRANSLATE(C211,""fr"",""en"")"),"Satisfied because I received a very good welcome. The cost of insurance is quite high but normal in view of my situation. Everything was very clear and my request was taken into account quickly")</f>
        <v>Satisfied because I received a very good welcome. The cost of insurance is quite high but normal in view of my situation. Everything was very clear and my request was taken into account quickly</v>
      </c>
    </row>
    <row r="212" ht="15.75" customHeight="1">
      <c r="A212" s="2">
        <v>3.0</v>
      </c>
      <c r="B212" s="2" t="s">
        <v>714</v>
      </c>
      <c r="C212" s="2" t="s">
        <v>715</v>
      </c>
      <c r="D212" s="2" t="s">
        <v>81</v>
      </c>
      <c r="E212" s="2" t="s">
        <v>82</v>
      </c>
      <c r="F212" s="2" t="s">
        <v>15</v>
      </c>
      <c r="G212" s="2" t="s">
        <v>716</v>
      </c>
      <c r="H212" s="2" t="s">
        <v>330</v>
      </c>
      <c r="I212" s="2" t="str">
        <f>IFERROR(__xludf.DUMMYFUNCTION("GOOGLETRANSLATE(C212,""fr"",""en"")"),"I am currently insured by this insurance and I am delighted.
")</f>
        <v>I am currently insured by this insurance and I am delighted.
</v>
      </c>
    </row>
    <row r="213" ht="15.75" customHeight="1">
      <c r="A213" s="2">
        <v>1.0</v>
      </c>
      <c r="B213" s="2" t="s">
        <v>717</v>
      </c>
      <c r="C213" s="2" t="s">
        <v>718</v>
      </c>
      <c r="D213" s="2" t="s">
        <v>129</v>
      </c>
      <c r="E213" s="2" t="s">
        <v>21</v>
      </c>
      <c r="F213" s="2" t="s">
        <v>15</v>
      </c>
      <c r="G213" s="2" t="s">
        <v>719</v>
      </c>
      <c r="H213" s="2" t="s">
        <v>412</v>
      </c>
      <c r="I213" s="2" t="str">
        <f>IFERROR(__xludf.DUMMYFUNCTION("GOOGLETRANSLATE(C213,""fr"",""en"")"),"High contributions + that the majority of other companies for the same covers ...
No real taking into account ""small rollers"" or the truly acquired bonus which capped at 50 °/° not putting the contribution to the level of online insurance.
This Sté co"&amp;"ntinues only by the little taste of the ancient insured for change and the steps to do with online insurance ...")</f>
        <v>High contributions + that the majority of other companies for the same covers ...
No real taking into account "small rollers" or the truly acquired bonus which capped at 50 °/° not putting the contribution to the level of online insurance.
This Sté continues only by the little taste of the ancient insured for change and the steps to do with online insurance ...</v>
      </c>
    </row>
    <row r="214" ht="15.75" customHeight="1">
      <c r="A214" s="2">
        <v>4.0</v>
      </c>
      <c r="B214" s="2" t="s">
        <v>720</v>
      </c>
      <c r="C214" s="2" t="s">
        <v>721</v>
      </c>
      <c r="D214" s="2" t="s">
        <v>32</v>
      </c>
      <c r="E214" s="2" t="s">
        <v>21</v>
      </c>
      <c r="F214" s="2" t="s">
        <v>15</v>
      </c>
      <c r="G214" s="2" t="s">
        <v>722</v>
      </c>
      <c r="H214" s="2" t="s">
        <v>62</v>
      </c>
      <c r="I214" s="2" t="str">
        <f>IFERROR(__xludf.DUMMYFUNCTION("GOOGLETRANSLATE(C214,""fr"",""en"")"),"The television was kind and perfect in his explanations.
The prices are correct, allow me to save money but are higher than I thought.")</f>
        <v>The television was kind and perfect in his explanations.
The prices are correct, allow me to save money but are higher than I thought.</v>
      </c>
    </row>
    <row r="215" ht="15.75" customHeight="1">
      <c r="A215" s="2">
        <v>3.0</v>
      </c>
      <c r="B215" s="2" t="s">
        <v>723</v>
      </c>
      <c r="C215" s="2" t="s">
        <v>724</v>
      </c>
      <c r="D215" s="2" t="s">
        <v>200</v>
      </c>
      <c r="E215" s="2" t="s">
        <v>21</v>
      </c>
      <c r="F215" s="2" t="s">
        <v>15</v>
      </c>
      <c r="G215" s="2" t="s">
        <v>505</v>
      </c>
      <c r="H215" s="2" t="s">
        <v>159</v>
      </c>
      <c r="I215" s="2" t="str">
        <f>IFERROR(__xludf.DUMMYFUNCTION("GOOGLETRANSLATE(C215,""fr"",""en"")"),"I have just received a recommended that my insurance contract is not renewed. I had a person being unable to tell me why.
")</f>
        <v>I have just received a recommended that my insurance contract is not renewed. I had a person being unable to tell me why.
</v>
      </c>
    </row>
    <row r="216" ht="15.75" customHeight="1">
      <c r="A216" s="2">
        <v>5.0</v>
      </c>
      <c r="B216" s="2" t="s">
        <v>725</v>
      </c>
      <c r="C216" s="2" t="s">
        <v>726</v>
      </c>
      <c r="D216" s="2" t="s">
        <v>42</v>
      </c>
      <c r="E216" s="2" t="s">
        <v>21</v>
      </c>
      <c r="F216" s="2" t="s">
        <v>15</v>
      </c>
      <c r="G216" s="2" t="s">
        <v>386</v>
      </c>
      <c r="H216" s="2" t="s">
        <v>52</v>
      </c>
      <c r="I216" s="2" t="str">
        <f>IFERROR(__xludf.DUMMYFUNCTION("GOOGLETRANSLATE(C216,""fr"",""en"")"),"Listening online people and very understanding, fast management
Very good return for our first contract at Lolivier
For young drivers, correct prices")</f>
        <v>Listening online people and very understanding, fast management
Very good return for our first contract at Lolivier
For young drivers, correct prices</v>
      </c>
    </row>
    <row r="217" ht="15.75" customHeight="1">
      <c r="A217" s="2">
        <v>5.0</v>
      </c>
      <c r="B217" s="2" t="s">
        <v>727</v>
      </c>
      <c r="C217" s="2" t="s">
        <v>728</v>
      </c>
      <c r="D217" s="2" t="s">
        <v>32</v>
      </c>
      <c r="E217" s="2" t="s">
        <v>21</v>
      </c>
      <c r="F217" s="2" t="s">
        <v>15</v>
      </c>
      <c r="G217" s="2" t="s">
        <v>729</v>
      </c>
      <c r="H217" s="2" t="s">
        <v>104</v>
      </c>
      <c r="I217" s="2" t="str">
        <f>IFERROR(__xludf.DUMMYFUNCTION("GOOGLETRANSLATE(C217,""fr"",""en"")"),"Very satisfied with the online site and applied prices. Thank you for simplicity. I will recommend your services without hesitation. It is clear and precise")</f>
        <v>Very satisfied with the online site and applied prices. Thank you for simplicity. I will recommend your services without hesitation. It is clear and precise</v>
      </c>
    </row>
    <row r="218" ht="15.75" customHeight="1">
      <c r="A218" s="2">
        <v>4.0</v>
      </c>
      <c r="B218" s="2" t="s">
        <v>730</v>
      </c>
      <c r="C218" s="2" t="s">
        <v>731</v>
      </c>
      <c r="D218" s="2" t="s">
        <v>430</v>
      </c>
      <c r="E218" s="2" t="s">
        <v>732</v>
      </c>
      <c r="F218" s="2" t="s">
        <v>15</v>
      </c>
      <c r="G218" s="2" t="s">
        <v>733</v>
      </c>
      <c r="H218" s="2" t="s">
        <v>464</v>
      </c>
      <c r="I218" s="2" t="str">
        <f>IFERROR(__xludf.DUMMYFUNCTION("GOOGLETRANSLATE(C218,""fr"",""en"")"),"We are really satisfied to collaborate with April in the insurance subject (decennial, RC, etc ...) for a technical design office. To advise the BET in particular what are starting to start their activities")</f>
        <v>We are really satisfied to collaborate with April in the insurance subject (decennial, RC, etc ...) for a technical design office. To advise the BET in particular what are starting to start their activities</v>
      </c>
    </row>
    <row r="219" ht="15.75" customHeight="1">
      <c r="A219" s="2">
        <v>1.0</v>
      </c>
      <c r="B219" s="2" t="s">
        <v>734</v>
      </c>
      <c r="C219" s="2" t="s">
        <v>735</v>
      </c>
      <c r="D219" s="2" t="s">
        <v>183</v>
      </c>
      <c r="E219" s="2" t="s">
        <v>21</v>
      </c>
      <c r="F219" s="2" t="s">
        <v>15</v>
      </c>
      <c r="G219" s="2" t="s">
        <v>736</v>
      </c>
      <c r="H219" s="2" t="s">
        <v>78</v>
      </c>
      <c r="I219" s="2" t="str">
        <f>IFERROR(__xludf.DUMMYFUNCTION("GOOGLETRANSLATE(C219,""fr"",""en"")"),"Allianz was sentenced by an instance court after numerous refusals of reimbursement to reimburse costs caused during a disaster. They had to reimburse these costs increased by the damage but for the moment have still not reimbursed the costs of bailiff af"&amp;"ter two month of service of the judgment. Let us have to redo the injunction to pay by bailiff. Use all means to tire people.")</f>
        <v>Allianz was sentenced by an instance court after numerous refusals of reimbursement to reimburse costs caused during a disaster. They had to reimburse these costs increased by the damage but for the moment have still not reimbursed the costs of bailiff after two month of service of the judgment. Let us have to redo the injunction to pay by bailiff. Use all means to tire people.</v>
      </c>
    </row>
    <row r="220" ht="15.75" customHeight="1">
      <c r="A220" s="2">
        <v>5.0</v>
      </c>
      <c r="B220" s="2" t="s">
        <v>737</v>
      </c>
      <c r="C220" s="2" t="s">
        <v>738</v>
      </c>
      <c r="D220" s="2" t="s">
        <v>42</v>
      </c>
      <c r="E220" s="2" t="s">
        <v>21</v>
      </c>
      <c r="F220" s="2" t="s">
        <v>15</v>
      </c>
      <c r="G220" s="2" t="s">
        <v>739</v>
      </c>
      <c r="H220" s="2" t="s">
        <v>48</v>
      </c>
      <c r="I220" s="2" t="str">
        <f>IFERROR(__xludf.DUMMYFUNCTION("GOOGLETRANSLATE(C220,""fr"",""en"")"),"I am satisfied with the service. Good proposal for a young driver. Speed ​​and clarity of advisers' responses. Subscription of the rapid contract.")</f>
        <v>I am satisfied with the service. Good proposal for a young driver. Speed ​​and clarity of advisers' responses. Subscription of the rapid contract.</v>
      </c>
    </row>
    <row r="221" ht="15.75" customHeight="1">
      <c r="A221" s="2">
        <v>2.0</v>
      </c>
      <c r="B221" s="2" t="s">
        <v>740</v>
      </c>
      <c r="C221" s="2" t="s">
        <v>741</v>
      </c>
      <c r="D221" s="2" t="s">
        <v>656</v>
      </c>
      <c r="E221" s="2" t="s">
        <v>14</v>
      </c>
      <c r="F221" s="2" t="s">
        <v>15</v>
      </c>
      <c r="G221" s="2" t="s">
        <v>742</v>
      </c>
      <c r="H221" s="2" t="s">
        <v>453</v>
      </c>
      <c r="I221" s="2" t="str">
        <f>IFERROR(__xludf.DUMMYFUNCTION("GOOGLETRANSLATE(C221,""fr"",""en"")"),"Termination send it, I am told that we will study my file. I still did not have to reimburse the month as well as the opening of the file and in addition the month after I am levied once again !!! To avoid completely !!!")</f>
        <v>Termination send it, I am told that we will study my file. I still did not have to reimburse the month as well as the opening of the file and in addition the month after I am levied once again !!! To avoid completely !!!</v>
      </c>
    </row>
    <row r="222" ht="15.75" customHeight="1">
      <c r="A222" s="2">
        <v>4.0</v>
      </c>
      <c r="B222" s="2" t="s">
        <v>743</v>
      </c>
      <c r="C222" s="2" t="s">
        <v>744</v>
      </c>
      <c r="D222" s="2" t="s">
        <v>129</v>
      </c>
      <c r="E222" s="2" t="s">
        <v>21</v>
      </c>
      <c r="F222" s="2" t="s">
        <v>15</v>
      </c>
      <c r="G222" s="2" t="s">
        <v>162</v>
      </c>
      <c r="H222" s="2" t="s">
        <v>62</v>
      </c>
      <c r="I222" s="2" t="str">
        <f>IFERROR(__xludf.DUMMYFUNCTION("GOOGLETRANSLATE(C222,""fr"",""en"")"),"With a maximum bonus the prices suit me, very fast intervention two years ago for a tire exploded on camping car in Spain, additional repair supported when I return to France.")</f>
        <v>With a maximum bonus the prices suit me, very fast intervention two years ago for a tire exploded on camping car in Spain, additional repair supported when I return to France.</v>
      </c>
    </row>
    <row r="223" ht="15.75" customHeight="1">
      <c r="A223" s="2">
        <v>5.0</v>
      </c>
      <c r="B223" s="2" t="s">
        <v>745</v>
      </c>
      <c r="C223" s="2" t="s">
        <v>746</v>
      </c>
      <c r="D223" s="2" t="s">
        <v>42</v>
      </c>
      <c r="E223" s="2" t="s">
        <v>21</v>
      </c>
      <c r="F223" s="2" t="s">
        <v>15</v>
      </c>
      <c r="G223" s="2" t="s">
        <v>747</v>
      </c>
      <c r="H223" s="2" t="s">
        <v>412</v>
      </c>
      <c r="I223" s="2" t="str">
        <f>IFERROR(__xludf.DUMMYFUNCTION("GOOGLETRANSLATE(C223,""fr"",""en"")"),"Super commercial.
Everything is clear and transparent.
Reactivity, suitable offers and followed even if different interlocutors are perfect.
I am very satisfied.")</f>
        <v>Super commercial.
Everything is clear and transparent.
Reactivity, suitable offers and followed even if different interlocutors are perfect.
I am very satisfied.</v>
      </c>
    </row>
    <row r="224" ht="15.75" customHeight="1">
      <c r="A224" s="2">
        <v>1.0</v>
      </c>
      <c r="B224" s="2" t="s">
        <v>748</v>
      </c>
      <c r="C224" s="2" t="s">
        <v>749</v>
      </c>
      <c r="D224" s="2" t="s">
        <v>425</v>
      </c>
      <c r="E224" s="2" t="s">
        <v>220</v>
      </c>
      <c r="F224" s="2" t="s">
        <v>15</v>
      </c>
      <c r="G224" s="2" t="s">
        <v>750</v>
      </c>
      <c r="H224" s="2" t="s">
        <v>453</v>
      </c>
      <c r="I224" s="2" t="str">
        <f>IFERROR(__xludf.DUMMYFUNCTION("GOOGLETRANSLATE(C224,""fr"",""en"")"),"The BNP sends me back to Cardif for the management of life insurance contracts but Cardif does not answer me the mail or my 3 calls ... so no taking into account my request. In addition complexity between the contracts open to the BNP but managed (hum) by"&amp;" Cardif! ...")</f>
        <v>The BNP sends me back to Cardif for the management of life insurance contracts but Cardif does not answer me the mail or my 3 calls ... so no taking into account my request. In addition complexity between the contracts open to the BNP but managed (hum) by Cardif! ...</v>
      </c>
    </row>
    <row r="225" ht="15.75" customHeight="1">
      <c r="A225" s="2">
        <v>2.0</v>
      </c>
      <c r="B225" s="2" t="s">
        <v>751</v>
      </c>
      <c r="C225" s="2" t="s">
        <v>752</v>
      </c>
      <c r="D225" s="2" t="s">
        <v>183</v>
      </c>
      <c r="E225" s="2" t="s">
        <v>157</v>
      </c>
      <c r="F225" s="2" t="s">
        <v>15</v>
      </c>
      <c r="G225" s="2" t="s">
        <v>753</v>
      </c>
      <c r="H225" s="2" t="s">
        <v>300</v>
      </c>
      <c r="I225" s="2" t="str">
        <f>IFERROR(__xludf.DUMMYFUNCTION("GOOGLETRANSLATE(C225,""fr"",""en"")")," I am a liberal nurse I have an IDJ contract at Allianz on a work stoppage since June 2016 for one par. I have
   Ties a resumption of therapeutic half-time. But it is impossible to resume my activity. Allianz tells me that the half-time is not taken in "&amp;"charge by my contract when another company does because it is about An ALD disease. On the other hand, I since 1991 I have been a disability-dependent contract. When I have a counselor on the phone for assets of information on this contract, it tells me t"&amp;"hat I have to apply for guarantees and that I will be informed about the treatment disability {allocated allocation] '{Allianz does not take into account the opinion of the doctor of the compulsory diet} The only thing I retain is that once the disability"&amp;" rate granted a year ago Security to perceive these allowances and that it will be necessary to return an expertise which will rule again ... I am really disappointed because I realized that the coverage of this type of contract is only valid. would touch"&amp;" a beautiful sum but I who need to live I would only survive.")</f>
        <v> I am a liberal nurse I have an IDJ contract at Allianz on a work stoppage since June 2016 for one par. I have
   Ties a resumption of therapeutic half-time. But it is impossible to resume my activity. Allianz tells me that the half-time is not taken in charge by my contract when another company does because it is about An ALD disease. On the other hand, I since 1991 I have been a disability-dependent contract. When I have a counselor on the phone for assets of information on this contract, it tells me that I have to apply for guarantees and that I will be informed about the treatment disability {allocated allocation] '{Allianz does not take into account the opinion of the doctor of the compulsory diet} The only thing I retain is that once the disability rate granted a year ago Security to perceive these allowances and that it will be necessary to return an expertise which will rule again ... I am really disappointed because I realized that the coverage of this type of contract is only valid. would touch a beautiful sum but I who need to live I would only survive.</v>
      </c>
    </row>
    <row r="226" ht="15.75" customHeight="1">
      <c r="A226" s="2">
        <v>2.0</v>
      </c>
      <c r="B226" s="2" t="s">
        <v>754</v>
      </c>
      <c r="C226" s="2" t="s">
        <v>755</v>
      </c>
      <c r="D226" s="2" t="s">
        <v>32</v>
      </c>
      <c r="E226" s="2" t="s">
        <v>21</v>
      </c>
      <c r="F226" s="2" t="s">
        <v>15</v>
      </c>
      <c r="G226" s="2" t="s">
        <v>121</v>
      </c>
      <c r="H226" s="2" t="s">
        <v>104</v>
      </c>
      <c r="I226" s="2" t="str">
        <f>IFERROR(__xludf.DUMMYFUNCTION("GOOGLETRANSLATE(C226,""fr"",""en"")"),"The price increases each year despite that my bonus remains at 50.
Again we will tell us that the climate conditions and disaster of the past year played a role in the price. Except that half of the year there was no one on the roads with the confinement"&amp;"s ...")</f>
        <v>The price increases each year despite that my bonus remains at 50.
Again we will tell us that the climate conditions and disaster of the past year played a role in the price. Except that half of the year there was no one on the roads with the confinements ...</v>
      </c>
    </row>
    <row r="227" ht="15.75" customHeight="1">
      <c r="A227" s="2">
        <v>1.0</v>
      </c>
      <c r="B227" s="2" t="s">
        <v>756</v>
      </c>
      <c r="C227" s="2" t="s">
        <v>757</v>
      </c>
      <c r="D227" s="2" t="s">
        <v>42</v>
      </c>
      <c r="E227" s="2" t="s">
        <v>21</v>
      </c>
      <c r="F227" s="2" t="s">
        <v>15</v>
      </c>
      <c r="G227" s="2" t="s">
        <v>758</v>
      </c>
      <c r="H227" s="2" t="s">
        <v>676</v>
      </c>
      <c r="I227" s="2" t="str">
        <f>IFERROR(__xludf.DUMMYFUNCTION("GOOGLETRANSLATE(C227,""fr"",""en"")"),"A shame
The olive tree insurance struck me 1 year after my registration because
I had a tight -free hanging in a parking lot and a non -responsible accident where a person returned to me. Following that I had consequences ... To date still not taken car"&amp;"e of by insurance ... Since March I have been waiting to see their doctor for expertise .... they no longer answer my emails .... Obliged to call and wait 15 minutes ... to tell me that I will be contacted .... the accident dates from October and I have t"&amp;"he impression that they are postponing the thing. .. Almost 7 months after my last non -responsible accident I receive a letter of termination. It's a shame")</f>
        <v>A shame
The olive tree insurance struck me 1 year after my registration because
I had a tight -free hanging in a parking lot and a non -responsible accident where a person returned to me. Following that I had consequences ... To date still not taken care of by insurance ... Since March I have been waiting to see their doctor for expertise .... they no longer answer my emails .... Obliged to call and wait 15 minutes ... to tell me that I will be contacted .... the accident dates from October and I have the impression that they are postponing the thing. .. Almost 7 months after my last non -responsible accident I receive a letter of termination. It's a shame</v>
      </c>
    </row>
    <row r="228" ht="15.75" customHeight="1">
      <c r="A228" s="2">
        <v>1.0</v>
      </c>
      <c r="B228" s="2" t="s">
        <v>759</v>
      </c>
      <c r="C228" s="2" t="s">
        <v>760</v>
      </c>
      <c r="D228" s="2" t="s">
        <v>32</v>
      </c>
      <c r="E228" s="2" t="s">
        <v>21</v>
      </c>
      <c r="F228" s="2" t="s">
        <v>15</v>
      </c>
      <c r="G228" s="2" t="s">
        <v>761</v>
      </c>
      <c r="H228" s="2" t="s">
        <v>62</v>
      </c>
      <c r="I228" s="2" t="str">
        <f>IFERROR(__xludf.DUMMYFUNCTION("GOOGLETRANSLATE(C228,""fr"",""en"")"),"I do not currently have the means to maintain a vehicle. For a reason for unemployment and living my means alone are limited
And living alone with a vehicle not really reliable: I prefer to stop my car insurance.
")</f>
        <v>I do not currently have the means to maintain a vehicle. For a reason for unemployment and living my means alone are limited
And living alone with a vehicle not really reliable: I prefer to stop my car insurance.
</v>
      </c>
    </row>
    <row r="229" ht="15.75" customHeight="1">
      <c r="A229" s="2">
        <v>3.0</v>
      </c>
      <c r="B229" s="2" t="s">
        <v>762</v>
      </c>
      <c r="C229" s="2" t="s">
        <v>763</v>
      </c>
      <c r="D229" s="2" t="s">
        <v>169</v>
      </c>
      <c r="E229" s="2" t="s">
        <v>157</v>
      </c>
      <c r="F229" s="2" t="s">
        <v>15</v>
      </c>
      <c r="G229" s="2" t="s">
        <v>473</v>
      </c>
      <c r="H229" s="2" t="s">
        <v>474</v>
      </c>
      <c r="I229" s="2" t="str">
        <f>IFERROR(__xludf.DUMMYFUNCTION("GOOGLETRANSLATE(C229,""fr"",""en"")"),"Hello, I have stopped since 11/11/2018 I received my payment on 12/13/2018 very long.")</f>
        <v>Hello, I have stopped since 11/11/2018 I received my payment on 12/13/2018 very long.</v>
      </c>
    </row>
    <row r="230" ht="15.75" customHeight="1">
      <c r="A230" s="2">
        <v>4.0</v>
      </c>
      <c r="B230" s="2" t="s">
        <v>764</v>
      </c>
      <c r="C230" s="2" t="s">
        <v>765</v>
      </c>
      <c r="D230" s="2" t="s">
        <v>430</v>
      </c>
      <c r="E230" s="2" t="s">
        <v>82</v>
      </c>
      <c r="F230" s="2" t="s">
        <v>15</v>
      </c>
      <c r="G230" s="2" t="s">
        <v>766</v>
      </c>
      <c r="H230" s="2" t="s">
        <v>74</v>
      </c>
      <c r="I230" s="2" t="str">
        <f>IFERROR(__xludf.DUMMYFUNCTION("GOOGLETRANSLATE(C230,""fr"",""en"")"),"I recommend without hesitation!
I made my father subscribe to this health insurance which covered all his medical expenses until his death. When I asked them for information on the day of death, they were completely human and everything went very well. I"&amp;"t was at the end of 2017 but I wanted to share this positive experience.
I have never been about such a professional insurer!")</f>
        <v>I recommend without hesitation!
I made my father subscribe to this health insurance which covered all his medical expenses until his death. When I asked them for information on the day of death, they were completely human and everything went very well. It was at the end of 2017 but I wanted to share this positive experience.
I have never been about such a professional insurer!</v>
      </c>
    </row>
    <row r="231" ht="15.75" customHeight="1">
      <c r="A231" s="2">
        <v>1.0</v>
      </c>
      <c r="B231" s="2" t="s">
        <v>767</v>
      </c>
      <c r="C231" s="2" t="s">
        <v>768</v>
      </c>
      <c r="D231" s="2" t="s">
        <v>477</v>
      </c>
      <c r="E231" s="2" t="s">
        <v>14</v>
      </c>
      <c r="F231" s="2" t="s">
        <v>15</v>
      </c>
      <c r="G231" s="2" t="s">
        <v>769</v>
      </c>
      <c r="H231" s="2" t="s">
        <v>222</v>
      </c>
      <c r="I231" s="2" t="str">
        <f>IFERROR(__xludf.DUMMYFUNCTION("GOOGLETRANSLATE(C231,""fr"",""en"")"),"To avoid ! I paid more for my dog ​​than for me, and when there are exams for an amount of 100 euros for example, we are reimbursed in around 18 euros ... Bravo! And when we want to call them, they are of course either unreachable, or they talk to us very"&amp;" badly.")</f>
        <v>To avoid ! I paid more for my dog ​​than for me, and when there are exams for an amount of 100 euros for example, we are reimbursed in around 18 euros ... Bravo! And when we want to call them, they are of course either unreachable, or they talk to us very badly.</v>
      </c>
    </row>
    <row r="232" ht="15.75" customHeight="1">
      <c r="A232" s="2">
        <v>1.0</v>
      </c>
      <c r="B232" s="2" t="s">
        <v>770</v>
      </c>
      <c r="C232" s="2" t="s">
        <v>771</v>
      </c>
      <c r="D232" s="2" t="s">
        <v>32</v>
      </c>
      <c r="E232" s="2" t="s">
        <v>21</v>
      </c>
      <c r="F232" s="2" t="s">
        <v>15</v>
      </c>
      <c r="G232" s="2" t="s">
        <v>772</v>
      </c>
      <c r="H232" s="2" t="s">
        <v>52</v>
      </c>
      <c r="I232" s="2" t="str">
        <f>IFERROR(__xludf.DUMMYFUNCTION("GOOGLETRANSLATE(C232,""fr"",""en"")"),"Very expensive price and zero service, the reimbursement service is non -existent I would not renew my insurance, we are made to wait for months to send the expert, and we always dispute our quotes and we are imposed on us a business that do bad jobs")</f>
        <v>Very expensive price and zero service, the reimbursement service is non -existent I would not renew my insurance, we are made to wait for months to send the expert, and we always dispute our quotes and we are imposed on us a business that do bad jobs</v>
      </c>
    </row>
    <row r="233" ht="15.75" customHeight="1">
      <c r="A233" s="2">
        <v>3.0</v>
      </c>
      <c r="B233" s="2" t="s">
        <v>773</v>
      </c>
      <c r="C233" s="2" t="s">
        <v>774</v>
      </c>
      <c r="D233" s="2" t="s">
        <v>32</v>
      </c>
      <c r="E233" s="2" t="s">
        <v>21</v>
      </c>
      <c r="F233" s="2" t="s">
        <v>15</v>
      </c>
      <c r="G233" s="2" t="s">
        <v>545</v>
      </c>
      <c r="H233" s="2" t="s">
        <v>29</v>
      </c>
      <c r="I233" s="2" t="str">
        <f>IFERROR(__xludf.DUMMYFUNCTION("GOOGLETRANSLATE(C233,""fr"",""en"")"),"I satisfy the service, even the payment method seemed very complex, to review more I hope that later your services will fill me more !! thanks again")</f>
        <v>I satisfy the service, even the payment method seemed very complex, to review more I hope that later your services will fill me more !! thanks again</v>
      </c>
    </row>
    <row r="234" ht="15.75" customHeight="1">
      <c r="A234" s="2">
        <v>4.0</v>
      </c>
      <c r="B234" s="2" t="s">
        <v>775</v>
      </c>
      <c r="C234" s="2" t="s">
        <v>776</v>
      </c>
      <c r="D234" s="2" t="s">
        <v>42</v>
      </c>
      <c r="E234" s="2" t="s">
        <v>21</v>
      </c>
      <c r="F234" s="2" t="s">
        <v>15</v>
      </c>
      <c r="G234" s="2" t="s">
        <v>777</v>
      </c>
      <c r="H234" s="2" t="s">
        <v>62</v>
      </c>
      <c r="I234" s="2" t="str">
        <f>IFERROR(__xludf.DUMMYFUNCTION("GOOGLETRANSLATE(C234,""fr"",""en"")"),"satisfied with reception and professionalism. I recommend this company. However to assess insurance, you must have suffered a disaster .....")</f>
        <v>satisfied with reception and professionalism. I recommend this company. However to assess insurance, you must have suffered a disaster .....</v>
      </c>
    </row>
    <row r="235" ht="15.75" customHeight="1">
      <c r="A235" s="2">
        <v>4.0</v>
      </c>
      <c r="B235" s="2" t="s">
        <v>778</v>
      </c>
      <c r="C235" s="2" t="s">
        <v>779</v>
      </c>
      <c r="D235" s="2" t="s">
        <v>32</v>
      </c>
      <c r="E235" s="2" t="s">
        <v>21</v>
      </c>
      <c r="F235" s="2" t="s">
        <v>15</v>
      </c>
      <c r="G235" s="2" t="s">
        <v>780</v>
      </c>
      <c r="H235" s="2" t="s">
        <v>48</v>
      </c>
      <c r="I235" s="2" t="str">
        <f>IFERROR(__xludf.DUMMYFUNCTION("GOOGLETRANSLATE(C235,""fr"",""en"")"),"I am delighted was the cheapest insurance that I have found who me wanted me, fairly easy site quick quote, just because you are young is that you have a car with a bit of CV it complicates to find a assurance.
Thanks to direct insurance.
")</f>
        <v>I am delighted was the cheapest insurance that I have found who me wanted me, fairly easy site quick quote, just because you are young is that you have a car with a bit of CV it complicates to find a assurance.
Thanks to direct insurance.
</v>
      </c>
    </row>
    <row r="236" ht="15.75" customHeight="1">
      <c r="A236" s="2">
        <v>1.0</v>
      </c>
      <c r="B236" s="2" t="s">
        <v>781</v>
      </c>
      <c r="C236" s="2" t="s">
        <v>782</v>
      </c>
      <c r="D236" s="2" t="s">
        <v>145</v>
      </c>
      <c r="E236" s="2" t="s">
        <v>21</v>
      </c>
      <c r="F236" s="2" t="s">
        <v>15</v>
      </c>
      <c r="G236" s="2" t="s">
        <v>73</v>
      </c>
      <c r="H236" s="2" t="s">
        <v>74</v>
      </c>
      <c r="I236" s="2" t="str">
        <f>IFERROR(__xludf.DUMMYFUNCTION("GOOGLETRANSLATE(C236,""fr"",""en"")"),"I am fractured my garage flight of equipment the maff does not reimburse because for a garage it is made to park a vehicle we my to put equipment
I had forgotten but where the head is a karcher or chainsaw it must be in a room or a
lounge on stole them "&amp;"from the maff he puts his in decoration even in their child's room")</f>
        <v>I am fractured my garage flight of equipment the maff does not reimburse because for a garage it is made to park a vehicle we my to put equipment
I had forgotten but where the head is a karcher or chainsaw it must be in a room or a
lounge on stole them from the maff he puts his in decoration even in their child's room</v>
      </c>
    </row>
    <row r="237" ht="15.75" customHeight="1">
      <c r="A237" s="2">
        <v>4.0</v>
      </c>
      <c r="B237" s="2" t="s">
        <v>783</v>
      </c>
      <c r="C237" s="2" t="s">
        <v>784</v>
      </c>
      <c r="D237" s="2" t="s">
        <v>65</v>
      </c>
      <c r="E237" s="2" t="s">
        <v>60</v>
      </c>
      <c r="F237" s="2" t="s">
        <v>15</v>
      </c>
      <c r="G237" s="2" t="s">
        <v>151</v>
      </c>
      <c r="H237" s="2" t="s">
        <v>151</v>
      </c>
      <c r="I237" s="2" t="str">
        <f>IFERROR(__xludf.DUMMYFUNCTION("GOOGLETRANSLATE(C237,""fr"",""en"")"),"Good price but a pity that certain options do not automatically be part of the price. Good insurance that advises us by phone, hope it is good in the event of a problem.")</f>
        <v>Good price but a pity that certain options do not automatically be part of the price. Good insurance that advises us by phone, hope it is good in the event of a problem.</v>
      </c>
    </row>
    <row r="238" ht="15.75" customHeight="1">
      <c r="A238" s="2">
        <v>4.0</v>
      </c>
      <c r="B238" s="2" t="s">
        <v>785</v>
      </c>
      <c r="C238" s="2" t="s">
        <v>786</v>
      </c>
      <c r="D238" s="2" t="s">
        <v>32</v>
      </c>
      <c r="E238" s="2" t="s">
        <v>21</v>
      </c>
      <c r="F238" s="2" t="s">
        <v>15</v>
      </c>
      <c r="G238" s="2" t="s">
        <v>787</v>
      </c>
      <c r="H238" s="2" t="s">
        <v>29</v>
      </c>
      <c r="I238" s="2" t="str">
        <f>IFERROR(__xludf.DUMMYFUNCTION("GOOGLETRANSLATE(C238,""fr"",""en"")"),"I am satisfied by the proposed price, I hope to be able to count on the best agents in order to support me in the event of a problem, while hoping that I never need it thank you
")</f>
        <v>I am satisfied by the proposed price, I hope to be able to count on the best agents in order to support me in the event of a problem, while hoping that I never need it thank you
</v>
      </c>
    </row>
    <row r="239" ht="15.75" customHeight="1">
      <c r="A239" s="2">
        <v>5.0</v>
      </c>
      <c r="B239" s="2" t="s">
        <v>788</v>
      </c>
      <c r="C239" s="2" t="s">
        <v>789</v>
      </c>
      <c r="D239" s="2" t="s">
        <v>42</v>
      </c>
      <c r="E239" s="2" t="s">
        <v>21</v>
      </c>
      <c r="F239" s="2" t="s">
        <v>15</v>
      </c>
      <c r="G239" s="2" t="s">
        <v>790</v>
      </c>
      <c r="H239" s="2" t="s">
        <v>39</v>
      </c>
      <c r="I239" s="2" t="str">
        <f>IFERROR(__xludf.DUMMYFUNCTION("GOOGLETRANSLATE(C239,""fr"",""en"")"),"totally satisfied with the service
Pleasant and professional person on the phone
I recommend for interested people and plans to make a quote for another vehicle I have")</f>
        <v>totally satisfied with the service
Pleasant and professional person on the phone
I recommend for interested people and plans to make a quote for another vehicle I have</v>
      </c>
    </row>
    <row r="240" ht="15.75" customHeight="1">
      <c r="A240" s="2">
        <v>3.0</v>
      </c>
      <c r="B240" s="2" t="s">
        <v>791</v>
      </c>
      <c r="C240" s="2" t="s">
        <v>792</v>
      </c>
      <c r="D240" s="2" t="s">
        <v>42</v>
      </c>
      <c r="E240" s="2" t="s">
        <v>21</v>
      </c>
      <c r="F240" s="2" t="s">
        <v>15</v>
      </c>
      <c r="G240" s="2" t="s">
        <v>318</v>
      </c>
      <c r="H240" s="2" t="s">
        <v>104</v>
      </c>
      <c r="I240" s="2" t="str">
        <f>IFERROR(__xludf.DUMMYFUNCTION("GOOGLETRANSLATE(C240,""fr"",""en"")"),"Listening advisor, who took the time to answer all my questions.
Great availability to agree on an appointment.
I recommend to those around me.")</f>
        <v>Listening advisor, who took the time to answer all my questions.
Great availability to agree on an appointment.
I recommend to those around me.</v>
      </c>
    </row>
    <row r="241" ht="15.75" customHeight="1">
      <c r="A241" s="2">
        <v>5.0</v>
      </c>
      <c r="B241" s="2" t="s">
        <v>793</v>
      </c>
      <c r="C241" s="2" t="s">
        <v>794</v>
      </c>
      <c r="D241" s="2" t="s">
        <v>42</v>
      </c>
      <c r="E241" s="2" t="s">
        <v>21</v>
      </c>
      <c r="F241" s="2" t="s">
        <v>15</v>
      </c>
      <c r="G241" s="2" t="s">
        <v>601</v>
      </c>
      <c r="H241" s="2" t="s">
        <v>29</v>
      </c>
      <c r="I241" s="2" t="str">
        <f>IFERROR(__xludf.DUMMYFUNCTION("GOOGLETRANSLATE(C241,""fr"",""en"")"),"Very well, decent price, pleasant person on the phone, no worries to make the papers on the internet, I am happy with my choice, I will not want to change")</f>
        <v>Very well, decent price, pleasant person on the phone, no worries to make the papers on the internet, I am happy with my choice, I will not want to change</v>
      </c>
    </row>
    <row r="242" ht="15.75" customHeight="1">
      <c r="A242" s="2">
        <v>2.0</v>
      </c>
      <c r="B242" s="2" t="s">
        <v>795</v>
      </c>
      <c r="C242" s="2" t="s">
        <v>796</v>
      </c>
      <c r="D242" s="2" t="s">
        <v>196</v>
      </c>
      <c r="E242" s="2" t="s">
        <v>82</v>
      </c>
      <c r="F242" s="2" t="s">
        <v>15</v>
      </c>
      <c r="G242" s="2" t="s">
        <v>797</v>
      </c>
      <c r="H242" s="2" t="s">
        <v>330</v>
      </c>
      <c r="I242" s="2" t="str">
        <f>IFERROR(__xludf.DUMMYFUNCTION("GOOGLETRANSLATE(C242,""fr"",""en"")"),"hello me I have just subscribed since April 2019 I have stomato dental care and provisional dentisses quite raising social security has already reimbursed that very little and it has been waiting for the reimbursement of the mutuals while teletransmission"&amp;" is seen seen that I was able to have an operator who certified it to me I wonder if this is not a mutual is serious")</f>
        <v>hello me I have just subscribed since April 2019 I have stomato dental care and provisional dentisses quite raising social security has already reimbursed that very little and it has been waiting for the reimbursement of the mutuals while teletransmission is seen seen that I was able to have an operator who certified it to me I wonder if this is not a mutual is serious</v>
      </c>
    </row>
    <row r="243" ht="15.75" customHeight="1">
      <c r="A243" s="2">
        <v>3.0</v>
      </c>
      <c r="B243" s="2" t="s">
        <v>798</v>
      </c>
      <c r="C243" s="2" t="s">
        <v>799</v>
      </c>
      <c r="D243" s="2" t="s">
        <v>560</v>
      </c>
      <c r="E243" s="2" t="s">
        <v>27</v>
      </c>
      <c r="F243" s="2" t="s">
        <v>15</v>
      </c>
      <c r="G243" s="2" t="s">
        <v>488</v>
      </c>
      <c r="H243" s="2" t="s">
        <v>315</v>
      </c>
      <c r="I243" s="2" t="str">
        <f>IFERROR(__xludf.DUMMYFUNCTION("GOOGLETRANSLATE(C243,""fr"",""en"")"),"After comparing to other banks, their rate is high. We can therefore easily find better elsewhere. I advise to use the comparator to choose for that.")</f>
        <v>After comparing to other banks, their rate is high. We can therefore easily find better elsewhere. I advise to use the comparator to choose for that.</v>
      </c>
    </row>
    <row r="244" ht="15.75" customHeight="1">
      <c r="A244" s="2">
        <v>4.0</v>
      </c>
      <c r="B244" s="2" t="s">
        <v>800</v>
      </c>
      <c r="C244" s="2" t="s">
        <v>801</v>
      </c>
      <c r="D244" s="2" t="s">
        <v>32</v>
      </c>
      <c r="E244" s="2" t="s">
        <v>21</v>
      </c>
      <c r="F244" s="2" t="s">
        <v>15</v>
      </c>
      <c r="G244" s="2" t="s">
        <v>467</v>
      </c>
      <c r="H244" s="2" t="s">
        <v>104</v>
      </c>
      <c r="I244" s="2" t="str">
        <f>IFERROR(__xludf.DUMMYFUNCTION("GOOGLETRANSLATE(C244,""fr"",""en"")"),"The guarantees and services offered suit me, the price is competitive compared to all the comparators used, customer service is accessible and pleasant")</f>
        <v>The guarantees and services offered suit me, the price is competitive compared to all the comparators used, customer service is accessible and pleasant</v>
      </c>
    </row>
    <row r="245" ht="15.75" customHeight="1">
      <c r="A245" s="2">
        <v>4.0</v>
      </c>
      <c r="B245" s="2" t="s">
        <v>802</v>
      </c>
      <c r="C245" s="2" t="s">
        <v>803</v>
      </c>
      <c r="D245" s="2" t="s">
        <v>65</v>
      </c>
      <c r="E245" s="2" t="s">
        <v>60</v>
      </c>
      <c r="F245" s="2" t="s">
        <v>15</v>
      </c>
      <c r="G245" s="2" t="s">
        <v>804</v>
      </c>
      <c r="H245" s="2" t="s">
        <v>29</v>
      </c>
      <c r="I245" s="2" t="str">
        <f>IFERROR(__xludf.DUMMYFUNCTION("GOOGLETRANSLATE(C245,""fr"",""en"")"),"Easy and quick it was very simple to fill the forms and I had the answer as soon as possible, I advise you because very good")</f>
        <v>Easy and quick it was very simple to fill the forms and I had the answer as soon as possible, I advise you because very good</v>
      </c>
    </row>
    <row r="246" ht="15.75" customHeight="1">
      <c r="A246" s="2">
        <v>2.0</v>
      </c>
      <c r="B246" s="2" t="s">
        <v>805</v>
      </c>
      <c r="C246" s="2" t="s">
        <v>806</v>
      </c>
      <c r="D246" s="2" t="s">
        <v>200</v>
      </c>
      <c r="E246" s="2" t="s">
        <v>21</v>
      </c>
      <c r="F246" s="2" t="s">
        <v>15</v>
      </c>
      <c r="G246" s="2" t="s">
        <v>807</v>
      </c>
      <c r="H246" s="2" t="s">
        <v>305</v>
      </c>
      <c r="I246" s="2" t="str">
        <f>IFERROR(__xludf.DUMMYFUNCTION("GOOGLETRANSLATE(C246,""fr"",""en"")"),"Insurance that makes you dream after a non -responsible disaster No renewal compensation 4 months after the accident after several reclamations strongly said to pay a little more expensive preferably than being at Eurofil")</f>
        <v>Insurance that makes you dream after a non -responsible disaster No renewal compensation 4 months after the accident after several reclamations strongly said to pay a little more expensive preferably than being at Eurofil</v>
      </c>
    </row>
    <row r="247" ht="15.75" customHeight="1">
      <c r="A247" s="2">
        <v>5.0</v>
      </c>
      <c r="B247" s="2" t="s">
        <v>808</v>
      </c>
      <c r="C247" s="2" t="s">
        <v>809</v>
      </c>
      <c r="D247" s="2" t="s">
        <v>65</v>
      </c>
      <c r="E247" s="2" t="s">
        <v>60</v>
      </c>
      <c r="F247" s="2" t="s">
        <v>15</v>
      </c>
      <c r="G247" s="2" t="s">
        <v>810</v>
      </c>
      <c r="H247" s="2" t="s">
        <v>56</v>
      </c>
      <c r="I247" s="2" t="str">
        <f>IFERROR(__xludf.DUMMYFUNCTION("GOOGLETRANSLATE(C247,""fr"",""en"")"),"I really liked the simplicity of the service and the clarity of the information to quickly subscribe to your insurance and be quiet ... I strongly praise April Moto ...")</f>
        <v>I really liked the simplicity of the service and the clarity of the information to quickly subscribe to your insurance and be quiet ... I strongly praise April Moto ...</v>
      </c>
    </row>
    <row r="248" ht="15.75" customHeight="1">
      <c r="A248" s="2">
        <v>3.0</v>
      </c>
      <c r="B248" s="2" t="s">
        <v>811</v>
      </c>
      <c r="C248" s="2" t="s">
        <v>812</v>
      </c>
      <c r="D248" s="2" t="s">
        <v>42</v>
      </c>
      <c r="E248" s="2" t="s">
        <v>21</v>
      </c>
      <c r="F248" s="2" t="s">
        <v>15</v>
      </c>
      <c r="G248" s="2" t="s">
        <v>813</v>
      </c>
      <c r="H248" s="2" t="s">
        <v>250</v>
      </c>
      <c r="I248" s="2" t="str">
        <f>IFERROR(__xludf.DUMMYFUNCTION("GOOGLETRANSLATE(C248,""fr"",""en"")"),"Very satisfied, I recommend, customer service is at the top and the price is attractive. I sold the car and easily could stop my insurance")</f>
        <v>Very satisfied, I recommend, customer service is at the top and the price is attractive. I sold the car and easily could stop my insurance</v>
      </c>
    </row>
    <row r="249" ht="15.75" customHeight="1">
      <c r="A249" s="2">
        <v>2.0</v>
      </c>
      <c r="B249" s="2" t="s">
        <v>814</v>
      </c>
      <c r="C249" s="2" t="s">
        <v>815</v>
      </c>
      <c r="D249" s="2" t="s">
        <v>298</v>
      </c>
      <c r="E249" s="2" t="s">
        <v>157</v>
      </c>
      <c r="F249" s="2" t="s">
        <v>15</v>
      </c>
      <c r="G249" s="2" t="s">
        <v>534</v>
      </c>
      <c r="H249" s="2" t="s">
        <v>52</v>
      </c>
      <c r="I249" s="2" t="str">
        <f>IFERROR(__xludf.DUMMYFUNCTION("GOOGLETRANSLATE(C249,""fr"",""en"")"),"No consideration of the member, in addition to health concerns, interior leads us financial problems. My situation is catastrophic, still awaiting my maintenance of the premiums of February, March, April, May, and of my salary maintenance of May, while we"&amp;" are almost in July I !! Yet my subscription is well taken every month. I think that a court procedure will be necessary !!!")</f>
        <v>No consideration of the member, in addition to health concerns, interior leads us financial problems. My situation is catastrophic, still awaiting my maintenance of the premiums of February, March, April, May, and of my salary maintenance of May, while we are almost in July I !! Yet my subscription is well taken every month. I think that a court procedure will be necessary !!!</v>
      </c>
    </row>
    <row r="250" ht="15.75" customHeight="1">
      <c r="A250" s="2">
        <v>3.0</v>
      </c>
      <c r="B250" s="2" t="s">
        <v>816</v>
      </c>
      <c r="C250" s="2" t="s">
        <v>817</v>
      </c>
      <c r="D250" s="2" t="s">
        <v>32</v>
      </c>
      <c r="E250" s="2" t="s">
        <v>21</v>
      </c>
      <c r="F250" s="2" t="s">
        <v>15</v>
      </c>
      <c r="G250" s="2" t="s">
        <v>818</v>
      </c>
      <c r="H250" s="2" t="s">
        <v>56</v>
      </c>
      <c r="I250" s="2" t="str">
        <f>IFERROR(__xludf.DUMMYFUNCTION("GOOGLETRANSLATE(C250,""fr"",""en"")"),"I am satisfied with service, prices and services.
I recommend this insurance to my loved ones.
My whole family is insured at home, see her with you.")</f>
        <v>I am satisfied with service, prices and services.
I recommend this insurance to my loved ones.
My whole family is insured at home, see her with you.</v>
      </c>
    </row>
    <row r="251" ht="15.75" customHeight="1">
      <c r="A251" s="2">
        <v>4.0</v>
      </c>
      <c r="B251" s="2" t="s">
        <v>819</v>
      </c>
      <c r="C251" s="2" t="s">
        <v>820</v>
      </c>
      <c r="D251" s="2" t="s">
        <v>379</v>
      </c>
      <c r="E251" s="2" t="s">
        <v>82</v>
      </c>
      <c r="F251" s="2" t="s">
        <v>15</v>
      </c>
      <c r="G251" s="2" t="s">
        <v>821</v>
      </c>
      <c r="H251" s="2" t="s">
        <v>412</v>
      </c>
      <c r="I251" s="2" t="str">
        <f>IFERROR(__xludf.DUMMYFUNCTION("GOOGLETRANSLATE(C251,""fr"",""en"")"),"Customer relations have always been cordial.
Direct or telephone exchanges are treated immediately.
Refunds are reasonable and in accordance with contributions.
I recommend this mutual.")</f>
        <v>Customer relations have always been cordial.
Direct or telephone exchanges are treated immediately.
Refunds are reasonable and in accordance with contributions.
I recommend this mutual.</v>
      </c>
    </row>
    <row r="252" ht="15.75" customHeight="1">
      <c r="A252" s="2">
        <v>2.0</v>
      </c>
      <c r="B252" s="2" t="s">
        <v>822</v>
      </c>
      <c r="C252" s="2" t="s">
        <v>823</v>
      </c>
      <c r="D252" s="2" t="s">
        <v>641</v>
      </c>
      <c r="E252" s="2" t="s">
        <v>33</v>
      </c>
      <c r="F252" s="2" t="s">
        <v>15</v>
      </c>
      <c r="G252" s="2" t="s">
        <v>419</v>
      </c>
      <c r="H252" s="2" t="s">
        <v>419</v>
      </c>
      <c r="I252" s="2" t="str">
        <f>IFERROR(__xludf.DUMMYFUNCTION("GOOGLETRANSLATE(C252,""fr"",""en"")"),"Hello I had a disaster disaster disaster The expert and unpleasant past who does not stop cutting me and finally tell me that my house rotten state and that my disaster come from obsolescence. of the front roof or the infiltration of water on a part of th"&amp;"e front roof. It has just compared the front roof which was not touched to see that it was impeccable before the sinister. I said that they have received the report but that he is currently dealing with the loss files of the last weekend Allor that I have"&amp;" been waiting for two months and that the roof c and an emergency HA is really decus of this insurance it are not Not serious. I don't sleep anymore in this I expect their answer I would come back my opinion for the rest of this story.")</f>
        <v>Hello I had a disaster disaster disaster The expert and unpleasant past who does not stop cutting me and finally tell me that my house rotten state and that my disaster come from obsolescence. of the front roof or the infiltration of water on a part of the front roof. It has just compared the front roof which was not touched to see that it was impeccable before the sinister. I said that they have received the report but that he is currently dealing with the loss files of the last weekend Allor that I have been waiting for two months and that the roof c and an emergency HA is really decus of this insurance it are not Not serious. I don't sleep anymore in this I expect their answer I would come back my opinion for the rest of this story.</v>
      </c>
    </row>
    <row r="253" ht="15.75" customHeight="1">
      <c r="A253" s="2">
        <v>5.0</v>
      </c>
      <c r="B253" s="2" t="s">
        <v>824</v>
      </c>
      <c r="C253" s="2" t="s">
        <v>825</v>
      </c>
      <c r="D253" s="2" t="s">
        <v>135</v>
      </c>
      <c r="E253" s="2" t="s">
        <v>60</v>
      </c>
      <c r="F253" s="2" t="s">
        <v>15</v>
      </c>
      <c r="G253" s="2" t="s">
        <v>826</v>
      </c>
      <c r="H253" s="2" t="s">
        <v>56</v>
      </c>
      <c r="I253" s="2" t="str">
        <f>IFERROR(__xludf.DUMMYFUNCTION("GOOGLETRANSLATE(C253,""fr"",""en"")"),"Correct prices and easy online subscription, everything is always very clear, easy to understand
I highly recommend Amv insurance to my biker friends !!
")</f>
        <v>Correct prices and easy online subscription, everything is always very clear, easy to understand
I highly recommend Amv insurance to my biker friends !!
</v>
      </c>
    </row>
    <row r="254" ht="15.75" customHeight="1">
      <c r="A254" s="2">
        <v>4.0</v>
      </c>
      <c r="B254" s="2" t="s">
        <v>827</v>
      </c>
      <c r="C254" s="2" t="s">
        <v>828</v>
      </c>
      <c r="D254" s="2" t="s">
        <v>42</v>
      </c>
      <c r="E254" s="2" t="s">
        <v>21</v>
      </c>
      <c r="F254" s="2" t="s">
        <v>15</v>
      </c>
      <c r="G254" s="2" t="s">
        <v>548</v>
      </c>
      <c r="H254" s="2" t="s">
        <v>39</v>
      </c>
      <c r="I254" s="2" t="str">
        <f>IFERROR(__xludf.DUMMYFUNCTION("GOOGLETRANSLATE(C254,""fr"",""en"")"),"Very satisfied with the price.
The customer advisor who answered us is very professional and pleasant.
Very happy with the service in general, I recommend this insurance.")</f>
        <v>Very satisfied with the price.
The customer advisor who answered us is very professional and pleasant.
Very happy with the service in general, I recommend this insurance.</v>
      </c>
    </row>
    <row r="255" ht="15.75" customHeight="1">
      <c r="A255" s="2">
        <v>4.0</v>
      </c>
      <c r="B255" s="2" t="s">
        <v>829</v>
      </c>
      <c r="C255" s="2" t="s">
        <v>830</v>
      </c>
      <c r="D255" s="2" t="s">
        <v>42</v>
      </c>
      <c r="E255" s="2" t="s">
        <v>21</v>
      </c>
      <c r="F255" s="2" t="s">
        <v>15</v>
      </c>
      <c r="G255" s="2" t="s">
        <v>761</v>
      </c>
      <c r="H255" s="2" t="s">
        <v>62</v>
      </c>
      <c r="I255" s="2" t="str">
        <f>IFERROR(__xludf.DUMMYFUNCTION("GOOGLETRANSLATE(C255,""fr"",""en"")"),"I am satisfied with the service, fast and easy
Send the provisional green card fast, the unbeatable price
I highly recommend")</f>
        <v>I am satisfied with the service, fast and easy
Send the provisional green card fast, the unbeatable price
I highly recommend</v>
      </c>
    </row>
    <row r="256" ht="15.75" customHeight="1">
      <c r="A256" s="2">
        <v>2.0</v>
      </c>
      <c r="B256" s="2" t="s">
        <v>831</v>
      </c>
      <c r="C256" s="2" t="s">
        <v>832</v>
      </c>
      <c r="D256" s="2" t="s">
        <v>129</v>
      </c>
      <c r="E256" s="2" t="s">
        <v>33</v>
      </c>
      <c r="F256" s="2" t="s">
        <v>15</v>
      </c>
      <c r="G256" s="2" t="s">
        <v>833</v>
      </c>
      <c r="H256" s="2" t="s">
        <v>464</v>
      </c>
      <c r="I256" s="2" t="str">
        <f>IFERROR(__xludf.DUMMYFUNCTION("GOOGLETRANSLATE(C256,""fr"",""en"")"),"Hello,
49 years of subscription and no responsible damage. 2 consecutive water damage (3 days apart, 4 damaged parts) following work with my neighbor from above (bathroom), this very correct (sorry for the situation) and the entrepreneur recognizes his r"&amp;"esponsibility, so apparently a Simple case.
The sum proposed on the 2 consecutive expertise of Elex, one of which yesterday (the 2 claims had not been linked to immediately when one of the damaged pieces is by the 2) does not correspond to the quote made"&amp;" by craftsman From my knowledge that works quickly, well and whose prices are correct (the expert figure half as much, 1st expertise 75% less).
Questions :
-Why the expert does not defend his client when he is not going to pay since we are not responsib"&amp;"le?
-How can he be so competitive without degrading the quality of work?
I await the detailed quote of the expert to see where the difference comes from (the craftsman was able to make a mistake) but doubt that he was transmitted to me, he was not the f"&amp;"irst time.
In addition, I was criticized for not being more pleasant (the owner of the above apartment was also shocked, he had been summoned by Elex despite the presence of his expert but that makes me at least one witness), Perhaps proven methods to lo"&amp;"wer prices?
I hope it will work out, in any case I was really stupid:
-&gt; GMF customer In the same case as me, advice, save the interview at least to avoid the 'misunderstandings'.
Cordially")</f>
        <v>Hello,
49 years of subscription and no responsible damage. 2 consecutive water damage (3 days apart, 4 damaged parts) following work with my neighbor from above (bathroom), this very correct (sorry for the situation) and the entrepreneur recognizes his responsibility, so apparently a Simple case.
The sum proposed on the 2 consecutive expertise of Elex, one of which yesterday (the 2 claims had not been linked to immediately when one of the damaged pieces is by the 2) does not correspond to the quote made by craftsman From my knowledge that works quickly, well and whose prices are correct (the expert figure half as much, 1st expertise 75% less).
Questions :
-Why the expert does not defend his client when he is not going to pay since we are not responsible?
-How can he be so competitive without degrading the quality of work?
I await the detailed quote of the expert to see where the difference comes from (the craftsman was able to make a mistake) but doubt that he was transmitted to me, he was not the first time.
In addition, I was criticized for not being more pleasant (the owner of the above apartment was also shocked, he had been summoned by Elex despite the presence of his expert but that makes me at least one witness), Perhaps proven methods to lower prices?
I hope it will work out, in any case I was really stupid:
-&gt; GMF customer In the same case as me, advice, save the interview at least to avoid the 'misunderstandings'.
Cordially</v>
      </c>
    </row>
    <row r="257" ht="15.75" customHeight="1">
      <c r="A257" s="2">
        <v>5.0</v>
      </c>
      <c r="B257" s="2" t="s">
        <v>834</v>
      </c>
      <c r="C257" s="2" t="s">
        <v>835</v>
      </c>
      <c r="D257" s="2" t="s">
        <v>42</v>
      </c>
      <c r="E257" s="2" t="s">
        <v>21</v>
      </c>
      <c r="F257" s="2" t="s">
        <v>15</v>
      </c>
      <c r="G257" s="2" t="s">
        <v>836</v>
      </c>
      <c r="H257" s="2" t="s">
        <v>48</v>
      </c>
      <c r="I257" s="2" t="str">
        <f>IFERROR(__xludf.DUMMYFUNCTION("GOOGLETRANSLATE(C257,""fr"",""en"")"),"I had a big problem to send my documents, access to the personal space was problematic, but a solution was found ... so it should be fine.")</f>
        <v>I had a big problem to send my documents, access to the personal space was problematic, but a solution was found ... so it should be fine.</v>
      </c>
    </row>
    <row r="258" ht="15.75" customHeight="1">
      <c r="A258" s="2">
        <v>1.0</v>
      </c>
      <c r="B258" s="2" t="s">
        <v>837</v>
      </c>
      <c r="C258" s="2" t="s">
        <v>838</v>
      </c>
      <c r="D258" s="2" t="s">
        <v>839</v>
      </c>
      <c r="E258" s="2" t="s">
        <v>220</v>
      </c>
      <c r="F258" s="2" t="s">
        <v>15</v>
      </c>
      <c r="G258" s="2" t="s">
        <v>840</v>
      </c>
      <c r="H258" s="2" t="s">
        <v>474</v>
      </c>
      <c r="I258" s="2" t="str">
        <f>IFERROR(__xludf.DUMMYFUNCTION("GOOGLETRANSLATE(C258,""fr"",""en"")"),"A company to flee, I spent 1 1/2 month under message, mail to unlock life insurance arrived in the long term after having to respect the deadline and the mail recommends with AR. They do what he wants and plays with your money. No sense of the customer. I"&amp;"t takes households to mediation services for it to move. As for the broker well formed by general separately picking up his committee he does nothing.")</f>
        <v>A company to flee, I spent 1 1/2 month under message, mail to unlock life insurance arrived in the long term after having to respect the deadline and the mail recommends with AR. They do what he wants and plays with your money. No sense of the customer. It takes households to mediation services for it to move. As for the broker well formed by general separately picking up his committee he does nothing.</v>
      </c>
    </row>
    <row r="259" ht="15.75" customHeight="1">
      <c r="A259" s="2">
        <v>4.0</v>
      </c>
      <c r="B259" s="2" t="s">
        <v>841</v>
      </c>
      <c r="C259" s="2" t="s">
        <v>842</v>
      </c>
      <c r="D259" s="2" t="s">
        <v>32</v>
      </c>
      <c r="E259" s="2" t="s">
        <v>21</v>
      </c>
      <c r="F259" s="2" t="s">
        <v>15</v>
      </c>
      <c r="G259" s="2" t="s">
        <v>843</v>
      </c>
      <c r="H259" s="2" t="s">
        <v>104</v>
      </c>
      <c r="I259" s="2" t="str">
        <f>IFERROR(__xludf.DUMMYFUNCTION("GOOGLETRANSLATE(C259,""fr"",""en"")"),"It was my 3rd year that I am affiliated with Direct Insurance and until now the price of insurance has not dropped, however I have moved and now I have a private parking.")</f>
        <v>It was my 3rd year that I am affiliated with Direct Insurance and until now the price of insurance has not dropped, however I have moved and now I have a private parking.</v>
      </c>
    </row>
    <row r="260" ht="15.75" customHeight="1">
      <c r="A260" s="2">
        <v>1.0</v>
      </c>
      <c r="B260" s="2" t="s">
        <v>844</v>
      </c>
      <c r="C260" s="2" t="s">
        <v>845</v>
      </c>
      <c r="D260" s="2" t="s">
        <v>32</v>
      </c>
      <c r="E260" s="2" t="s">
        <v>21</v>
      </c>
      <c r="F260" s="2" t="s">
        <v>15</v>
      </c>
      <c r="G260" s="2" t="s">
        <v>91</v>
      </c>
      <c r="H260" s="2" t="s">
        <v>92</v>
      </c>
      <c r="I260" s="2" t="str">
        <f>IFERROR(__xludf.DUMMYFUNCTION("GOOGLETRANSLATE(C260,""fr"",""en"")"),"Worse insurance! No support during an accident! They take your money and that's it! to flee !!!!! After a clash with a pedestrian, recognized aside by itself and the police, the insurance did not do its job to take the time in consideration the paper and "&amp;"testimony to bring.")</f>
        <v>Worse insurance! No support during an accident! They take your money and that's it! to flee !!!!! After a clash with a pedestrian, recognized aside by itself and the police, the insurance did not do its job to take the time in consideration the paper and testimony to bring.</v>
      </c>
    </row>
    <row r="261" ht="15.75" customHeight="1">
      <c r="A261" s="2">
        <v>4.0</v>
      </c>
      <c r="B261" s="2" t="s">
        <v>846</v>
      </c>
      <c r="C261" s="2" t="s">
        <v>847</v>
      </c>
      <c r="D261" s="2" t="s">
        <v>196</v>
      </c>
      <c r="E261" s="2" t="s">
        <v>82</v>
      </c>
      <c r="F261" s="2" t="s">
        <v>15</v>
      </c>
      <c r="G261" s="2" t="s">
        <v>848</v>
      </c>
      <c r="H261" s="2" t="s">
        <v>206</v>
      </c>
      <c r="I261" s="2" t="str">
        <f>IFERROR(__xludf.DUMMYFUNCTION("GOOGLETRANSLATE(C261,""fr"",""en"")"),"Future customer, I was very well informed by Géraldine pleasant and calm person.")</f>
        <v>Future customer, I was very well informed by Géraldine pleasant and calm person.</v>
      </c>
    </row>
    <row r="262" ht="15.75" customHeight="1">
      <c r="A262" s="2">
        <v>3.0</v>
      </c>
      <c r="B262" s="2" t="s">
        <v>849</v>
      </c>
      <c r="C262" s="2" t="s">
        <v>850</v>
      </c>
      <c r="D262" s="2" t="s">
        <v>32</v>
      </c>
      <c r="E262" s="2" t="s">
        <v>21</v>
      </c>
      <c r="F262" s="2" t="s">
        <v>15</v>
      </c>
      <c r="G262" s="2" t="s">
        <v>851</v>
      </c>
      <c r="H262" s="2" t="s">
        <v>315</v>
      </c>
      <c r="I262" s="2" t="str">
        <f>IFERROR(__xludf.DUMMYFUNCTION("GOOGLETRANSLATE(C262,""fr"",""en"")"),"Just to compliment the interlocutor by Tel a few days ago. Effective, patient and kind. We groan enough when we 'come across' incapable' so I say my satisfaction for this gentleman, he deserves not to vegetate :-)")</f>
        <v>Just to compliment the interlocutor by Tel a few days ago. Effective, patient and kind. We groan enough when we 'come across' incapable' so I say my satisfaction for this gentleman, he deserves not to vegetate :-)</v>
      </c>
    </row>
    <row r="263" ht="15.75" customHeight="1">
      <c r="A263" s="2">
        <v>4.0</v>
      </c>
      <c r="B263" s="2" t="s">
        <v>852</v>
      </c>
      <c r="C263" s="2" t="s">
        <v>853</v>
      </c>
      <c r="D263" s="2" t="s">
        <v>129</v>
      </c>
      <c r="E263" s="2" t="s">
        <v>21</v>
      </c>
      <c r="F263" s="2" t="s">
        <v>15</v>
      </c>
      <c r="G263" s="2" t="s">
        <v>854</v>
      </c>
      <c r="H263" s="2" t="s">
        <v>56</v>
      </c>
      <c r="I263" s="2" t="str">
        <f>IFERROR(__xludf.DUMMYFUNCTION("GOOGLETRANSLATE(C263,""fr"",""en"")"),"I am very satisfied with the service, on the other hand I think that there is a price level price concerning the children of the insured, because my children insured at home through my contract on prices significantly higher than your competitors
Cordial"&amp;"ly
Mr DUPONT")</f>
        <v>I am very satisfied with the service, on the other hand I think that there is a price level price concerning the children of the insured, because my children insured at home through my contract on prices significantly higher than your competitors
Cordially
Mr DUPONT</v>
      </c>
    </row>
    <row r="264" ht="15.75" customHeight="1">
      <c r="A264" s="2">
        <v>3.0</v>
      </c>
      <c r="B264" s="2" t="s">
        <v>855</v>
      </c>
      <c r="C264" s="2" t="s">
        <v>856</v>
      </c>
      <c r="D264" s="2" t="s">
        <v>81</v>
      </c>
      <c r="E264" s="2" t="s">
        <v>82</v>
      </c>
      <c r="F264" s="2" t="s">
        <v>15</v>
      </c>
      <c r="G264" s="2" t="s">
        <v>857</v>
      </c>
      <c r="H264" s="2" t="s">
        <v>330</v>
      </c>
      <c r="I264" s="2" t="str">
        <f>IFERROR(__xludf.DUMMYFUNCTION("GOOGLETRANSLATE(C264,""fr"",""en"")"),"Welcome and fast - Information obtained perfect
remains to judge the future when the contract is in place")</f>
        <v>Welcome and fast - Information obtained perfect
remains to judge the future when the contract is in place</v>
      </c>
    </row>
    <row r="265" ht="15.75" customHeight="1">
      <c r="A265" s="2">
        <v>1.0</v>
      </c>
      <c r="B265" s="2" t="s">
        <v>858</v>
      </c>
      <c r="C265" s="2" t="s">
        <v>859</v>
      </c>
      <c r="D265" s="2" t="s">
        <v>20</v>
      </c>
      <c r="E265" s="2" t="s">
        <v>21</v>
      </c>
      <c r="F265" s="2" t="s">
        <v>15</v>
      </c>
      <c r="G265" s="2" t="s">
        <v>358</v>
      </c>
      <c r="H265" s="2" t="s">
        <v>359</v>
      </c>
      <c r="I265" s="2" t="str">
        <f>IFERROR(__xludf.DUMMYFUNCTION("GOOGLETRANSLATE(C265,""fr"",""en"")"),"Hello
What to think of the maif who erects in censor ??
In a file
MAIF doubts the insured's speech by quoting the expert report
And therefore refuses to compensate on the pretext that the expert refutes the declaration of the insured ...
The insured "&amp;"finds his car damaged following his parking in Paris, the province's expert refutes this situation.
So the expert and the maif question the word of the insured
Judges and insurer.
And the MAIF refuses to compensate ....
The MAIF undergoes a false decl"&amp;"aration and refuses compensation
I am looking for cameras at parking space
")</f>
        <v>Hello
What to think of the maif who erects in censor ??
In a file
MAIF doubts the insured's speech by quoting the expert report
And therefore refuses to compensate on the pretext that the expert refutes the declaration of the insured ...
The insured finds his car damaged following his parking in Paris, the province's expert refutes this situation.
So the expert and the maif question the word of the insured
Judges and insurer.
And the MAIF refuses to compensate ....
The MAIF undergoes a false declaration and refuses compensation
I am looking for cameras at parking space
</v>
      </c>
    </row>
    <row r="266" ht="15.75" customHeight="1">
      <c r="A266" s="2">
        <v>3.0</v>
      </c>
      <c r="B266" s="2" t="s">
        <v>860</v>
      </c>
      <c r="C266" s="2" t="s">
        <v>861</v>
      </c>
      <c r="D266" s="2" t="s">
        <v>200</v>
      </c>
      <c r="E266" s="2" t="s">
        <v>21</v>
      </c>
      <c r="F266" s="2" t="s">
        <v>15</v>
      </c>
      <c r="G266" s="2" t="s">
        <v>862</v>
      </c>
      <c r="H266" s="2" t="s">
        <v>531</v>
      </c>
      <c r="I266" s="2" t="str">
        <f>IFERROR(__xludf.DUMMYFUNCTION("GOOGLETRANSLATE(C266,""fr"",""en"")"),"Not very commercial, this company is only interested in your payment and drops you very quickly in the event of a claim ...")</f>
        <v>Not very commercial, this company is only interested in your payment and drops you very quickly in the event of a claim ...</v>
      </c>
    </row>
    <row r="267" ht="15.75" customHeight="1">
      <c r="A267" s="2">
        <v>1.0</v>
      </c>
      <c r="B267" s="2" t="s">
        <v>863</v>
      </c>
      <c r="C267" s="2" t="s">
        <v>864</v>
      </c>
      <c r="D267" s="2" t="s">
        <v>313</v>
      </c>
      <c r="E267" s="2" t="s">
        <v>82</v>
      </c>
      <c r="F267" s="2" t="s">
        <v>15</v>
      </c>
      <c r="G267" s="2" t="s">
        <v>865</v>
      </c>
      <c r="H267" s="2" t="s">
        <v>866</v>
      </c>
      <c r="I267" s="2" t="str">
        <f>IFERROR(__xludf.DUMMYFUNCTION("GOOGLETRANSLATE(C267,""fr"",""en"")"),"Good coverage but customer service below everything.")</f>
        <v>Good coverage but customer service below everything.</v>
      </c>
    </row>
    <row r="268" ht="15.75" customHeight="1">
      <c r="A268" s="2">
        <v>1.0</v>
      </c>
      <c r="B268" s="2" t="s">
        <v>867</v>
      </c>
      <c r="C268" s="2" t="s">
        <v>868</v>
      </c>
      <c r="D268" s="2" t="s">
        <v>183</v>
      </c>
      <c r="E268" s="2" t="s">
        <v>21</v>
      </c>
      <c r="F268" s="2" t="s">
        <v>15</v>
      </c>
      <c r="G268" s="2" t="s">
        <v>869</v>
      </c>
      <c r="H268" s="2" t="s">
        <v>485</v>
      </c>
      <c r="I268" s="2" t="str">
        <f>IFERROR(__xludf.DUMMYFUNCTION("GOOGLETRANSLATE(C268,""fr"",""en"")"),"takes us for fools! Subscriptions and fast payment/The same day .. OK BOOKS BUTTERS; Request for documents, despite the multiple sending of documents asking, there is still one ???, I spend hours on the phone, to make myself walk to the left, right, but n"&amp;"othing concrete! I fight with them for the documents I have sent several times, I pay for communication (if I am lucky someone answers me, otherwise at the end of 10/15 minute of waiting, we tell you that 'We must remember later !! WTF !!!!
For a group i"&amp;"n France, I had less trouble with a group abroad!
1 month spent and I still can't have my green card! 3 months of insurance pay in advance that I pay however!
Internet insurance to avoid urgently, go see competition, even if it does not speak French wel"&amp;"l, they understand better than Eallianz!
Really not serious !!!!
To avoid !!!")</f>
        <v>takes us for fools! Subscriptions and fast payment/The same day .. OK BOOKS BUTTERS; Request for documents, despite the multiple sending of documents asking, there is still one ???, I spend hours on the phone, to make myself walk to the left, right, but nothing concrete! I fight with them for the documents I have sent several times, I pay for communication (if I am lucky someone answers me, otherwise at the end of 10/15 minute of waiting, we tell you that 'We must remember later !! WTF !!!!
For a group in France, I had less trouble with a group abroad!
1 month spent and I still can't have my green card! 3 months of insurance pay in advance that I pay however!
Internet insurance to avoid urgently, go see competition, even if it does not speak French well, they understand better than Eallianz!
Really not serious !!!!
To avoid !!!</v>
      </c>
    </row>
    <row r="269" ht="15.75" customHeight="1">
      <c r="A269" s="2">
        <v>5.0</v>
      </c>
      <c r="B269" s="2" t="s">
        <v>870</v>
      </c>
      <c r="C269" s="2" t="s">
        <v>871</v>
      </c>
      <c r="D269" s="2" t="s">
        <v>196</v>
      </c>
      <c r="E269" s="2" t="s">
        <v>82</v>
      </c>
      <c r="F269" s="2" t="s">
        <v>15</v>
      </c>
      <c r="G269" s="2" t="s">
        <v>872</v>
      </c>
      <c r="H269" s="2" t="s">
        <v>104</v>
      </c>
      <c r="I269" s="2" t="str">
        <f>IFERROR(__xludf.DUMMYFUNCTION("GOOGLETRANSLATE(C269,""fr"",""en"")"),"Listening, good advice; helpful in the interest of the 2 parts, my mother has been registered since 2016, therefore .... satisfied and correct; Prices and accessibility, quality of services.")</f>
        <v>Listening, good advice; helpful in the interest of the 2 parts, my mother has been registered since 2016, therefore .... satisfied and correct; Prices and accessibility, quality of services.</v>
      </c>
    </row>
    <row r="270" ht="15.75" customHeight="1">
      <c r="A270" s="2">
        <v>2.0</v>
      </c>
      <c r="B270" s="2" t="s">
        <v>873</v>
      </c>
      <c r="C270" s="2" t="s">
        <v>874</v>
      </c>
      <c r="D270" s="2" t="s">
        <v>129</v>
      </c>
      <c r="E270" s="2" t="s">
        <v>21</v>
      </c>
      <c r="F270" s="2" t="s">
        <v>15</v>
      </c>
      <c r="G270" s="2" t="s">
        <v>545</v>
      </c>
      <c r="H270" s="2" t="s">
        <v>29</v>
      </c>
      <c r="I270" s="2" t="str">
        <f>IFERROR(__xludf.DUMMYFUNCTION("GOOGLETRANSLATE(C270,""fr"",""en"")"),"Breaking on the highway with 3 children and a cat halfway through my journey and 250 km remaining. GMF assistance only offers taxis when you are less than 30 km from their home (the assistance person was laughed when I made the idea when I was told that i"&amp;"t was done ), good to know in the choice of his insurer. The proposed solution was to put me in touch with a rental company and that's it.
To get the rental car, I should have taken a garage taxi where the convenience store had deposited me to the rental"&amp;" agency with my 3 children and my cat, then come back to the garage to get my luggage (all that with children and cats). Fortunately the rental company understood my distress and my stress, and was kind enough to come to the garage with the rental car.
T"&amp;"he car was too small to take the luggage, so we had to leave half in the trunk of the broken down car at the mechanic 300 km from my home. So there is no equivalent car in the breakdown assistance. Good to know too.
I have to recover my repaired car at 3"&amp;"00 km, no indication of the GMF on this point. You have to manage.
So extremely disappointed with assistance. Afraid that it will happen again, I will seek more practical and empathetic insurance on this type of very stressful event for a mother and her "&amp;"children.")</f>
        <v>Breaking on the highway with 3 children and a cat halfway through my journey and 250 km remaining. GMF assistance only offers taxis when you are less than 30 km from their home (the assistance person was laughed when I made the idea when I was told that it was done ), good to know in the choice of his insurer. The proposed solution was to put me in touch with a rental company and that's it.
To get the rental car, I should have taken a garage taxi where the convenience store had deposited me to the rental agency with my 3 children and my cat, then come back to the garage to get my luggage (all that with children and cats). Fortunately the rental company understood my distress and my stress, and was kind enough to come to the garage with the rental car.
The car was too small to take the luggage, so we had to leave half in the trunk of the broken down car at the mechanic 300 km from my home. So there is no equivalent car in the breakdown assistance. Good to know too.
I have to recover my repaired car at 300 km, no indication of the GMF on this point. You have to manage.
So extremely disappointed with assistance. Afraid that it will happen again, I will seek more practical and empathetic insurance on this type of very stressful event for a mother and her children.</v>
      </c>
    </row>
    <row r="271" ht="15.75" customHeight="1">
      <c r="A271" s="2">
        <v>1.0</v>
      </c>
      <c r="B271" s="2" t="s">
        <v>875</v>
      </c>
      <c r="C271" s="2" t="s">
        <v>876</v>
      </c>
      <c r="D271" s="2" t="s">
        <v>13</v>
      </c>
      <c r="E271" s="2" t="s">
        <v>14</v>
      </c>
      <c r="F271" s="2" t="s">
        <v>15</v>
      </c>
      <c r="G271" s="2" t="s">
        <v>877</v>
      </c>
      <c r="H271" s="2" t="s">
        <v>464</v>
      </c>
      <c r="I271" s="2" t="str">
        <f>IFERROR(__xludf.DUMMYFUNCTION("GOOGLETRANSLATE(C271,""fr"",""en"")"),"2 years that my 4 animals have been insured without difficulty rapid reimbursement.
It was very beautiful...
Unfortunately one of my dogs is sick. I have exhausted the ceiling for reimbursements for him.
An increase in July 2021 of 79 to 87 € and anoth"&amp;"er from 87 to 150 € announced for January 2022.
No details by animals.
No proof.
I just have to terminate ...
Ashamed !!!")</f>
        <v>2 years that my 4 animals have been insured without difficulty rapid reimbursement.
It was very beautiful...
Unfortunately one of my dogs is sick. I have exhausted the ceiling for reimbursements for him.
An increase in July 2021 of 79 to 87 € and another from 87 to 150 € announced for January 2022.
No details by animals.
No proof.
I just have to terminate ...
Ashamed !!!</v>
      </c>
    </row>
    <row r="272" ht="15.75" customHeight="1">
      <c r="A272" s="2">
        <v>1.0</v>
      </c>
      <c r="B272" s="2" t="s">
        <v>878</v>
      </c>
      <c r="C272" s="2" t="s">
        <v>879</v>
      </c>
      <c r="D272" s="2" t="s">
        <v>32</v>
      </c>
      <c r="E272" s="2" t="s">
        <v>21</v>
      </c>
      <c r="F272" s="2" t="s">
        <v>15</v>
      </c>
      <c r="G272" s="2" t="s">
        <v>408</v>
      </c>
      <c r="H272" s="2" t="s">
        <v>104</v>
      </c>
      <c r="I272" s="2" t="str">
        <f>IFERROR(__xludf.DUMMYFUNCTION("GOOGLETRANSLATE(C272,""fr"",""en"")"),"One was stamped from behind, and you considered me 100% twisted, unjustified and protocol decision without admitting a single human or logical parameter, everything in your sense, as always. I am scandalized.")</f>
        <v>One was stamped from behind, and you considered me 100% twisted, unjustified and protocol decision without admitting a single human or logical parameter, everything in your sense, as always. I am scandalized.</v>
      </c>
    </row>
    <row r="273" ht="15.75" customHeight="1">
      <c r="A273" s="2">
        <v>4.0</v>
      </c>
      <c r="B273" s="2" t="s">
        <v>880</v>
      </c>
      <c r="C273" s="2" t="s">
        <v>881</v>
      </c>
      <c r="D273" s="2" t="s">
        <v>32</v>
      </c>
      <c r="E273" s="2" t="s">
        <v>21</v>
      </c>
      <c r="F273" s="2" t="s">
        <v>15</v>
      </c>
      <c r="G273" s="2" t="s">
        <v>882</v>
      </c>
      <c r="H273" s="2" t="s">
        <v>39</v>
      </c>
      <c r="I273" s="2" t="str">
        <f>IFERROR(__xludf.DUMMYFUNCTION("GOOGLETRANSLATE(C273,""fr"",""en"")"),"All online applications and services are rather effective.
The prices are actually attractive.
Alas, as soon as I deal with an advisor/era by phone, it is often very complicated to be well understood easily. Sometimes even very laborious, while in the c"&amp;"ase of a disaster, the customer is often stressed.
Too often the impression that the employee/trice really needs to read at all costs what is written on his screen. It sometimes even becomes exasperating!")</f>
        <v>All online applications and services are rather effective.
The prices are actually attractive.
Alas, as soon as I deal with an advisor/era by phone, it is often very complicated to be well understood easily. Sometimes even very laborious, while in the case of a disaster, the customer is often stressed.
Too often the impression that the employee/trice really needs to read at all costs what is written on his screen. It sometimes even becomes exasperating!</v>
      </c>
    </row>
    <row r="274" ht="15.75" customHeight="1">
      <c r="A274" s="2">
        <v>4.0</v>
      </c>
      <c r="B274" s="2" t="s">
        <v>883</v>
      </c>
      <c r="C274" s="2" t="s">
        <v>884</v>
      </c>
      <c r="D274" s="2" t="s">
        <v>42</v>
      </c>
      <c r="E274" s="2" t="s">
        <v>21</v>
      </c>
      <c r="F274" s="2" t="s">
        <v>15</v>
      </c>
      <c r="G274" s="2" t="s">
        <v>885</v>
      </c>
      <c r="H274" s="2" t="s">
        <v>56</v>
      </c>
      <c r="I274" s="2" t="str">
        <f>IFERROR(__xludf.DUMMYFUNCTION("GOOGLETRANSLATE(C274,""fr"",""en"")"),"Efficient telephone service, precise in detail both of the different formulas and options. Price compared to interesting. It remains to judge follow -up in the event of accidents.")</f>
        <v>Efficient telephone service, precise in detail both of the different formulas and options. Price compared to interesting. It remains to judge follow -up in the event of accidents.</v>
      </c>
    </row>
    <row r="275" ht="15.75" customHeight="1">
      <c r="A275" s="2">
        <v>1.0</v>
      </c>
      <c r="B275" s="2" t="s">
        <v>886</v>
      </c>
      <c r="C275" s="2" t="s">
        <v>887</v>
      </c>
      <c r="D275" s="2" t="s">
        <v>145</v>
      </c>
      <c r="E275" s="2" t="s">
        <v>33</v>
      </c>
      <c r="F275" s="2" t="s">
        <v>15</v>
      </c>
      <c r="G275" s="2" t="s">
        <v>888</v>
      </c>
      <c r="H275" s="2" t="s">
        <v>464</v>
      </c>
      <c r="I275" s="2" t="str">
        <f>IFERROR(__xludf.DUMMYFUNCTION("GOOGLETRANSLATE(C275,""fr"",""en"")"),"The maaf is not ""the insurance that I prefer"" ..!
My residence underwent the consequences of drought (contraction/retraction of clay soils), which was classified as natural disaster by 2 times (2003 and 2018).
The MAAF did not compensate anything on a"&amp;"ll the rehabilitation work that has imposed themselves.
Expertise, against expertise, mediation, ...
I no longer hesitate to advise against this insurer around me and elsewhere.
I change all my contracts, I now favor Maif, with whom I already have 2 in"&amp;"sured vehicles. Service, prices, promptness, are happy. The insured is the customer, their client, not their ""enemy"", the maaf should be inspired by it.
")</f>
        <v>The maaf is not "the insurance that I prefer" ..!
My residence underwent the consequences of drought (contraction/retraction of clay soils), which was classified as natural disaster by 2 times (2003 and 2018).
The MAAF did not compensate anything on all the rehabilitation work that has imposed themselves.
Expertise, against expertise, mediation, ...
I no longer hesitate to advise against this insurer around me and elsewhere.
I change all my contracts, I now favor Maif, with whom I already have 2 insured vehicles. Service, prices, promptness, are happy. The insured is the customer, their client, not their "enemy", the maaf should be inspired by it.
</v>
      </c>
    </row>
    <row r="276" ht="15.75" customHeight="1">
      <c r="A276" s="2">
        <v>1.0</v>
      </c>
      <c r="B276" s="2" t="s">
        <v>889</v>
      </c>
      <c r="C276" s="2" t="s">
        <v>890</v>
      </c>
      <c r="D276" s="2" t="s">
        <v>303</v>
      </c>
      <c r="E276" s="2" t="s">
        <v>33</v>
      </c>
      <c r="F276" s="2" t="s">
        <v>15</v>
      </c>
      <c r="G276" s="2" t="s">
        <v>891</v>
      </c>
      <c r="H276" s="2" t="s">
        <v>39</v>
      </c>
      <c r="I276" s="2" t="str">
        <f>IFERROR(__xludf.DUMMYFUNCTION("GOOGLETRANSLATE(C276,""fr"",""en"")"),"Unpleasant and useless deplorable telephone reception. I asked to send me the attestation of the affiliation for my lessor, the advisor assured me that he will send it to me by email on the same day. NOTHING ! Painful that this document is not available o"&amp;"n the account and we must claim it and waste our time. The too expensive home insurance service. I terminate this unpleasant experience")</f>
        <v>Unpleasant and useless deplorable telephone reception. I asked to send me the attestation of the affiliation for my lessor, the advisor assured me that he will send it to me by email on the same day. NOTHING ! Painful that this document is not available on the account and we must claim it and waste our time. The too expensive home insurance service. I terminate this unpleasant experience</v>
      </c>
    </row>
    <row r="277" ht="15.75" customHeight="1">
      <c r="A277" s="2">
        <v>5.0</v>
      </c>
      <c r="B277" s="2" t="s">
        <v>892</v>
      </c>
      <c r="C277" s="2" t="s">
        <v>893</v>
      </c>
      <c r="D277" s="2" t="s">
        <v>42</v>
      </c>
      <c r="E277" s="2" t="s">
        <v>21</v>
      </c>
      <c r="F277" s="2" t="s">
        <v>15</v>
      </c>
      <c r="G277" s="2" t="s">
        <v>48</v>
      </c>
      <c r="H277" s="2" t="s">
        <v>48</v>
      </c>
      <c r="I277" s="2" t="str">
        <f>IFERROR(__xludf.DUMMYFUNCTION("GOOGLETRANSLATE(C277,""fr"",""en"")"),"Very clear and easy to use site. Cheer !
The prices charged are very attractive. The telephone reception is good, very professional. I am sure I am satisfied with the future with the olive tree.")</f>
        <v>Very clear and easy to use site. Cheer !
The prices charged are very attractive. The telephone reception is good, very professional. I am sure I am satisfied with the future with the olive tree.</v>
      </c>
    </row>
    <row r="278" ht="15.75" customHeight="1">
      <c r="A278" s="2">
        <v>3.0</v>
      </c>
      <c r="B278" s="2" t="s">
        <v>894</v>
      </c>
      <c r="C278" s="2" t="s">
        <v>895</v>
      </c>
      <c r="D278" s="2" t="s">
        <v>303</v>
      </c>
      <c r="E278" s="2" t="s">
        <v>21</v>
      </c>
      <c r="F278" s="2" t="s">
        <v>15</v>
      </c>
      <c r="G278" s="2" t="s">
        <v>896</v>
      </c>
      <c r="H278" s="2" t="s">
        <v>240</v>
      </c>
      <c r="I278" s="2" t="str">
        <f>IFERROR(__xludf.DUMMYFUNCTION("GOOGLETRANSLATE(C278,""fr"",""en"")"),"Hello,
I have broken down with a large C4 Picasso since early September 2017. My vehicle is located at a Citroën dealership in Ris-Orangis near my home. This garage lets me know that it does not have the necessary equipment to carry out the tests request"&amp;"ed by Citroën France and that I must take care of the transfer of my vehicle to another dealer. I contacted the Macif which put me in touch with its legal service. An expert had to go see the vehicle. Problem: the expert refuses to move because the garage"&amp;" in question does not have the technical means to make the diagnosis. I have to make the transfer to another garage on my own. This vehicle has 8000 km, it is under warranty until March 2021.
The Macif refuses to help me: no vehicle transfer or loan from"&amp;" another vehicle.
I was particularly 'shocked' by the attitude of the correspondents of the Macif that I had on the phone (insurance, legal service and assistance). I am looking for another insurance company for my 2 vehicles and my home.
")</f>
        <v>Hello,
I have broken down with a large C4 Picasso since early September 2017. My vehicle is located at a Citroën dealership in Ris-Orangis near my home. This garage lets me know that it does not have the necessary equipment to carry out the tests requested by Citroën France and that I must take care of the transfer of my vehicle to another dealer. I contacted the Macif which put me in touch with its legal service. An expert had to go see the vehicle. Problem: the expert refuses to move because the garage in question does not have the technical means to make the diagnosis. I have to make the transfer to another garage on my own. This vehicle has 8000 km, it is under warranty until March 2021.
The Macif refuses to help me: no vehicle transfer or loan from another vehicle.
I was particularly 'shocked' by the attitude of the correspondents of the Macif that I had on the phone (insurance, legal service and assistance). I am looking for another insurance company for my 2 vehicles and my home.
</v>
      </c>
    </row>
    <row r="279" ht="15.75" customHeight="1">
      <c r="A279" s="2">
        <v>1.0</v>
      </c>
      <c r="B279" s="2" t="s">
        <v>897</v>
      </c>
      <c r="C279" s="2" t="s">
        <v>898</v>
      </c>
      <c r="D279" s="2" t="s">
        <v>303</v>
      </c>
      <c r="E279" s="2" t="s">
        <v>33</v>
      </c>
      <c r="F279" s="2" t="s">
        <v>15</v>
      </c>
      <c r="G279" s="2" t="s">
        <v>899</v>
      </c>
      <c r="H279" s="2" t="s">
        <v>17</v>
      </c>
      <c r="I279" s="2" t="str">
        <f>IFERROR(__xludf.DUMMYFUNCTION("GOOGLETRANSLATE(C279,""fr"",""en"")"),"What a lack of seriousness for the Macif !!! My mom who is 70 years old, had a fire in April, the reimbursement to pay companies is still not made despite the XX reminders. The companies do not intervene without payments. To claim the subscription, there "&amp;"is no problem, they are on time! And moreover impossible to have them on the phone!")</f>
        <v>What a lack of seriousness for the Macif !!! My mom who is 70 years old, had a fire in April, the reimbursement to pay companies is still not made despite the XX reminders. The companies do not intervene without payments. To claim the subscription, there is no problem, they are on time! And moreover impossible to have them on the phone!</v>
      </c>
    </row>
    <row r="280" ht="15.75" customHeight="1">
      <c r="A280" s="2">
        <v>3.0</v>
      </c>
      <c r="B280" s="2" t="s">
        <v>900</v>
      </c>
      <c r="C280" s="2" t="s">
        <v>901</v>
      </c>
      <c r="D280" s="2" t="s">
        <v>20</v>
      </c>
      <c r="E280" s="2" t="s">
        <v>33</v>
      </c>
      <c r="F280" s="2" t="s">
        <v>15</v>
      </c>
      <c r="G280" s="2" t="s">
        <v>902</v>
      </c>
      <c r="H280" s="2" t="s">
        <v>866</v>
      </c>
      <c r="I280" s="2" t="str">
        <f>IFERROR(__xludf.DUMMYFUNCTION("GOOGLETRANSLATE(C280,""fr"",""en"")"),"Hello, in November 2018 I reported a water damage. I sent a quote to the Maif. In February an expert diligent by the MAIF came to my home. For 3 months no news, then a letter to warn me that a transfer in my favor was done and without informing what it co"&amp;"rresponds to. The amount of the transfer corresponds to less than half of the quote of course. Is it legal to treat your members in this way? If I want to challenge this quote I have to address the expert according to the Maif! Please tell me what I can l"&amp;"egally do. Well to you.")</f>
        <v>Hello, in November 2018 I reported a water damage. I sent a quote to the Maif. In February an expert diligent by the MAIF came to my home. For 3 months no news, then a letter to warn me that a transfer in my favor was done and without informing what it corresponds to. The amount of the transfer corresponds to less than half of the quote of course. Is it legal to treat your members in this way? If I want to challenge this quote I have to address the expert according to the Maif! Please tell me what I can legally do. Well to you.</v>
      </c>
    </row>
    <row r="281" ht="15.75" customHeight="1">
      <c r="A281" s="2">
        <v>3.0</v>
      </c>
      <c r="B281" s="2" t="s">
        <v>903</v>
      </c>
      <c r="C281" s="2" t="s">
        <v>904</v>
      </c>
      <c r="D281" s="2" t="s">
        <v>379</v>
      </c>
      <c r="E281" s="2" t="s">
        <v>82</v>
      </c>
      <c r="F281" s="2" t="s">
        <v>15</v>
      </c>
      <c r="G281" s="2" t="s">
        <v>905</v>
      </c>
      <c r="H281" s="2" t="s">
        <v>17</v>
      </c>
      <c r="I281" s="2" t="str">
        <f>IFERROR(__xludf.DUMMYFUNCTION("GOOGLETRANSLATE(C281,""fr"",""en"")"),"Hello, as planned I give you my opinion, my Lyria insurance gives me complete satisfaction since my membership, I wish it so throughout my career in the penitentiary.")</f>
        <v>Hello, as planned I give you my opinion, my Lyria insurance gives me complete satisfaction since my membership, I wish it so throughout my career in the penitentiary.</v>
      </c>
    </row>
    <row r="282" ht="15.75" customHeight="1">
      <c r="A282" s="2">
        <v>5.0</v>
      </c>
      <c r="B282" s="2" t="s">
        <v>906</v>
      </c>
      <c r="C282" s="2" t="s">
        <v>907</v>
      </c>
      <c r="D282" s="2" t="s">
        <v>81</v>
      </c>
      <c r="E282" s="2" t="s">
        <v>82</v>
      </c>
      <c r="F282" s="2" t="s">
        <v>15</v>
      </c>
      <c r="G282" s="2" t="s">
        <v>908</v>
      </c>
      <c r="H282" s="2" t="s">
        <v>300</v>
      </c>
      <c r="I282" s="2" t="str">
        <f>IFERROR(__xludf.DUMMYFUNCTION("GOOGLETRANSLATE(C282,""fr"",""en"")"),"Finally a broker who has resources to respond to his members! I do not know how much they are in Nice but they offer quality support which is rare for a broker, so I am very happy.")</f>
        <v>Finally a broker who has resources to respond to his members! I do not know how much they are in Nice but they offer quality support which is rare for a broker, so I am very happy.</v>
      </c>
    </row>
    <row r="283" ht="15.75" customHeight="1">
      <c r="A283" s="2">
        <v>1.0</v>
      </c>
      <c r="B283" s="2" t="s">
        <v>909</v>
      </c>
      <c r="C283" s="2" t="s">
        <v>910</v>
      </c>
      <c r="D283" s="2" t="s">
        <v>32</v>
      </c>
      <c r="E283" s="2" t="s">
        <v>21</v>
      </c>
      <c r="F283" s="2" t="s">
        <v>15</v>
      </c>
      <c r="G283" s="2" t="s">
        <v>911</v>
      </c>
      <c r="H283" s="2" t="s">
        <v>29</v>
      </c>
      <c r="I283" s="2" t="str">
        <f>IFERROR(__xludf.DUMMYFUNCTION("GOOGLETRANSLATE(C283,""fr"",""en"")"),"Be careful to flee! When you take out insurance at home and despite being effective as a month after and you have the right to withdraw within 10 days, they immediately take the deadline! In addition, they inform you that you are not entitled to retract y"&amp;"ourself within 10 days when this is false. On the contract this clause is therefore abusive. They then ask you for lots of documents and depending on these, they can increase your subscription by informing you that you still cannot withdraw. What is still"&amp;" false since you have given an agreement on conditions and if there is your agreement is obsolete.
For my part, I asked to retract. They accepted by email asking me to address the withdrawal by LR. What I have done. I never sent the information statement"&amp;" by email he asked me since I didn't want this insurance anymore. Despite that they never assured my vehicle (since they did not have all the documents they asked for), they still do not want to reimburse me !!! And it's been 3 months since it lasts. TO F"&amp;"LEE
Contract n ° 326367415")</f>
        <v>Be careful to flee! When you take out insurance at home and despite being effective as a month after and you have the right to withdraw within 10 days, they immediately take the deadline! In addition, they inform you that you are not entitled to retract yourself within 10 days when this is false. On the contract this clause is therefore abusive. They then ask you for lots of documents and depending on these, they can increase your subscription by informing you that you still cannot withdraw. What is still false since you have given an agreement on conditions and if there is your agreement is obsolete.
For my part, I asked to retract. They accepted by email asking me to address the withdrawal by LR. What I have done. I never sent the information statement by email he asked me since I didn't want this insurance anymore. Despite that they never assured my vehicle (since they did not have all the documents they asked for), they still do not want to reimburse me !!! And it's been 3 months since it lasts. TO FLEE
Contract n ° 326367415</v>
      </c>
    </row>
    <row r="284" ht="15.75" customHeight="1">
      <c r="A284" s="2">
        <v>3.0</v>
      </c>
      <c r="B284" s="2" t="s">
        <v>912</v>
      </c>
      <c r="C284" s="2" t="s">
        <v>913</v>
      </c>
      <c r="D284" s="2" t="s">
        <v>32</v>
      </c>
      <c r="E284" s="2" t="s">
        <v>21</v>
      </c>
      <c r="F284" s="2" t="s">
        <v>15</v>
      </c>
      <c r="G284" s="2" t="s">
        <v>914</v>
      </c>
      <c r="H284" s="2" t="s">
        <v>104</v>
      </c>
      <c r="I284" s="2" t="str">
        <f>IFERROR(__xludf.DUMMYFUNCTION("GOOGLETRANSLATE(C284,""fr"",""en"")"),"I am not satisfied with this service because no one has given me answers for my current claims and that I was terminated without valid reasons")</f>
        <v>I am not satisfied with this service because no one has given me answers for my current claims and that I was terminated without valid reasons</v>
      </c>
    </row>
    <row r="285" ht="15.75" customHeight="1">
      <c r="A285" s="2">
        <v>2.0</v>
      </c>
      <c r="B285" s="2" t="s">
        <v>915</v>
      </c>
      <c r="C285" s="2" t="s">
        <v>916</v>
      </c>
      <c r="D285" s="2" t="s">
        <v>90</v>
      </c>
      <c r="E285" s="2" t="s">
        <v>82</v>
      </c>
      <c r="F285" s="2" t="s">
        <v>15</v>
      </c>
      <c r="G285" s="2" t="s">
        <v>917</v>
      </c>
      <c r="H285" s="2" t="s">
        <v>427</v>
      </c>
      <c r="I285" s="2" t="str">
        <f>IFERROR(__xludf.DUMMYFUNCTION("GOOGLETRANSLATE(C285,""fr"",""en"")"),"We have changed our ACS contract since January 1, 2020. Result of the races more teletransmission between the security and HM, 2 mutual contracts to pay and therefore part of the mutual always at my expense.")</f>
        <v>We have changed our ACS contract since January 1, 2020. Result of the races more teletransmission between the security and HM, 2 mutual contracts to pay and therefore part of the mutual always at my expense.</v>
      </c>
    </row>
    <row r="286" ht="15.75" customHeight="1">
      <c r="A286" s="2">
        <v>3.0</v>
      </c>
      <c r="B286" s="2" t="s">
        <v>918</v>
      </c>
      <c r="C286" s="2" t="s">
        <v>919</v>
      </c>
      <c r="D286" s="2" t="s">
        <v>42</v>
      </c>
      <c r="E286" s="2" t="s">
        <v>21</v>
      </c>
      <c r="F286" s="2" t="s">
        <v>15</v>
      </c>
      <c r="G286" s="2" t="s">
        <v>826</v>
      </c>
      <c r="H286" s="2" t="s">
        <v>56</v>
      </c>
      <c r="I286" s="2" t="str">
        <f>IFERROR(__xludf.DUMMYFUNCTION("GOOGLETRANSLATE(C286,""fr"",""en"")"),"Hope a good association and that the guarantees are present.
the possibility of having an interlocutor if the need was felt for the procedures")</f>
        <v>Hope a good association and that the guarantees are present.
the possibility of having an interlocutor if the need was felt for the procedures</v>
      </c>
    </row>
    <row r="287" ht="15.75" customHeight="1">
      <c r="A287" s="2">
        <v>5.0</v>
      </c>
      <c r="B287" s="2" t="s">
        <v>920</v>
      </c>
      <c r="C287" s="2" t="s">
        <v>921</v>
      </c>
      <c r="D287" s="2" t="s">
        <v>42</v>
      </c>
      <c r="E287" s="2" t="s">
        <v>21</v>
      </c>
      <c r="F287" s="2" t="s">
        <v>15</v>
      </c>
      <c r="G287" s="2" t="s">
        <v>922</v>
      </c>
      <c r="H287" s="2" t="s">
        <v>52</v>
      </c>
      <c r="I287" s="2" t="str">
        <f>IFERROR(__xludf.DUMMYFUNCTION("GOOGLETRANSLATE(C287,""fr"",""en"")"),"I am satisfied with your service, the prices are attractive and the practicality of your website is remarkable, I recommend the olive assurance for its simplicity.")</f>
        <v>I am satisfied with your service, the prices are attractive and the practicality of your website is remarkable, I recommend the olive assurance for its simplicity.</v>
      </c>
    </row>
    <row r="288" ht="15.75" customHeight="1">
      <c r="A288" s="2">
        <v>5.0</v>
      </c>
      <c r="B288" s="2" t="s">
        <v>923</v>
      </c>
      <c r="C288" s="2" t="s">
        <v>924</v>
      </c>
      <c r="D288" s="2" t="s">
        <v>32</v>
      </c>
      <c r="E288" s="2" t="s">
        <v>21</v>
      </c>
      <c r="F288" s="2" t="s">
        <v>15</v>
      </c>
      <c r="G288" s="2" t="s">
        <v>729</v>
      </c>
      <c r="H288" s="2" t="s">
        <v>104</v>
      </c>
      <c r="I288" s="2" t="str">
        <f>IFERROR(__xludf.DUMMYFUNCTION("GOOGLETRANSLATE(C288,""fr"",""en"")"),"hello. for my first registration that I just made at the moment with one of your advisers I had a warm welcome and I am very happy thank you")</f>
        <v>hello. for my first registration that I just made at the moment with one of your advisers I had a warm welcome and I am very happy thank you</v>
      </c>
    </row>
    <row r="289" ht="15.75" customHeight="1">
      <c r="A289" s="2">
        <v>5.0</v>
      </c>
      <c r="B289" s="2" t="s">
        <v>925</v>
      </c>
      <c r="C289" s="2" t="s">
        <v>926</v>
      </c>
      <c r="D289" s="2" t="s">
        <v>32</v>
      </c>
      <c r="E289" s="2" t="s">
        <v>21</v>
      </c>
      <c r="F289" s="2" t="s">
        <v>15</v>
      </c>
      <c r="G289" s="2" t="s">
        <v>927</v>
      </c>
      <c r="H289" s="2" t="s">
        <v>39</v>
      </c>
      <c r="I289" s="2" t="str">
        <f>IFERROR(__xludf.DUMMYFUNCTION("GOOGLETRANSLATE(C289,""fr"",""en"")"),"I am very satisfied with the ease of the service and the speed of the subscription. The siteweb is very well done and very easy to use. The user is well accompanied.")</f>
        <v>I am very satisfied with the ease of the service and the speed of the subscription. The siteweb is very well done and very easy to use. The user is well accompanied.</v>
      </c>
    </row>
    <row r="290" ht="15.75" customHeight="1">
      <c r="A290" s="2">
        <v>1.0</v>
      </c>
      <c r="B290" s="2" t="s">
        <v>928</v>
      </c>
      <c r="C290" s="2" t="s">
        <v>929</v>
      </c>
      <c r="D290" s="2" t="s">
        <v>20</v>
      </c>
      <c r="E290" s="2" t="s">
        <v>21</v>
      </c>
      <c r="F290" s="2" t="s">
        <v>15</v>
      </c>
      <c r="G290" s="2" t="s">
        <v>930</v>
      </c>
      <c r="H290" s="2" t="s">
        <v>866</v>
      </c>
      <c r="I290" s="2" t="str">
        <f>IFERROR(__xludf.DUMMYFUNCTION("GOOGLETRANSLATE(C290,""fr"",""en"")"),"Following a fire on my vehicle (while I worked as an animator in a summer camp), the MAIF decided that I had issued inconsistencies and then not to reimburse me because they had suspicions and estimates . 2 weeks that I try to have a correct answer, and s"&amp;"ay that I advised insurance that ensures nothing.")</f>
        <v>Following a fire on my vehicle (while I worked as an animator in a summer camp), the MAIF decided that I had issued inconsistencies and then not to reimburse me because they had suspicions and estimates . 2 weeks that I try to have a correct answer, and say that I advised insurance that ensures nothing.</v>
      </c>
    </row>
    <row r="291" ht="15.75" customHeight="1">
      <c r="A291" s="2">
        <v>1.0</v>
      </c>
      <c r="B291" s="2" t="s">
        <v>931</v>
      </c>
      <c r="C291" s="2" t="s">
        <v>932</v>
      </c>
      <c r="D291" s="2" t="s">
        <v>560</v>
      </c>
      <c r="E291" s="2" t="s">
        <v>33</v>
      </c>
      <c r="F291" s="2" t="s">
        <v>15</v>
      </c>
      <c r="G291" s="2" t="s">
        <v>933</v>
      </c>
      <c r="H291" s="2" t="s">
        <v>78</v>
      </c>
      <c r="I291" s="2" t="str">
        <f>IFERROR(__xludf.DUMMYFUNCTION("GOOGLETRANSLATE(C291,""fr"",""en"")"),"On December 22, 2018 I underwent one. Cambriolation in my country house.
After having been to the gendarmerie doing the necessary I transmitted the Documents to L.organsime to which I am assured Crédit Mutuel ACM IARD SA.
A. Part of this moment of surpr"&amp;"ise in surprise
A little more 10,000 euros in computer equipment Tools Videos etc etc stolen.
Problem for the insurer the invoices despite having pointed out that all my purchases were made on the right corner
My answer no
So the insurer claims me the"&amp;" proof of mail conversations not yet lucky for me because I call the people who sell on this site.
I send them the only supporting documents in my possession (photos)
Their answer why did you make them on this date
After several months of relentlessnes"&amp;"s of telephone cup email we arrive on March 15, 2019 almost 4 months ....
I receive a transfer of 2880.00 euros
Ie a little more than 1/4 of the total stolen amount
Their response
According to the elements communicated I am in renovation by.Concissent"&amp;" Ben Sorry Bibi but we will be forced to apply the warranty limit provided for in the contract
The pulp that kills
In the absence of purchasing supporting documents we were in the right to allocate any compensation but we agreed to intervene and retain "&amp;"a lump sum value
Thanks to you, the insurer you are a.Signeur ....
I do not recommend this insurance of next week I will take out another insurance with more professional people
It's a shame")</f>
        <v>On December 22, 2018 I underwent one. Cambriolation in my country house.
After having been to the gendarmerie doing the necessary I transmitted the Documents to L.organsime to which I am assured Crédit Mutuel ACM IARD SA.
A. Part of this moment of surprise in surprise
A little more 10,000 euros in computer equipment Tools Videos etc etc stolen.
Problem for the insurer the invoices despite having pointed out that all my purchases were made on the right corner
My answer no
So the insurer claims me the proof of mail conversations not yet lucky for me because I call the people who sell on this site.
I send them the only supporting documents in my possession (photos)
Their answer why did you make them on this date
After several months of relentlessness of telephone cup email we arrive on March 15, 2019 almost 4 months ....
I receive a transfer of 2880.00 euros
Ie a little more than 1/4 of the total stolen amount
Their response
According to the elements communicated I am in renovation by.Concissent Ben Sorry Bibi but we will be forced to apply the warranty limit provided for in the contract
The pulp that kills
In the absence of purchasing supporting documents we were in the right to allocate any compensation but we agreed to intervene and retain a lump sum value
Thanks to you, the insurer you are a.Signeur ....
I do not recommend this insurance of next week I will take out another insurance with more professional people
It's a shame</v>
      </c>
    </row>
    <row r="292" ht="15.75" customHeight="1">
      <c r="A292" s="2">
        <v>1.0</v>
      </c>
      <c r="B292" s="2" t="s">
        <v>934</v>
      </c>
      <c r="C292" s="2" t="s">
        <v>935</v>
      </c>
      <c r="D292" s="2" t="s">
        <v>32</v>
      </c>
      <c r="E292" s="2" t="s">
        <v>21</v>
      </c>
      <c r="F292" s="2" t="s">
        <v>15</v>
      </c>
      <c r="G292" s="2" t="s">
        <v>936</v>
      </c>
      <c r="H292" s="2" t="s">
        <v>104</v>
      </c>
      <c r="I292" s="2" t="str">
        <f>IFERROR(__xludf.DUMMYFUNCTION("GOOGLETRANSLATE(C292,""fr"",""en"")"),"Augmentation this year of my deadline 31.97th per month this year 35.50 e despite the pandemic (less than kms rolled in 2020) and for myself 0 accidents for 20 years 0 loss of points since tjrs")</f>
        <v>Augmentation this year of my deadline 31.97th per month this year 35.50 e despite the pandemic (less than kms rolled in 2020) and for myself 0 accidents for 20 years 0 loss of points since tjrs</v>
      </c>
    </row>
    <row r="293" ht="15.75" customHeight="1">
      <c r="A293" s="2">
        <v>4.0</v>
      </c>
      <c r="B293" s="2" t="s">
        <v>937</v>
      </c>
      <c r="C293" s="2" t="s">
        <v>938</v>
      </c>
      <c r="D293" s="2" t="s">
        <v>42</v>
      </c>
      <c r="E293" s="2" t="s">
        <v>21</v>
      </c>
      <c r="F293" s="2" t="s">
        <v>15</v>
      </c>
      <c r="G293" s="2" t="s">
        <v>243</v>
      </c>
      <c r="H293" s="2" t="s">
        <v>52</v>
      </c>
      <c r="I293" s="2" t="str">
        <f>IFERROR(__xludf.DUMMYFUNCTION("GOOGLETRANSLATE(C293,""fr"",""en"")"),"Very good quality of pleasant and very responsive service listening to these very responsive members in the event of a problem, there remains to our arrangements and respond to our request")</f>
        <v>Very good quality of pleasant and very responsive service listening to these very responsive members in the event of a problem, there remains to our arrangements and respond to our request</v>
      </c>
    </row>
    <row r="294" ht="15.75" customHeight="1">
      <c r="A294" s="2">
        <v>5.0</v>
      </c>
      <c r="B294" s="2" t="s">
        <v>939</v>
      </c>
      <c r="C294" s="2" t="s">
        <v>940</v>
      </c>
      <c r="D294" s="2" t="s">
        <v>129</v>
      </c>
      <c r="E294" s="2" t="s">
        <v>21</v>
      </c>
      <c r="F294" s="2" t="s">
        <v>15</v>
      </c>
      <c r="G294" s="2" t="s">
        <v>62</v>
      </c>
      <c r="H294" s="2" t="s">
        <v>62</v>
      </c>
      <c r="I294" s="2" t="str">
        <f>IFERROR(__xludf.DUMMYFUNCTION("GOOGLETRANSLATE(C294,""fr"",""en"")"),"satisfied with your services for almost 30 years; very competitive price
service listening to us without problem and possibility of reviewing your contracts at our request")</f>
        <v>satisfied with your services for almost 30 years; very competitive price
service listening to us without problem and possibility of reviewing your contracts at our request</v>
      </c>
    </row>
    <row r="295" ht="15.75" customHeight="1">
      <c r="A295" s="2">
        <v>5.0</v>
      </c>
      <c r="B295" s="2" t="s">
        <v>941</v>
      </c>
      <c r="C295" s="2" t="s">
        <v>942</v>
      </c>
      <c r="D295" s="2" t="s">
        <v>65</v>
      </c>
      <c r="E295" s="2" t="s">
        <v>60</v>
      </c>
      <c r="F295" s="2" t="s">
        <v>15</v>
      </c>
      <c r="G295" s="2" t="s">
        <v>943</v>
      </c>
      <c r="H295" s="2" t="s">
        <v>104</v>
      </c>
      <c r="I295" s="2" t="str">
        <f>IFERROR(__xludf.DUMMYFUNCTION("GOOGLETRANSLATE(C295,""fr"",""en"")"),"I am satisfied with the service and the speed of proposals for tenders but also of contract cling. I recommend this site but also the insurer.")</f>
        <v>I am satisfied with the service and the speed of proposals for tenders but also of contract cling. I recommend this site but also the insurer.</v>
      </c>
    </row>
    <row r="296" ht="15.75" customHeight="1">
      <c r="A296" s="2">
        <v>3.0</v>
      </c>
      <c r="B296" s="2" t="s">
        <v>944</v>
      </c>
      <c r="C296" s="2" t="s">
        <v>945</v>
      </c>
      <c r="D296" s="2" t="s">
        <v>196</v>
      </c>
      <c r="E296" s="2" t="s">
        <v>82</v>
      </c>
      <c r="F296" s="2" t="s">
        <v>15</v>
      </c>
      <c r="G296" s="2" t="s">
        <v>946</v>
      </c>
      <c r="H296" s="2" t="s">
        <v>300</v>
      </c>
      <c r="I296" s="2" t="str">
        <f>IFERROR(__xludf.DUMMYFUNCTION("GOOGLETRANSLATE(C296,""fr"",""en"")"),"For my part, I have this complementary and I am happy because I paid almost 35% more the year behind at Aviva and for the same reimbursements. So long live comparisons")</f>
        <v>For my part, I have this complementary and I am happy because I paid almost 35% more the year behind at Aviva and for the same reimbursements. So long live comparisons</v>
      </c>
    </row>
    <row r="297" ht="15.75" customHeight="1">
      <c r="A297" s="2">
        <v>1.0</v>
      </c>
      <c r="B297" s="2" t="s">
        <v>947</v>
      </c>
      <c r="C297" s="2" t="s">
        <v>948</v>
      </c>
      <c r="D297" s="2" t="s">
        <v>196</v>
      </c>
      <c r="E297" s="2" t="s">
        <v>82</v>
      </c>
      <c r="F297" s="2" t="s">
        <v>15</v>
      </c>
      <c r="G297" s="2" t="s">
        <v>949</v>
      </c>
      <c r="H297" s="2" t="s">
        <v>950</v>
      </c>
      <c r="I297" s="2" t="str">
        <f>IFERROR(__xludf.DUMMYFUNCTION("GOOGLETRANSLATE(C297,""fr"",""en"")"),"Entourloupe by phone: Neolia Prevoyance for the blue mutual.
Following my business creation, I was contacted by pretending to be the social security of the self -employed, and I was brought to have two contracts have been raised: inspection insurance dai"&amp;"ly allowances, on the pretext that it is the last day to validate my file (implemented with the SSI),
Death provident insurance: not informed of the subscription of this contract, simply slipped with, using a single signature for the 2 contracts. The sig"&amp;"nature being a code received by SMS (Direct Assur) repeated in a verbal manner on the television.
Thanks to the legal withdrawal period.")</f>
        <v>Entourloupe by phone: Neolia Prevoyance for the blue mutual.
Following my business creation, I was contacted by pretending to be the social security of the self -employed, and I was brought to have two contracts have been raised: inspection insurance daily allowances, on the pretext that it is the last day to validate my file (implemented with the SSI),
Death provident insurance: not informed of the subscription of this contract, simply slipped with, using a single signature for the 2 contracts. The signature being a code received by SMS (Direct Assur) repeated in a verbal manner on the television.
Thanks to the legal withdrawal period.</v>
      </c>
    </row>
    <row r="298" ht="15.75" customHeight="1">
      <c r="A298" s="2">
        <v>1.0</v>
      </c>
      <c r="B298" s="2" t="s">
        <v>951</v>
      </c>
      <c r="C298" s="2" t="s">
        <v>952</v>
      </c>
      <c r="D298" s="2" t="s">
        <v>518</v>
      </c>
      <c r="E298" s="2" t="s">
        <v>60</v>
      </c>
      <c r="F298" s="2" t="s">
        <v>15</v>
      </c>
      <c r="G298" s="2" t="s">
        <v>953</v>
      </c>
      <c r="H298" s="2" t="s">
        <v>359</v>
      </c>
      <c r="I298" s="2" t="str">
        <f>IFERROR(__xludf.DUMMYFUNCTION("GOOGLETRANSLATE(C298,""fr"",""en"")"),"Following a seriously injured and not responsible motorcycle accident. No follow -up, total opacity. Disinformation +++ (ultimately ""do not take a victim doctor and a lawyer specializing in bodily law, it is useless"", etc.). Underground agreement betwee"&amp;"n mutual doctor versus minimum compensation. etc AMDM to avoid absolutely.")</f>
        <v>Following a seriously injured and not responsible motorcycle accident. No follow -up, total opacity. Disinformation +++ (ultimately "do not take a victim doctor and a lawyer specializing in bodily law, it is useless", etc.). Underground agreement between mutual doctor versus minimum compensation. etc AMDM to avoid absolutely.</v>
      </c>
    </row>
    <row r="299" ht="15.75" customHeight="1">
      <c r="A299" s="2">
        <v>2.0</v>
      </c>
      <c r="B299" s="2" t="s">
        <v>954</v>
      </c>
      <c r="C299" s="2" t="s">
        <v>955</v>
      </c>
      <c r="D299" s="2" t="s">
        <v>650</v>
      </c>
      <c r="E299" s="2" t="s">
        <v>33</v>
      </c>
      <c r="F299" s="2" t="s">
        <v>15</v>
      </c>
      <c r="G299" s="2" t="s">
        <v>956</v>
      </c>
      <c r="H299" s="2" t="s">
        <v>62</v>
      </c>
      <c r="I299" s="2" t="str">
        <f>IFERROR(__xludf.DUMMYFUNCTION("GOOGLETRANSLATE(C299,""fr"",""en"")"),"Service Declaration and sinister monitoring impossible to join. Interminable expectations on the phone each time. Waiting for their return after passing their partner to establish the quote.")</f>
        <v>Service Declaration and sinister monitoring impossible to join. Interminable expectations on the phone each time. Waiting for their return after passing their partner to establish the quote.</v>
      </c>
    </row>
    <row r="300" ht="15.75" customHeight="1">
      <c r="A300" s="2">
        <v>2.0</v>
      </c>
      <c r="B300" s="2" t="s">
        <v>957</v>
      </c>
      <c r="C300" s="2" t="s">
        <v>958</v>
      </c>
      <c r="D300" s="2" t="s">
        <v>656</v>
      </c>
      <c r="E300" s="2" t="s">
        <v>14</v>
      </c>
      <c r="F300" s="2" t="s">
        <v>15</v>
      </c>
      <c r="G300" s="2" t="s">
        <v>761</v>
      </c>
      <c r="H300" s="2" t="s">
        <v>62</v>
      </c>
      <c r="I300" s="2" t="str">
        <f>IFERROR(__xludf.DUMMYFUNCTION("GOOGLETRANSLATE(C300,""fr"",""en"")"),"Very Lauvaise Insurance I stayed there for 13 years but in the first problem of extreme difficulties to be reimbursed, very difficult to reach and they are reluctant to settle the sums due. In short to avoid.")</f>
        <v>Very Lauvaise Insurance I stayed there for 13 years but in the first problem of extreme difficulties to be reimbursed, very difficult to reach and they are reluctant to settle the sums due. In short to avoid.</v>
      </c>
    </row>
    <row r="301" ht="15.75" customHeight="1">
      <c r="A301" s="2">
        <v>4.0</v>
      </c>
      <c r="B301" s="2" t="s">
        <v>959</v>
      </c>
      <c r="C301" s="2" t="s">
        <v>960</v>
      </c>
      <c r="D301" s="2" t="s">
        <v>65</v>
      </c>
      <c r="E301" s="2" t="s">
        <v>60</v>
      </c>
      <c r="F301" s="2" t="s">
        <v>15</v>
      </c>
      <c r="G301" s="2" t="s">
        <v>961</v>
      </c>
      <c r="H301" s="2" t="s">
        <v>151</v>
      </c>
      <c r="I301" s="2" t="str">
        <f>IFERROR(__xludf.DUMMYFUNCTION("GOOGLETRANSLATE(C301,""fr"",""en"")"),"Practical, taken competitive ... as it is for looking at GP speed.
I was recalled to financialize my commitment, so if we have a doubt, we are told.")</f>
        <v>Practical, taken competitive ... as it is for looking at GP speed.
I was recalled to financialize my commitment, so if we have a doubt, we are told.</v>
      </c>
    </row>
    <row r="302" ht="15.75" customHeight="1">
      <c r="A302" s="2">
        <v>5.0</v>
      </c>
      <c r="B302" s="2" t="s">
        <v>962</v>
      </c>
      <c r="C302" s="2" t="s">
        <v>963</v>
      </c>
      <c r="D302" s="2" t="s">
        <v>32</v>
      </c>
      <c r="E302" s="2" t="s">
        <v>21</v>
      </c>
      <c r="F302" s="2" t="s">
        <v>15</v>
      </c>
      <c r="G302" s="2" t="s">
        <v>964</v>
      </c>
      <c r="H302" s="2" t="s">
        <v>287</v>
      </c>
      <c r="I302" s="2" t="str">
        <f>IFERROR(__xludf.DUMMYFUNCTION("GOOGLETRANSLATE(C302,""fr"",""en"")"),"I am happy with the service, price, the ease of online quote.
I await your proposals by email to be able to validate all of this
")</f>
        <v>I am happy with the service, price, the ease of online quote.
I await your proposals by email to be able to validate all of this
</v>
      </c>
    </row>
    <row r="303" ht="15.75" customHeight="1">
      <c r="A303" s="2">
        <v>4.0</v>
      </c>
      <c r="B303" s="2" t="s">
        <v>965</v>
      </c>
      <c r="C303" s="2" t="s">
        <v>966</v>
      </c>
      <c r="D303" s="2" t="s">
        <v>135</v>
      </c>
      <c r="E303" s="2" t="s">
        <v>60</v>
      </c>
      <c r="F303" s="2" t="s">
        <v>15</v>
      </c>
      <c r="G303" s="2" t="s">
        <v>705</v>
      </c>
      <c r="H303" s="2" t="s">
        <v>29</v>
      </c>
      <c r="I303" s="2" t="str">
        <f>IFERROR(__xludf.DUMMYFUNCTION("GOOGLETRANSLATE(C303,""fr"",""en"")"),"Very satisfying fast efficient very clear in the explanations I recommend prices are interesting even for a mother who does not know much about it")</f>
        <v>Very satisfying fast efficient very clear in the explanations I recommend prices are interesting even for a mother who does not know much about it</v>
      </c>
    </row>
    <row r="304" ht="15.75" customHeight="1">
      <c r="A304" s="2">
        <v>1.0</v>
      </c>
      <c r="B304" s="2" t="s">
        <v>967</v>
      </c>
      <c r="C304" s="2" t="s">
        <v>968</v>
      </c>
      <c r="D304" s="2" t="s">
        <v>839</v>
      </c>
      <c r="E304" s="2" t="s">
        <v>220</v>
      </c>
      <c r="F304" s="2" t="s">
        <v>15</v>
      </c>
      <c r="G304" s="2" t="s">
        <v>969</v>
      </c>
      <c r="H304" s="2" t="s">
        <v>485</v>
      </c>
      <c r="I304" s="2" t="str">
        <f>IFERROR(__xludf.DUMMYFUNCTION("GOOGLETRANSLATE(C304,""fr"",""en"")"),"Generali does not answer emails or recommended. Concerning the payment of life insurance.")</f>
        <v>Generali does not answer emails or recommended. Concerning the payment of life insurance.</v>
      </c>
    </row>
    <row r="305" ht="15.75" customHeight="1">
      <c r="A305" s="2">
        <v>2.0</v>
      </c>
      <c r="B305" s="2" t="s">
        <v>970</v>
      </c>
      <c r="C305" s="2" t="s">
        <v>971</v>
      </c>
      <c r="D305" s="2" t="s">
        <v>129</v>
      </c>
      <c r="E305" s="2" t="s">
        <v>21</v>
      </c>
      <c r="F305" s="2" t="s">
        <v>15</v>
      </c>
      <c r="G305" s="2" t="s">
        <v>705</v>
      </c>
      <c r="H305" s="2" t="s">
        <v>29</v>
      </c>
      <c r="I305" s="2" t="str">
        <f>IFERROR(__xludf.DUMMYFUNCTION("GOOGLETRANSLATE(C305,""fr"",""en"")"),"No follow -up. No recall. Inaccessible number.
Inevitably when there is nothing, no worries since they are asked for anything. Ah yes, place services or products to sell us.
On the other hand, it's been three weeks since I try to advance my sinister f"&amp;"ile following a flood. Nobody's answering! They even make themselves inaccessible on the phone for several days.
And they ring my phone and hang up for me so that in the file he marked there that the call was made.
A big joke!")</f>
        <v>No follow -up. No recall. Inaccessible number.
Inevitably when there is nothing, no worries since they are asked for anything. Ah yes, place services or products to sell us.
On the other hand, it's been three weeks since I try to advance my sinister file following a flood. Nobody's answering! They even make themselves inaccessible on the phone for several days.
And they ring my phone and hang up for me so that in the file he marked there that the call was made.
A big joke!</v>
      </c>
    </row>
    <row r="306" ht="15.75" customHeight="1">
      <c r="A306" s="2">
        <v>4.0</v>
      </c>
      <c r="B306" s="2" t="s">
        <v>972</v>
      </c>
      <c r="C306" s="2" t="s">
        <v>973</v>
      </c>
      <c r="D306" s="2" t="s">
        <v>42</v>
      </c>
      <c r="E306" s="2" t="s">
        <v>21</v>
      </c>
      <c r="F306" s="2" t="s">
        <v>15</v>
      </c>
      <c r="G306" s="2" t="s">
        <v>974</v>
      </c>
      <c r="H306" s="2" t="s">
        <v>62</v>
      </c>
      <c r="I306" s="2" t="str">
        <f>IFERROR(__xludf.DUMMYFUNCTION("GOOGLETRANSLATE(C306,""fr"",""en"")"),"I am satisfied with the service the prices suit me even if I have just started with the insurance olive tree I would see the effectiveness of their procedure in the event of a disaster")</f>
        <v>I am satisfied with the service the prices suit me even if I have just started with the insurance olive tree I would see the effectiveness of their procedure in the event of a disaster</v>
      </c>
    </row>
    <row r="307" ht="15.75" customHeight="1">
      <c r="A307" s="2">
        <v>4.0</v>
      </c>
      <c r="B307" s="2" t="s">
        <v>975</v>
      </c>
      <c r="C307" s="2" t="s">
        <v>976</v>
      </c>
      <c r="D307" s="2" t="s">
        <v>32</v>
      </c>
      <c r="E307" s="2" t="s">
        <v>33</v>
      </c>
      <c r="F307" s="2" t="s">
        <v>15</v>
      </c>
      <c r="G307" s="2" t="s">
        <v>977</v>
      </c>
      <c r="H307" s="2" t="s">
        <v>412</v>
      </c>
      <c r="I307" s="2" t="str">
        <f>IFERROR(__xludf.DUMMYFUNCTION("GOOGLETRANSLATE(C307,""fr"",""en"")"),"Clarity of presentation of the collection of information. Apparently competitive price. I will compare with other quotes before having to imminently decide a contract.
Regrettable that my request for a car quote under the same brand was not accepted.")</f>
        <v>Clarity of presentation of the collection of information. Apparently competitive price. I will compare with other quotes before having to imminently decide a contract.
Regrettable that my request for a car quote under the same brand was not accepted.</v>
      </c>
    </row>
    <row r="308" ht="15.75" customHeight="1">
      <c r="A308" s="2">
        <v>5.0</v>
      </c>
      <c r="B308" s="2" t="s">
        <v>978</v>
      </c>
      <c r="C308" s="2" t="s">
        <v>979</v>
      </c>
      <c r="D308" s="2" t="s">
        <v>135</v>
      </c>
      <c r="E308" s="2" t="s">
        <v>60</v>
      </c>
      <c r="F308" s="2" t="s">
        <v>15</v>
      </c>
      <c r="G308" s="2" t="s">
        <v>980</v>
      </c>
      <c r="H308" s="2" t="s">
        <v>56</v>
      </c>
      <c r="I308" s="2" t="str">
        <f>IFERROR(__xludf.DUMMYFUNCTION("GOOGLETRANSLATE(C308,""fr"",""en"")"),"Excellent
Always responsive
Good customer service
From the start I have never been disappointed even if I have not yet had an accident or a problem
The site works well too")</f>
        <v>Excellent
Always responsive
Good customer service
From the start I have never been disappointed even if I have not yet had an accident or a problem
The site works well too</v>
      </c>
    </row>
    <row r="309" ht="15.75" customHeight="1">
      <c r="A309" s="2">
        <v>2.0</v>
      </c>
      <c r="B309" s="2" t="s">
        <v>981</v>
      </c>
      <c r="C309" s="2" t="s">
        <v>982</v>
      </c>
      <c r="D309" s="2" t="s">
        <v>342</v>
      </c>
      <c r="E309" s="2" t="s">
        <v>82</v>
      </c>
      <c r="F309" s="2" t="s">
        <v>15</v>
      </c>
      <c r="G309" s="2" t="s">
        <v>983</v>
      </c>
      <c r="H309" s="2" t="s">
        <v>52</v>
      </c>
      <c r="I309" s="2" t="str">
        <f>IFERROR(__xludf.DUMMYFUNCTION("GOOGLETRANSLATE(C309,""fr"",""en"")"),"Do not take this mutual insurance company ..... Small reimbursements it goes big reimbursements nullllllll and to join them in the event of impossible concerns. I call tens of times nothing ... and they never remind you.")</f>
        <v>Do not take this mutual insurance company ..... Small reimbursements it goes big reimbursements nullllllll and to join them in the event of impossible concerns. I call tens of times nothing ... and they never remind you.</v>
      </c>
    </row>
    <row r="310" ht="15.75" customHeight="1">
      <c r="A310" s="2">
        <v>2.0</v>
      </c>
      <c r="B310" s="2" t="s">
        <v>984</v>
      </c>
      <c r="C310" s="2" t="s">
        <v>985</v>
      </c>
      <c r="D310" s="2" t="s">
        <v>303</v>
      </c>
      <c r="E310" s="2" t="s">
        <v>33</v>
      </c>
      <c r="F310" s="2" t="s">
        <v>15</v>
      </c>
      <c r="G310" s="2" t="s">
        <v>83</v>
      </c>
      <c r="H310" s="2" t="s">
        <v>84</v>
      </c>
      <c r="I310" s="2" t="str">
        <f>IFERROR(__xludf.DUMMYFUNCTION("GOOGLETRANSLATE(C310,""fr"",""en"")"),"Very disapointed")</f>
        <v>Very disapointed</v>
      </c>
    </row>
    <row r="311" ht="15.75" customHeight="1">
      <c r="A311" s="2">
        <v>3.0</v>
      </c>
      <c r="B311" s="2" t="s">
        <v>986</v>
      </c>
      <c r="C311" s="2" t="s">
        <v>987</v>
      </c>
      <c r="D311" s="2" t="s">
        <v>59</v>
      </c>
      <c r="E311" s="2" t="s">
        <v>21</v>
      </c>
      <c r="F311" s="2" t="s">
        <v>15</v>
      </c>
      <c r="G311" s="2" t="s">
        <v>394</v>
      </c>
      <c r="H311" s="2" t="s">
        <v>395</v>
      </c>
      <c r="I311" s="2" t="str">
        <f>IFERROR(__xludf.DUMMYFUNCTION("GOOGLETRANSLATE(C311,""fr"",""en"")"),"I am shocked, I have never seen so much incompetence for the management of a disaster. I call the services concerned for whole hours to leave with interlocutors who do not listen to your request. I find myself paid for my loan car when it is included in c"&amp;"ontract. I have to do what help me")</f>
        <v>I am shocked, I have never seen so much incompetence for the management of a disaster. I call the services concerned for whole hours to leave with interlocutors who do not listen to your request. I find myself paid for my loan car when it is included in contract. I have to do what help me</v>
      </c>
    </row>
    <row r="312" ht="15.75" customHeight="1">
      <c r="A312" s="2">
        <v>4.0</v>
      </c>
      <c r="B312" s="2" t="s">
        <v>988</v>
      </c>
      <c r="C312" s="2" t="s">
        <v>989</v>
      </c>
      <c r="D312" s="2" t="s">
        <v>81</v>
      </c>
      <c r="E312" s="2" t="s">
        <v>82</v>
      </c>
      <c r="F312" s="2" t="s">
        <v>15</v>
      </c>
      <c r="G312" s="2" t="s">
        <v>386</v>
      </c>
      <c r="H312" s="2" t="s">
        <v>52</v>
      </c>
      <c r="I312" s="2" t="str">
        <f>IFERROR(__xludf.DUMMYFUNCTION("GOOGLETRANSLATE(C312,""fr"",""en"")"),"Following my request concerning the care after the hospital release following hospitalization, I contacted Santiane for home help. I recognize the qualities of my interlocutor who are as follows:
Very attentive, good communication, good relational, quali"&amp;"ty of service ...... etc
Finally fully satisfied.")</f>
        <v>Following my request concerning the care after the hospital release following hospitalization, I contacted Santiane for home help. I recognize the qualities of my interlocutor who are as follows:
Very attentive, good communication, good relational, quality of service ...... etc
Finally fully satisfied.</v>
      </c>
    </row>
    <row r="313" ht="15.75" customHeight="1">
      <c r="A313" s="2">
        <v>4.0</v>
      </c>
      <c r="B313" s="2" t="s">
        <v>990</v>
      </c>
      <c r="C313" s="2" t="s">
        <v>991</v>
      </c>
      <c r="D313" s="2" t="s">
        <v>430</v>
      </c>
      <c r="E313" s="2" t="s">
        <v>82</v>
      </c>
      <c r="F313" s="2" t="s">
        <v>15</v>
      </c>
      <c r="G313" s="2" t="s">
        <v>992</v>
      </c>
      <c r="H313" s="2" t="s">
        <v>464</v>
      </c>
      <c r="I313" s="2" t="str">
        <f>IFERROR(__xludf.DUMMYFUNCTION("GOOGLETRANSLATE(C313,""fr"",""en"")"),"Suitable price and simple and fast membership, for the moment may not yet give notice on refund because not new membership, I hope everything will work correctly")</f>
        <v>Suitable price and simple and fast membership, for the moment may not yet give notice on refund because not new membership, I hope everything will work correctly</v>
      </c>
    </row>
    <row r="314" ht="15.75" customHeight="1">
      <c r="A314" s="2">
        <v>2.0</v>
      </c>
      <c r="B314" s="2" t="s">
        <v>993</v>
      </c>
      <c r="C314" s="2" t="s">
        <v>994</v>
      </c>
      <c r="D314" s="2" t="s">
        <v>32</v>
      </c>
      <c r="E314" s="2" t="s">
        <v>21</v>
      </c>
      <c r="F314" s="2" t="s">
        <v>15</v>
      </c>
      <c r="G314" s="2" t="s">
        <v>995</v>
      </c>
      <c r="H314" s="2" t="s">
        <v>305</v>
      </c>
      <c r="I314" s="2" t="str">
        <f>IFERROR(__xludf.DUMMYFUNCTION("GOOGLETRANSLATE(C314,""fr"",""en"")"),"horrible customer service! We are taken for fools, I was hung up 2 times on the nose. We must suppose me so remember but it never recalls, I am told problem adjust 1 hour after not at all I was taken 5 times for an idiot, Desastreuse experience!")</f>
        <v>horrible customer service! We are taken for fools, I was hung up 2 times on the nose. We must suppose me so remember but it never recalls, I am told problem adjust 1 hour after not at all I was taken 5 times for an idiot, Desastreuse experience!</v>
      </c>
    </row>
    <row r="315" ht="15.75" customHeight="1">
      <c r="A315" s="2">
        <v>1.0</v>
      </c>
      <c r="B315" s="2" t="s">
        <v>996</v>
      </c>
      <c r="C315" s="2" t="s">
        <v>997</v>
      </c>
      <c r="D315" s="2" t="s">
        <v>425</v>
      </c>
      <c r="E315" s="2" t="s">
        <v>27</v>
      </c>
      <c r="F315" s="2" t="s">
        <v>15</v>
      </c>
      <c r="G315" s="2" t="s">
        <v>998</v>
      </c>
      <c r="H315" s="2" t="s">
        <v>632</v>
      </c>
      <c r="I315" s="2" t="str">
        <f>IFERROR(__xludf.DUMMYFUNCTION("GOOGLETRANSLATE(C315,""fr"",""en"")"),"RUN AWAY!!!!!!! Hallucing deadlines (more than a month and it's still not over). A call center for two responses: ""It's confidential"" or ""I am not a doctor"". Documents to provide only by .... mail! We are in 2017 or 1917?
 They will take a resil as s"&amp;"oon as we signed the loan. If you are looking for a competent and responsive insurer, one thing is sure, not at home.")</f>
        <v>RUN AWAY!!!!!!! Hallucing deadlines (more than a month and it's still not over). A call center for two responses: "It's confidential" or "I am not a doctor". Documents to provide only by .... mail! We are in 2017 or 1917?
 They will take a resil as soon as we signed the loan. If you are looking for a competent and responsive insurer, one thing is sure, not at home.</v>
      </c>
    </row>
    <row r="316" ht="15.75" customHeight="1">
      <c r="A316" s="2">
        <v>1.0</v>
      </c>
      <c r="B316" s="2" t="s">
        <v>999</v>
      </c>
      <c r="C316" s="2" t="s">
        <v>1000</v>
      </c>
      <c r="D316" s="2" t="s">
        <v>42</v>
      </c>
      <c r="E316" s="2" t="s">
        <v>21</v>
      </c>
      <c r="F316" s="2" t="s">
        <v>15</v>
      </c>
      <c r="G316" s="2" t="s">
        <v>1001</v>
      </c>
      <c r="H316" s="2" t="s">
        <v>330</v>
      </c>
      <c r="I316" s="2" t="str">
        <f>IFERROR(__xludf.DUMMYFUNCTION("GOOGLETRANSLATE(C316,""fr"",""en"")"),"Already a shame that
We can not put 0 star.
Insured for 3 years with the olive tree, I have 2 vehicles insured with them more that of my wife.
22 02 2019 I had a non -responsible accident.
I have to complain about reimbursement of the economically not"&amp;" repairable car.
It is when I ask for an info statement that things are spoiling.
Having 3 years of driving without accident and from bonus 0 I find 0.85 to 16 07 2019 over the 3 years.
surprise 50 % wrong during the accident
Bonus 0.95
I go a compla"&amp;"int and we send me to the sinister service which tells me that it is a mistake and it corrects this it was 2 months ago.
I ask for a new statement last week and again an error The bonus is good
Fixed but there are 50 % twists for the accident when I was"&amp;" not responsible.
I remind you to correct and I am sent another statement and the bonus 0.90 and 0 % in accident
I still recall and I receive a statement with 0.85 bonus but I am given 50 % of wrong to the accident of 22 02 2019.
So since May 5 info re"&amp;"ports sent 5 surveys comprising errors again and again.
I am not talking about contracts that take up to 60% increase.
Variable geometry prices
")</f>
        <v>Already a shame that
We can not put 0 star.
Insured for 3 years with the olive tree, I have 2 vehicles insured with them more that of my wife.
22 02 2019 I had a non -responsible accident.
I have to complain about reimbursement of the economically not repairable car.
It is when I ask for an info statement that things are spoiling.
Having 3 years of driving without accident and from bonus 0 I find 0.85 to 16 07 2019 over the 3 years.
surprise 50 % wrong during the accident
Bonus 0.95
I go a complaint and we send me to the sinister service which tells me that it is a mistake and it corrects this it was 2 months ago.
I ask for a new statement last week and again an error The bonus is good
Fixed but there are 50 % twists for the accident when I was not responsible.
I remind you to correct and I am sent another statement and the bonus 0.90 and 0 % in accident
I still recall and I receive a statement with 0.85 bonus but I am given 50 % of wrong to the accident of 22 02 2019.
So since May 5 info reports sent 5 surveys comprising errors again and again.
I am not talking about contracts that take up to 60% increase.
Variable geometry prices
</v>
      </c>
    </row>
    <row r="317" ht="15.75" customHeight="1">
      <c r="A317" s="2">
        <v>3.0</v>
      </c>
      <c r="B317" s="2" t="s">
        <v>1002</v>
      </c>
      <c r="C317" s="2" t="s">
        <v>1003</v>
      </c>
      <c r="D317" s="2" t="s">
        <v>379</v>
      </c>
      <c r="E317" s="2" t="s">
        <v>82</v>
      </c>
      <c r="F317" s="2" t="s">
        <v>15</v>
      </c>
      <c r="G317" s="2" t="s">
        <v>1004</v>
      </c>
      <c r="H317" s="2" t="s">
        <v>95</v>
      </c>
      <c r="I317" s="2" t="str">
        <f>IFERROR(__xludf.DUMMYFUNCTION("GOOGLETRANSLATE(C317,""fr"",""en"")"),"True to this insurance since 1993, they have always been able to respond to my requests. The price is based on the index which quickly increases the note, but it is common to other mutuals I think. A partial consideration assistance being envisaged by the"&amp;" administration this should help. I am and would stay at the MGP.")</f>
        <v>True to this insurance since 1993, they have always been able to respond to my requests. The price is based on the index which quickly increases the note, but it is common to other mutuals I think. A partial consideration assistance being envisaged by the administration this should help. I am and would stay at the MGP.</v>
      </c>
    </row>
    <row r="318" ht="15.75" customHeight="1">
      <c r="A318" s="2">
        <v>5.0</v>
      </c>
      <c r="B318" s="2" t="s">
        <v>1005</v>
      </c>
      <c r="C318" s="2" t="s">
        <v>1006</v>
      </c>
      <c r="D318" s="2" t="s">
        <v>42</v>
      </c>
      <c r="E318" s="2" t="s">
        <v>21</v>
      </c>
      <c r="F318" s="2" t="s">
        <v>15</v>
      </c>
      <c r="G318" s="2" t="s">
        <v>1007</v>
      </c>
      <c r="H318" s="2" t="s">
        <v>151</v>
      </c>
      <c r="I318" s="2" t="str">
        <f>IFERROR(__xludf.DUMMYFUNCTION("GOOGLETRANSLATE(C318,""fr"",""en"")"),"I am satisfied with the service offered ... The prices are very affordable and the contact with the subscription service was very fluid and fast ... I highly recommend")</f>
        <v>I am satisfied with the service offered ... The prices are very affordable and the contact with the subscription service was very fluid and fast ... I highly recommend</v>
      </c>
    </row>
    <row r="319" ht="15.75" customHeight="1">
      <c r="A319" s="2">
        <v>5.0</v>
      </c>
      <c r="B319" s="2" t="s">
        <v>1008</v>
      </c>
      <c r="C319" s="2" t="s">
        <v>1009</v>
      </c>
      <c r="D319" s="2" t="s">
        <v>32</v>
      </c>
      <c r="E319" s="2" t="s">
        <v>21</v>
      </c>
      <c r="F319" s="2" t="s">
        <v>15</v>
      </c>
      <c r="G319" s="2" t="s">
        <v>55</v>
      </c>
      <c r="H319" s="2" t="s">
        <v>56</v>
      </c>
      <c r="I319" s="2" t="str">
        <f>IFERROR(__xludf.DUMMYFUNCTION("GOOGLETRANSLATE(C319,""fr"",""en"")"),"Simple and quick practical to subscribe cheap on everything for young drivers I am satisfied
Thank you direct insurance for your simplicity")</f>
        <v>Simple and quick practical to subscribe cheap on everything for young drivers I am satisfied
Thank you direct insurance for your simplicity</v>
      </c>
    </row>
    <row r="320" ht="15.75" customHeight="1">
      <c r="A320" s="2">
        <v>2.0</v>
      </c>
      <c r="B320" s="2" t="s">
        <v>1010</v>
      </c>
      <c r="C320" s="2" t="s">
        <v>1011</v>
      </c>
      <c r="D320" s="2" t="s">
        <v>42</v>
      </c>
      <c r="E320" s="2" t="s">
        <v>21</v>
      </c>
      <c r="F320" s="2" t="s">
        <v>15</v>
      </c>
      <c r="G320" s="2" t="s">
        <v>28</v>
      </c>
      <c r="H320" s="2" t="s">
        <v>29</v>
      </c>
      <c r="I320" s="2" t="str">
        <f>IFERROR(__xludf.DUMMYFUNCTION("GOOGLETRANSLATE(C320,""fr"",""en"")"),"I am not very satisfied because I tried several times to finalize my registration The site does not work. And yet I had a network")</f>
        <v>I am not very satisfied because I tried several times to finalize my registration The site does not work. And yet I had a network</v>
      </c>
    </row>
    <row r="321" ht="15.75" customHeight="1">
      <c r="A321" s="2">
        <v>4.0</v>
      </c>
      <c r="B321" s="2" t="s">
        <v>1012</v>
      </c>
      <c r="C321" s="2" t="s">
        <v>1013</v>
      </c>
      <c r="D321" s="2" t="s">
        <v>42</v>
      </c>
      <c r="E321" s="2" t="s">
        <v>21</v>
      </c>
      <c r="F321" s="2" t="s">
        <v>15</v>
      </c>
      <c r="G321" s="2" t="s">
        <v>136</v>
      </c>
      <c r="H321" s="2" t="s">
        <v>56</v>
      </c>
      <c r="I321" s="2" t="str">
        <f>IFERROR(__xludf.DUMMYFUNCTION("GOOGLETRANSLATE(C321,""fr"",""en"")"),"Satisfactory service and listening and efficient customer service.
Very attractive price compared to other insurances despite a penalty.
I recommend")</f>
        <v>Satisfactory service and listening and efficient customer service.
Very attractive price compared to other insurances despite a penalty.
I recommend</v>
      </c>
    </row>
    <row r="322" ht="15.75" customHeight="1">
      <c r="A322" s="2">
        <v>3.0</v>
      </c>
      <c r="B322" s="2" t="s">
        <v>1014</v>
      </c>
      <c r="C322" s="2" t="s">
        <v>1015</v>
      </c>
      <c r="D322" s="2" t="s">
        <v>42</v>
      </c>
      <c r="E322" s="2" t="s">
        <v>21</v>
      </c>
      <c r="F322" s="2" t="s">
        <v>15</v>
      </c>
      <c r="G322" s="2" t="s">
        <v>705</v>
      </c>
      <c r="H322" s="2" t="s">
        <v>29</v>
      </c>
      <c r="I322" s="2" t="str">
        <f>IFERROR(__xludf.DUMMYFUNCTION("GOOGLETRANSLATE(C322,""fr"",""en"")"),"Lack of information regarding missing documents. If I had not consulted my personal space, I would never have realized this detail.")</f>
        <v>Lack of information regarding missing documents. If I had not consulted my personal space, I would never have realized this detail.</v>
      </c>
    </row>
    <row r="323" ht="15.75" customHeight="1">
      <c r="A323" s="2">
        <v>5.0</v>
      </c>
      <c r="B323" s="2" t="s">
        <v>1016</v>
      </c>
      <c r="C323" s="2" t="s">
        <v>1017</v>
      </c>
      <c r="D323" s="2" t="s">
        <v>32</v>
      </c>
      <c r="E323" s="2" t="s">
        <v>21</v>
      </c>
      <c r="F323" s="2" t="s">
        <v>15</v>
      </c>
      <c r="G323" s="2" t="s">
        <v>343</v>
      </c>
      <c r="H323" s="2" t="s">
        <v>29</v>
      </c>
      <c r="I323" s="2" t="str">
        <f>IFERROR(__xludf.DUMMYFUNCTION("GOOGLETRANSLATE(C323,""fr"",""en"")"),"The prices are rather correct the services sought are also. Compare to other insurance which offers a little less for much more expensive.")</f>
        <v>The prices are rather correct the services sought are also. Compare to other insurance which offers a little less for much more expensive.</v>
      </c>
    </row>
    <row r="324" ht="15.75" customHeight="1">
      <c r="A324" s="2">
        <v>2.0</v>
      </c>
      <c r="B324" s="2" t="s">
        <v>1018</v>
      </c>
      <c r="C324" s="2" t="s">
        <v>1019</v>
      </c>
      <c r="D324" s="2" t="s">
        <v>145</v>
      </c>
      <c r="E324" s="2" t="s">
        <v>21</v>
      </c>
      <c r="F324" s="2" t="s">
        <v>15</v>
      </c>
      <c r="G324" s="2" t="s">
        <v>1020</v>
      </c>
      <c r="H324" s="2" t="s">
        <v>206</v>
      </c>
      <c r="I324" s="2" t="str">
        <f>IFERROR(__xludf.DUMMYFUNCTION("GOOGLETRANSLATE(C324,""fr"",""en"")"),"Insured for about thirty years at the Maaf Habitation and Auto, I have just received a letter informing that my car contract would be resounded on 12/31/2018 on the ""loss frequencies"" reason
After waiting 20 minutes on the phone a advice indicates me t"&amp;"hat I had 2 claims
Recently and that even if in the 1st I have no responsibility - vehicle destroyed by the fire engine of the car parked behind me in which I was badly reimbursed, the expert having estimated that there were problems On the body - that d"&amp;"oes not change anything - the second, small hanging of my fault
And during the same time the maaf makes advertising for two free months on your car insurance, until December 31
It therefore seems to me to terminate my home insurance
")</f>
        <v>Insured for about thirty years at the Maaf Habitation and Auto, I have just received a letter informing that my car contract would be resounded on 12/31/2018 on the "loss frequencies" reason
After waiting 20 minutes on the phone a advice indicates me that I had 2 claims
Recently and that even if in the 1st I have no responsibility - vehicle destroyed by the fire engine of the car parked behind me in which I was badly reimbursed, the expert having estimated that there were problems On the body - that does not change anything - the second, small hanging of my fault
And during the same time the maaf makes advertising for two free months on your car insurance, until December 31
It therefore seems to me to terminate my home insurance
</v>
      </c>
    </row>
    <row r="325" ht="15.75" customHeight="1">
      <c r="A325" s="2">
        <v>1.0</v>
      </c>
      <c r="B325" s="2" t="s">
        <v>1021</v>
      </c>
      <c r="C325" s="2" t="s">
        <v>1022</v>
      </c>
      <c r="D325" s="2" t="s">
        <v>81</v>
      </c>
      <c r="E325" s="2" t="s">
        <v>82</v>
      </c>
      <c r="F325" s="2" t="s">
        <v>15</v>
      </c>
      <c r="G325" s="2" t="s">
        <v>1023</v>
      </c>
      <c r="H325" s="2" t="s">
        <v>56</v>
      </c>
      <c r="I325" s="2" t="str">
        <f>IFERROR(__xludf.DUMMYFUNCTION("GOOGLETRANSLATE(C325,""fr"",""en"")"),"Hello,
Despite my complaints from Santiane, for more than 6 months, impossible to connect to my account and know my reimbursements. Santiane does not care about my requests.
My only solution is therefore to change mutual. I do not recommend Santian!")</f>
        <v>Hello,
Despite my complaints from Santiane, for more than 6 months, impossible to connect to my account and know my reimbursements. Santiane does not care about my requests.
My only solution is therefore to change mutual. I do not recommend Santian!</v>
      </c>
    </row>
    <row r="326" ht="15.75" customHeight="1">
      <c r="A326" s="2">
        <v>4.0</v>
      </c>
      <c r="B326" s="2" t="s">
        <v>1024</v>
      </c>
      <c r="C326" s="2" t="s">
        <v>1025</v>
      </c>
      <c r="D326" s="2" t="s">
        <v>42</v>
      </c>
      <c r="E326" s="2" t="s">
        <v>21</v>
      </c>
      <c r="F326" s="2" t="s">
        <v>15</v>
      </c>
      <c r="G326" s="2" t="s">
        <v>1026</v>
      </c>
      <c r="H326" s="2" t="s">
        <v>56</v>
      </c>
      <c r="I326" s="2" t="str">
        <f>IFERROR(__xludf.DUMMYFUNCTION("GOOGLETRANSLATE(C326,""fr"",""en"")"),"Satisfied as a set apartment the very bad connection I was cut 2 times I hope that the telephone networks will be better if 1 day I have a problem")</f>
        <v>Satisfied as a set apartment the very bad connection I was cut 2 times I hope that the telephone networks will be better if 1 day I have a problem</v>
      </c>
    </row>
    <row r="327" ht="15.75" customHeight="1">
      <c r="A327" s="2">
        <v>1.0</v>
      </c>
      <c r="B327" s="2" t="s">
        <v>1027</v>
      </c>
      <c r="C327" s="2" t="s">
        <v>1028</v>
      </c>
      <c r="D327" s="2" t="s">
        <v>32</v>
      </c>
      <c r="E327" s="2" t="s">
        <v>21</v>
      </c>
      <c r="F327" s="2" t="s">
        <v>15</v>
      </c>
      <c r="G327" s="2" t="s">
        <v>61</v>
      </c>
      <c r="H327" s="2" t="s">
        <v>62</v>
      </c>
      <c r="I327" s="2" t="str">
        <f>IFERROR(__xludf.DUMMYFUNCTION("GOOGLETRANSLATE(C327,""fr"",""en"")"),"Customer service is a disaster. It is impossible to reach an online manager. This is Call Center based abroad which absolutely cannot help you or put yourself in touch with a person capable of resolving a situation.")</f>
        <v>Customer service is a disaster. It is impossible to reach an online manager. This is Call Center based abroad which absolutely cannot help you or put yourself in touch with a person capable of resolving a situation.</v>
      </c>
    </row>
    <row r="328" ht="15.75" customHeight="1">
      <c r="A328" s="2">
        <v>3.0</v>
      </c>
      <c r="B328" s="2" t="s">
        <v>1029</v>
      </c>
      <c r="C328" s="2" t="s">
        <v>1030</v>
      </c>
      <c r="D328" s="2" t="s">
        <v>32</v>
      </c>
      <c r="E328" s="2" t="s">
        <v>21</v>
      </c>
      <c r="F328" s="2" t="s">
        <v>15</v>
      </c>
      <c r="G328" s="2" t="s">
        <v>810</v>
      </c>
      <c r="H328" s="2" t="s">
        <v>56</v>
      </c>
      <c r="I328" s="2" t="str">
        <f>IFERROR(__xludf.DUMMYFUNCTION("GOOGLETRANSLATE(C328,""fr"",""en"")"),"Okay service but price too high compared to my real needs, important to stay in standby to redo the point
Otherwise practical application")</f>
        <v>Okay service but price too high compared to my real needs, important to stay in standby to redo the point
Otherwise practical application</v>
      </c>
    </row>
    <row r="329" ht="15.75" customHeight="1">
      <c r="A329" s="2">
        <v>3.0</v>
      </c>
      <c r="B329" s="2" t="s">
        <v>1031</v>
      </c>
      <c r="C329" s="2" t="s">
        <v>1032</v>
      </c>
      <c r="D329" s="2" t="s">
        <v>32</v>
      </c>
      <c r="E329" s="2" t="s">
        <v>21</v>
      </c>
      <c r="F329" s="2" t="s">
        <v>15</v>
      </c>
      <c r="G329" s="2" t="s">
        <v>62</v>
      </c>
      <c r="H329" s="2" t="s">
        <v>62</v>
      </c>
      <c r="I329" s="2" t="str">
        <f>IFERROR(__xludf.DUMMYFUNCTION("GOOGLETRANSLATE(C329,""fr"",""en"")"),"I am average satisfied until now
Because I find that
Except that you are hardly joining on the phone
Thank you Best regards,
Kaid Ahmed")</f>
        <v>I am average satisfied until now
Because I find that
Except that you are hardly joining on the phone
Thank you Best regards,
Kaid Ahmed</v>
      </c>
    </row>
    <row r="330" ht="15.75" customHeight="1">
      <c r="A330" s="2">
        <v>4.0</v>
      </c>
      <c r="B330" s="2" t="s">
        <v>1033</v>
      </c>
      <c r="C330" s="2" t="s">
        <v>1034</v>
      </c>
      <c r="D330" s="2" t="s">
        <v>32</v>
      </c>
      <c r="E330" s="2" t="s">
        <v>21</v>
      </c>
      <c r="F330" s="2" t="s">
        <v>15</v>
      </c>
      <c r="G330" s="2" t="s">
        <v>1035</v>
      </c>
      <c r="H330" s="2" t="s">
        <v>62</v>
      </c>
      <c r="I330" s="2" t="str">
        <f>IFERROR(__xludf.DUMMYFUNCTION("GOOGLETRANSLATE(C330,""fr"",""en"")"),"I am satisfied with the price of this insurance The quotes are quick very bonraptive quality price nothing to report everything is a shame that have to pay several months to the subscription")</f>
        <v>I am satisfied with the price of this insurance The quotes are quick very bonraptive quality price nothing to report everything is a shame that have to pay several months to the subscription</v>
      </c>
    </row>
    <row r="331" ht="15.75" customHeight="1">
      <c r="A331" s="2">
        <v>1.0</v>
      </c>
      <c r="B331" s="2" t="s">
        <v>1036</v>
      </c>
      <c r="C331" s="2" t="s">
        <v>1037</v>
      </c>
      <c r="D331" s="2" t="s">
        <v>1038</v>
      </c>
      <c r="E331" s="2" t="s">
        <v>157</v>
      </c>
      <c r="F331" s="2" t="s">
        <v>15</v>
      </c>
      <c r="G331" s="2" t="s">
        <v>1039</v>
      </c>
      <c r="H331" s="2" t="s">
        <v>177</v>
      </c>
      <c r="I331" s="2" t="str">
        <f>IFERROR(__xludf.DUMMYFUNCTION("GOOGLETRANSLATE(C331,""fr"",""en"")"),"Hello,
As it is impossible to continue the discussion arrested in April 2020 where Humanis told me that he would come back to me quickly (since, no news ...), I therefore resume my request:
Hello Humanis, I have already sent you all the documents th"&amp;"at you asked me: by recommended letters with AR and by your website. All the answers I have obtained are out of the subject ... to believe that you do not understand my request, however simple:
My disability pension has never been revalued since depart"&amp;"ure (1996.)
I therefore ask for correct revaluation and catch -up.
The current wording on the certificates I receive is false!
It indicates a fictitious revaluation (obtained by reducing my basic pension) and a completely false basic pension. The total"&amp;" of the two has in fact been my basic pension since 1996 and completely non -existent revaluation.
To be very clear:
In 1996, my annuity was € 850 / month (at the time in francs and I rounded the figure), it is therefore my basic pension since it was "&amp;"the beginning of my disability.
After a few years, not seeing any revaluation coming, I asked Prado several times who managed my file to correct this situation.
My file was transferred to Apicil without getting Prado's response.
I started my efforts ag"&amp;"ain with Apicil ... which was very complicated.
My file was transferred to Humanis without getting an apicil response.
I started my efforts again with Humanis and I always wait.
My file is now in Malakoff Humanis.
My pension is always 850 € except tha"&amp;"t it is presented as this:
€ 690 (basic rent)
160 € (revaluation)
Except, it is impossible that my basic pension is € 690 in 2020 when it was € 850 in 1996.
You tell me in your last letter that the company where I worked is disappeared in 2010 and t"&amp;"hat there has not been a revaluation since 2010.
But I ask you to revalue my annuity that has never been since 1996!
You have already asked me to provide you with 3 or 4 years of monthly surveys photocopies ... + my contracts, which I have done for a "&amp;"long time.
Thank you in advance for taking my file in consideration.")</f>
        <v>Hello,
As it is impossible to continue the discussion arrested in April 2020 where Humanis told me that he would come back to me quickly (since, no news ...), I therefore resume my request:
Hello Humanis, I have already sent you all the documents that you asked me: by recommended letters with AR and by your website. All the answers I have obtained are out of the subject ... to believe that you do not understand my request, however simple:
My disability pension has never been revalued since departure (1996.)
I therefore ask for correct revaluation and catch -up.
The current wording on the certificates I receive is false!
It indicates a fictitious revaluation (obtained by reducing my basic pension) and a completely false basic pension. The total of the two has in fact been my basic pension since 1996 and completely non -existent revaluation.
To be very clear:
In 1996, my annuity was € 850 / month (at the time in francs and I rounded the figure), it is therefore my basic pension since it was the beginning of my disability.
After a few years, not seeing any revaluation coming, I asked Prado several times who managed my file to correct this situation.
My file was transferred to Apicil without getting Prado's response.
I started my efforts again with Apicil ... which was very complicated.
My file was transferred to Humanis without getting an apicil response.
I started my efforts again with Humanis and I always wait.
My file is now in Malakoff Humanis.
My pension is always 850 € except that it is presented as this:
€ 690 (basic rent)
160 € (revaluation)
Except, it is impossible that my basic pension is € 690 in 2020 when it was € 850 in 1996.
You tell me in your last letter that the company where I worked is disappeared in 2010 and that there has not been a revaluation since 2010.
But I ask you to revalue my annuity that has never been since 1996!
You have already asked me to provide you with 3 or 4 years of monthly surveys photocopies ... + my contracts, which I have done for a long time.
Thank you in advance for taking my file in consideration.</v>
      </c>
    </row>
    <row r="332" ht="15.75" customHeight="1">
      <c r="A332" s="2">
        <v>5.0</v>
      </c>
      <c r="B332" s="2" t="s">
        <v>1040</v>
      </c>
      <c r="C332" s="2" t="s">
        <v>1041</v>
      </c>
      <c r="D332" s="2" t="s">
        <v>135</v>
      </c>
      <c r="E332" s="2" t="s">
        <v>60</v>
      </c>
      <c r="F332" s="2" t="s">
        <v>15</v>
      </c>
      <c r="G332" s="2" t="s">
        <v>38</v>
      </c>
      <c r="H332" s="2" t="s">
        <v>39</v>
      </c>
      <c r="I332" s="2" t="str">
        <f>IFERROR(__xludf.DUMMYFUNCTION("GOOGLETRANSLATE(C332,""fr"",""en"")"),"Following a change of main vehicle, customer service was very clear and responsive regarding the steps to follow, its rapidly unlike other insurance! Never had any concerns about quotes, or concern about troubleshooting, or concern about the sample! Serve"&amp;" a lot of people will say that it is internet insurance but frankly I prefer to pay 56 €/month for my 1200 Bandit of 1998, only 150 € with other ""better"" known mutual! Stop paying expensive for nothing !!!")</f>
        <v>Following a change of main vehicle, customer service was very clear and responsive regarding the steps to follow, its rapidly unlike other insurance! Never had any concerns about quotes, or concern about troubleshooting, or concern about the sample! Serve a lot of people will say that it is internet insurance but frankly I prefer to pay 56 €/month for my 1200 Bandit of 1998, only 150 € with other "better" known mutual! Stop paying expensive for nothing !!!</v>
      </c>
    </row>
    <row r="333" ht="15.75" customHeight="1">
      <c r="A333" s="2">
        <v>3.0</v>
      </c>
      <c r="B333" s="2" t="s">
        <v>1042</v>
      </c>
      <c r="C333" s="2" t="s">
        <v>1043</v>
      </c>
      <c r="D333" s="2" t="s">
        <v>196</v>
      </c>
      <c r="E333" s="2" t="s">
        <v>82</v>
      </c>
      <c r="F333" s="2" t="s">
        <v>15</v>
      </c>
      <c r="G333" s="2" t="s">
        <v>318</v>
      </c>
      <c r="H333" s="2" t="s">
        <v>104</v>
      </c>
      <c r="I333" s="2" t="str">
        <f>IFERROR(__xludf.DUMMYFUNCTION("GOOGLETRANSLATE(C333,""fr"",""en"")"),"N deye
I am very satisfied with the performance of my interlocutor I had all my questions. Very reactive and kind, patient.
Quickly reachable which is very appreciable.")</f>
        <v>N deye
I am very satisfied with the performance of my interlocutor I had all my questions. Very reactive and kind, patient.
Quickly reachable which is very appreciable.</v>
      </c>
    </row>
    <row r="334" ht="15.75" customHeight="1">
      <c r="A334" s="2">
        <v>1.0</v>
      </c>
      <c r="B334" s="2" t="s">
        <v>1044</v>
      </c>
      <c r="C334" s="2" t="s">
        <v>1045</v>
      </c>
      <c r="D334" s="2" t="s">
        <v>145</v>
      </c>
      <c r="E334" s="2" t="s">
        <v>21</v>
      </c>
      <c r="F334" s="2" t="s">
        <v>15</v>
      </c>
      <c r="G334" s="2" t="s">
        <v>271</v>
      </c>
      <c r="H334" s="2" t="s">
        <v>56</v>
      </c>
      <c r="I334" s="2" t="str">
        <f>IFERROR(__xludf.DUMMYFUNCTION("GOOGLETRANSLATE(C334,""fr"",""en"")"),"It is really not the maaf that I prefer!
- They are dear (car, home) and well above most other insurers
- No sense or respect for the customer even if you have been a customer for 30 years (my case)
- whether you have 1 or 6 contracts, no specific fina"&amp;"ncial conditions to thank you for being faithful
- Process still in the 20th century: each time you have to move in an agency having made an appointment (when they want) and without your interlocutor watching your file before!
- No possibility of having"&amp;" your agency live (by email or on the phone). You have to go through a national call center and which asks you lots of questions before you pass your agency.
I went to competition (direct insurance) by regretting that I did not do it earlier.
My advice:"&amp;" do not go there or flee them if you are still there!
I know in advance their systematic response to opinions on the site: ""Contact us on our messaging that we can answer you"": useless, I have everything and would not come back to you.")</f>
        <v>It is really not the maaf that I prefer!
- They are dear (car, home) and well above most other insurers
- No sense or respect for the customer even if you have been a customer for 30 years (my case)
- whether you have 1 or 6 contracts, no specific financial conditions to thank you for being faithful
- Process still in the 20th century: each time you have to move in an agency having made an appointment (when they want) and without your interlocutor watching your file before!
- No possibility of having your agency live (by email or on the phone). You have to go through a national call center and which asks you lots of questions before you pass your agency.
I went to competition (direct insurance) by regretting that I did not do it earlier.
My advice: do not go there or flee them if you are still there!
I know in advance their systematic response to opinions on the site: "Contact us on our messaging that we can answer you": useless, I have everything and would not come back to you.</v>
      </c>
    </row>
    <row r="335" ht="15.75" customHeight="1">
      <c r="A335" s="2">
        <v>2.0</v>
      </c>
      <c r="B335" s="2" t="s">
        <v>1046</v>
      </c>
      <c r="C335" s="2" t="s">
        <v>1047</v>
      </c>
      <c r="D335" s="2" t="s">
        <v>425</v>
      </c>
      <c r="E335" s="2" t="s">
        <v>27</v>
      </c>
      <c r="F335" s="2" t="s">
        <v>15</v>
      </c>
      <c r="G335" s="2" t="s">
        <v>1048</v>
      </c>
      <c r="H335" s="2" t="s">
        <v>1049</v>
      </c>
      <c r="I335" s="2" t="str">
        <f>IFERROR(__xludf.DUMMYFUNCTION("GOOGLETRANSLATE(C335,""fr"",""en"")"),"Morning,
Following a request for the care of cardif insurance for credits contracted at Cetelem. Insurance refused to take care of my credits compared to my sick leave occurred on 12/18/2016. Doctors and specialists have diagnosed me with a codiscadctart"&amp;"hrosis indirectly linked to 14 years in my business to carry loads at arm's length and making repeated movements (logistics agent, handling), I will undergo on September 7, 2017 a surgical operation My hernia cervical disc. I phoned health insurance to as"&amp;"k why the management had been refused, the person specified to me that the diseases related to the back were not taken in charge. So I went to see my insurance contracts, diseases related to cervicals are specified in the paragraph of diseases in ITT, IPT"&amp;" ... I got closer to the CPAM to ask them in which category I was, this one Sending a letter telling me that I was in ALD (long -term affection), I asked if the term itt and ald was identical, a doctor told me that no, these are two totally different term"&amp;"s. Could you confirm this or not to me?
My husband had cancer last year in June 2016, he is currently in remission, but cannot work, he affects a disability pension. In November 2016, it was my turn by contracting a Codiscadctarthrosis. Financially it is"&amp;" very complicated, this month we could not pay the credit company for lack of the necessary funds to be able to pay them (239.76 €), I am afraid to answer the phone when they Call .. We will try to give them the delay in August in September, despite this "&amp;"if we manage to settle their delay, we will always have a month of late settlement, agios are taken due to the delay and This puts us even more in problems in addition to our overdraft.
I really need your help, to find a solution.
Thank you for your ans"&amp;"wers
Fern
")</f>
        <v>Morning,
Following a request for the care of cardif insurance for credits contracted at Cetelem. Insurance refused to take care of my credits compared to my sick leave occurred on 12/18/2016. Doctors and specialists have diagnosed me with a codiscadctarthrosis indirectly linked to 14 years in my business to carry loads at arm's length and making repeated movements (logistics agent, handling), I will undergo on September 7, 2017 a surgical operation My hernia cervical disc. I phoned health insurance to ask why the management had been refused, the person specified to me that the diseases related to the back were not taken in charge. So I went to see my insurance contracts, diseases related to cervicals are specified in the paragraph of diseases in ITT, IPT ... I got closer to the CPAM to ask them in which category I was, this one Sending a letter telling me that I was in ALD (long -term affection), I asked if the term itt and ald was identical, a doctor told me that no, these are two totally different terms. Could you confirm this or not to me?
My husband had cancer last year in June 2016, he is currently in remission, but cannot work, he affects a disability pension. In November 2016, it was my turn by contracting a Codiscadctarthrosis. Financially it is very complicated, this month we could not pay the credit company for lack of the necessary funds to be able to pay them (239.76 €), I am afraid to answer the phone when they Call .. We will try to give them the delay in August in September, despite this if we manage to settle their delay, we will always have a month of late settlement, agios are taken due to the delay and This puts us even more in problems in addition to our overdraft.
I really need your help, to find a solution.
Thank you for your answers
Fern
</v>
      </c>
    </row>
    <row r="336" ht="15.75" customHeight="1">
      <c r="A336" s="2">
        <v>2.0</v>
      </c>
      <c r="B336" s="2" t="s">
        <v>1050</v>
      </c>
      <c r="C336" s="2" t="s">
        <v>1051</v>
      </c>
      <c r="D336" s="2" t="s">
        <v>145</v>
      </c>
      <c r="E336" s="2" t="s">
        <v>21</v>
      </c>
      <c r="F336" s="2" t="s">
        <v>15</v>
      </c>
      <c r="G336" s="2" t="s">
        <v>1052</v>
      </c>
      <c r="H336" s="2" t="s">
        <v>202</v>
      </c>
      <c r="I336" s="2" t="str">
        <f>IFERROR(__xludf.DUMMYFUNCTION("GOOGLETRANSLATE(C336,""fr"",""en"")"),"It's always the same ... As long as you don't have to ask your insurer, everything is fine. But as soon as a very small event forces you to contact them, you quickly realize a blatant incompetence and undoubtedly also a lack of trained ""staff"". Very sho"&amp;"rtly after taking out a contract, I broke down, nothing too bad. And yet that of time spent sending several letters to which we did not answer, multiple telephone calls ringing in the void or leading to an answering machine informing that they were not ab"&amp;"le to answer and finally, after almost three months ... have to threaten a procedure with the DGCCRF ... simply to obtain a simple refund!
The effect was almost immediate with, finally, a telephone call that I have received and whose souvenir I will keep"&amp;" as much the interlocutor behaved in a completely incongruous and casual manner. I learned on this occasion that if I had not been reimbursed it is that the mechanic had simply forgotten to register the price excluding tax on the invoice. Eh yes ! Three m"&amp;"onths to hear that and in addition an interlocutor who laughs! And three months without any response to my letters! Of course; I had to raise my tone and blame him for his totally inappropriate laugh.
Change insurer ...? Bof ... After more than thirty ye"&amp;"ars of driving and having tested other companies and above all informed me before taking out a contract, it seems one of the least ""bad"", then ...! And as I drive less and less ... Nothing presses. You just have to have enough energy and temperament so "&amp;"as not to be led by boat when you are right, right obviously often flouted!")</f>
        <v>It's always the same ... As long as you don't have to ask your insurer, everything is fine. But as soon as a very small event forces you to contact them, you quickly realize a blatant incompetence and undoubtedly also a lack of trained "staff". Very shortly after taking out a contract, I broke down, nothing too bad. And yet that of time spent sending several letters to which we did not answer, multiple telephone calls ringing in the void or leading to an answering machine informing that they were not able to answer and finally, after almost three months ... have to threaten a procedure with the DGCCRF ... simply to obtain a simple refund!
The effect was almost immediate with, finally, a telephone call that I have received and whose souvenir I will keep as much the interlocutor behaved in a completely incongruous and casual manner. I learned on this occasion that if I had not been reimbursed it is that the mechanic had simply forgotten to register the price excluding tax on the invoice. Eh yes ! Three months to hear that and in addition an interlocutor who laughs! And three months without any response to my letters! Of course; I had to raise my tone and blame him for his totally inappropriate laugh.
Change insurer ...? Bof ... After more than thirty years of driving and having tested other companies and above all informed me before taking out a contract, it seems one of the least "bad", then ...! And as I drive less and less ... Nothing presses. You just have to have enough energy and temperament so as not to be led by boat when you are right, right obviously often flouted!</v>
      </c>
    </row>
    <row r="337" ht="15.75" customHeight="1">
      <c r="A337" s="2">
        <v>1.0</v>
      </c>
      <c r="B337" s="2" t="s">
        <v>1053</v>
      </c>
      <c r="C337" s="2" t="s">
        <v>1054</v>
      </c>
      <c r="D337" s="2" t="s">
        <v>183</v>
      </c>
      <c r="E337" s="2" t="s">
        <v>21</v>
      </c>
      <c r="F337" s="2" t="s">
        <v>15</v>
      </c>
      <c r="G337" s="2" t="s">
        <v>1055</v>
      </c>
      <c r="H337" s="2" t="s">
        <v>632</v>
      </c>
      <c r="I337" s="2" t="str">
        <f>IFERROR(__xludf.DUMMYFUNCTION("GOOGLETRANSLATE(C337,""fr"",""en"")"),"To avoid, especially if you are not patient. They should invest their money in their services with customers rather than on TV")</f>
        <v>To avoid, especially if you are not patient. They should invest their money in their services with customers rather than on TV</v>
      </c>
    </row>
    <row r="338" ht="15.75" customHeight="1">
      <c r="A338" s="2">
        <v>2.0</v>
      </c>
      <c r="B338" s="2" t="s">
        <v>1056</v>
      </c>
      <c r="C338" s="2" t="s">
        <v>1057</v>
      </c>
      <c r="D338" s="2" t="s">
        <v>65</v>
      </c>
      <c r="E338" s="2" t="s">
        <v>60</v>
      </c>
      <c r="F338" s="2" t="s">
        <v>15</v>
      </c>
      <c r="G338" s="2" t="s">
        <v>1058</v>
      </c>
      <c r="H338" s="2" t="s">
        <v>62</v>
      </c>
      <c r="I338" s="2" t="str">
        <f>IFERROR(__xludf.DUMMYFUNCTION("GOOGLETRANSLATE(C338,""fr"",""en"")"),"Relatively expensive price for a scooter, but given the time and demand can be justified.
In any case thank you and keep me posted, if the prices drop .... lol")</f>
        <v>Relatively expensive price for a scooter, but given the time and demand can be justified.
In any case thank you and keep me posted, if the prices drop .... lol</v>
      </c>
    </row>
    <row r="339" ht="15.75" customHeight="1">
      <c r="A339" s="2">
        <v>1.0</v>
      </c>
      <c r="B339" s="2" t="s">
        <v>1059</v>
      </c>
      <c r="C339" s="2" t="s">
        <v>1060</v>
      </c>
      <c r="D339" s="2" t="s">
        <v>656</v>
      </c>
      <c r="E339" s="2" t="s">
        <v>14</v>
      </c>
      <c r="F339" s="2" t="s">
        <v>15</v>
      </c>
      <c r="G339" s="2" t="s">
        <v>69</v>
      </c>
      <c r="H339" s="2" t="s">
        <v>48</v>
      </c>
      <c r="I339" s="2" t="str">
        <f>IFERROR(__xludf.DUMMYFUNCTION("GOOGLETRANSLATE(C339,""fr"",""en"")"),"ECA to flee I had only unpleasant surprises they assure me for animal insurance they forced me to other contracts to credit on my account without my agreement
Contracts")</f>
        <v>ECA to flee I had only unpleasant surprises they assure me for animal insurance they forced me to other contracts to credit on my account without my agreement
Contracts</v>
      </c>
    </row>
    <row r="340" ht="15.75" customHeight="1">
      <c r="A340" s="2">
        <v>1.0</v>
      </c>
      <c r="B340" s="2" t="s">
        <v>1061</v>
      </c>
      <c r="C340" s="2" t="s">
        <v>1062</v>
      </c>
      <c r="D340" s="2" t="s">
        <v>656</v>
      </c>
      <c r="E340" s="2" t="s">
        <v>14</v>
      </c>
      <c r="F340" s="2" t="s">
        <v>15</v>
      </c>
      <c r="G340" s="2" t="s">
        <v>1063</v>
      </c>
      <c r="H340" s="2" t="s">
        <v>39</v>
      </c>
      <c r="I340" s="2" t="str">
        <f>IFERROR(__xludf.DUMMYFUNCTION("GOOGLETRANSLATE(C340,""fr"",""en"")"),"Little fees reimbursed!
Only 100 euros are reimbursed on sterilization at 300 euros, a palace sailing operation (French Bulldog dog) at 700 euros not at all reimbursed !! Only vaccines are reimbursed, with a monthly payment of 20 euros it is not worth ta"&amp;"king out insurance!
And big problem to terminate! I sent several emails, never
Response ... I sent a registered termination letter 3 weeks ago and apart from the acknowledgment of receipt nothing has changed on my customer account. Not received from ema"&amp;"il or mail to say that my termination will be taken into account, my account is noted always active in the customer area of ​​the site, and I have just been noted!
I will see with my bank to block the direct debits.
Agree with the other opinions, in Abs"&amp;"olutely!")</f>
        <v>Little fees reimbursed!
Only 100 euros are reimbursed on sterilization at 300 euros, a palace sailing operation (French Bulldog dog) at 700 euros not at all reimbursed !! Only vaccines are reimbursed, with a monthly payment of 20 euros it is not worth taking out insurance!
And big problem to terminate! I sent several emails, never
Response ... I sent a registered termination letter 3 weeks ago and apart from the acknowledgment of receipt nothing has changed on my customer account. Not received from email or mail to say that my termination will be taken into account, my account is noted always active in the customer area of ​​the site, and I have just been noted!
I will see with my bank to block the direct debits.
Agree with the other opinions, in Absolutely!</v>
      </c>
    </row>
    <row r="341" ht="15.75" customHeight="1">
      <c r="A341" s="2">
        <v>1.0</v>
      </c>
      <c r="B341" s="2" t="s">
        <v>1064</v>
      </c>
      <c r="C341" s="2" t="s">
        <v>1065</v>
      </c>
      <c r="D341" s="2" t="s">
        <v>145</v>
      </c>
      <c r="E341" s="2" t="s">
        <v>21</v>
      </c>
      <c r="F341" s="2" t="s">
        <v>15</v>
      </c>
      <c r="G341" s="2" t="s">
        <v>1066</v>
      </c>
      <c r="H341" s="2" t="s">
        <v>108</v>
      </c>
      <c r="I341" s="2" t="str">
        <f>IFERROR(__xludf.DUMMYFUNCTION("GOOGLETRANSLATE(C341,""fr"",""en"")"),"Insured with the maaf from 2012 Zero sinister until 2016. I therefore totaled 2 claims in 2016, in 2017 I stop my insurance contract on the one hand I do not find its normal and in addition it is that He took me 2 months before the end of the contract! Th"&amp;"ank you the stresses that will take me with 2 sinister !! ecoeor their way of doing things I strongly advise against the maaf !!!!!!!!!")</f>
        <v>Insured with the maaf from 2012 Zero sinister until 2016. I therefore totaled 2 claims in 2016, in 2017 I stop my insurance contract on the one hand I do not find its normal and in addition it is that He took me 2 months before the end of the contract! Thank you the stresses that will take me with 2 sinister !! ecoeor their way of doing things I strongly advise against the maaf !!!!!!!!!</v>
      </c>
    </row>
    <row r="342" ht="15.75" customHeight="1">
      <c r="A342" s="2">
        <v>4.0</v>
      </c>
      <c r="B342" s="2" t="s">
        <v>1067</v>
      </c>
      <c r="C342" s="2" t="s">
        <v>1068</v>
      </c>
      <c r="D342" s="2" t="s">
        <v>32</v>
      </c>
      <c r="E342" s="2" t="s">
        <v>21</v>
      </c>
      <c r="F342" s="2" t="s">
        <v>15</v>
      </c>
      <c r="G342" s="2" t="s">
        <v>790</v>
      </c>
      <c r="H342" s="2" t="s">
        <v>39</v>
      </c>
      <c r="I342" s="2" t="str">
        <f>IFERROR(__xludf.DUMMYFUNCTION("GOOGLETRANSLATE(C342,""fr"",""en"")"),"I am satisfied with the prices.
Being for a very long time at home, I think you have been the best -rated insurance company so far.")</f>
        <v>I am satisfied with the prices.
Being for a very long time at home, I think you have been the best -rated insurance company so far.</v>
      </c>
    </row>
    <row r="343" ht="15.75" customHeight="1">
      <c r="A343" s="2">
        <v>3.0</v>
      </c>
      <c r="B343" s="2" t="s">
        <v>1069</v>
      </c>
      <c r="C343" s="2" t="s">
        <v>1070</v>
      </c>
      <c r="D343" s="2" t="s">
        <v>42</v>
      </c>
      <c r="E343" s="2" t="s">
        <v>21</v>
      </c>
      <c r="F343" s="2" t="s">
        <v>15</v>
      </c>
      <c r="G343" s="2" t="s">
        <v>1071</v>
      </c>
      <c r="H343" s="2" t="s">
        <v>56</v>
      </c>
      <c r="I343" s="2" t="str">
        <f>IFERROR(__xludf.DUMMYFUNCTION("GOOGLETRANSLATE(C343,""fr"",""en"")"),"Satisfied, I wait for the documents as quickly as possible if the price is expensive. I don't know you I have discovered you on the internet. Thank you")</f>
        <v>Satisfied, I wait for the documents as quickly as possible if the price is expensive. I don't know you I have discovered you on the internet. Thank you</v>
      </c>
    </row>
    <row r="344" ht="15.75" customHeight="1">
      <c r="A344" s="2">
        <v>5.0</v>
      </c>
      <c r="B344" s="2" t="s">
        <v>1072</v>
      </c>
      <c r="C344" s="2" t="s">
        <v>1073</v>
      </c>
      <c r="D344" s="2" t="s">
        <v>379</v>
      </c>
      <c r="E344" s="2" t="s">
        <v>157</v>
      </c>
      <c r="F344" s="2" t="s">
        <v>15</v>
      </c>
      <c r="G344" s="2" t="s">
        <v>572</v>
      </c>
      <c r="H344" s="2" t="s">
        <v>104</v>
      </c>
      <c r="I344" s="2" t="str">
        <f>IFERROR(__xludf.DUMMYFUNCTION("GOOGLETRANSLATE(C344,""fr"",""en"")"),"I have been satisfied with the MGP mutual, since my subscription. The prices are affordable and the products and services offered seem very interesting for the insured. The advisers available to us know how to meet our expectations.")</f>
        <v>I have been satisfied with the MGP mutual, since my subscription. The prices are affordable and the products and services offered seem very interesting for the insured. The advisers available to us know how to meet our expectations.</v>
      </c>
    </row>
    <row r="345" ht="15.75" customHeight="1">
      <c r="A345" s="2">
        <v>1.0</v>
      </c>
      <c r="B345" s="2" t="s">
        <v>1074</v>
      </c>
      <c r="C345" s="2" t="s">
        <v>1075</v>
      </c>
      <c r="D345" s="2" t="s">
        <v>267</v>
      </c>
      <c r="E345" s="2" t="s">
        <v>21</v>
      </c>
      <c r="F345" s="2" t="s">
        <v>15</v>
      </c>
      <c r="G345" s="2" t="s">
        <v>1076</v>
      </c>
      <c r="H345" s="2" t="s">
        <v>206</v>
      </c>
      <c r="I345" s="2" t="str">
        <f>IFERROR(__xludf.DUMMYFUNCTION("GOOGLETRANSLATE(C345,""fr"",""en"")"),"A scandal this insurer, a shame. A 50/50 announced on a hanging in a parking lot. Finally it was reconsidered in 100% against my disadvantage, something discovered only 1 year after when the contract is terminated following the sale of my vehicle. The man"&amp;"ager of the service has reclassified the claim without deigns informing me, neither by phone nor by mail! Incompetence and lack of total courage! To flee Pacifica.")</f>
        <v>A scandal this insurer, a shame. A 50/50 announced on a hanging in a parking lot. Finally it was reconsidered in 100% against my disadvantage, something discovered only 1 year after when the contract is terminated following the sale of my vehicle. The manager of the service has reclassified the claim without deigns informing me, neither by phone nor by mail! Incompetence and lack of total courage! To flee Pacifica.</v>
      </c>
    </row>
    <row r="346" ht="15.75" customHeight="1">
      <c r="A346" s="2">
        <v>5.0</v>
      </c>
      <c r="B346" s="2" t="s">
        <v>1077</v>
      </c>
      <c r="C346" s="2" t="s">
        <v>1078</v>
      </c>
      <c r="D346" s="2" t="s">
        <v>129</v>
      </c>
      <c r="E346" s="2" t="s">
        <v>21</v>
      </c>
      <c r="F346" s="2" t="s">
        <v>15</v>
      </c>
      <c r="G346" s="2" t="s">
        <v>601</v>
      </c>
      <c r="H346" s="2" t="s">
        <v>29</v>
      </c>
      <c r="I346" s="2" t="str">
        <f>IFERROR(__xludf.DUMMYFUNCTION("GOOGLETRANSLATE(C346,""fr"",""en"")"),"Hello. I am satisfied with all of your services as well by telephone contacts, welcomes at the Tarbes agency and by internet. Cordially")</f>
        <v>Hello. I am satisfied with all of your services as well by telephone contacts, welcomes at the Tarbes agency and by internet. Cordially</v>
      </c>
    </row>
    <row r="347" ht="15.75" customHeight="1">
      <c r="A347" s="2">
        <v>5.0</v>
      </c>
      <c r="B347" s="2" t="s">
        <v>1079</v>
      </c>
      <c r="C347" s="2" t="s">
        <v>1080</v>
      </c>
      <c r="D347" s="2" t="s">
        <v>42</v>
      </c>
      <c r="E347" s="2" t="s">
        <v>21</v>
      </c>
      <c r="F347" s="2" t="s">
        <v>15</v>
      </c>
      <c r="G347" s="2" t="s">
        <v>305</v>
      </c>
      <c r="H347" s="2" t="s">
        <v>305</v>
      </c>
      <c r="I347" s="2" t="str">
        <f>IFERROR(__xludf.DUMMYFUNCTION("GOOGLETRANSLATE(C347,""fr"",""en"")"),"I have subscribed to the Olivier Assurance for its attractive prices and the guarantees offered at a very good price. Until I am completely delighted, the implementation of my file was done without problem!
")</f>
        <v>I have subscribed to the Olivier Assurance for its attractive prices and the guarantees offered at a very good price. Until I am completely delighted, the implementation of my file was done without problem!
</v>
      </c>
    </row>
    <row r="348" ht="15.75" customHeight="1">
      <c r="A348" s="2">
        <v>4.0</v>
      </c>
      <c r="B348" s="2" t="s">
        <v>1081</v>
      </c>
      <c r="C348" s="2" t="s">
        <v>1082</v>
      </c>
      <c r="D348" s="2" t="s">
        <v>32</v>
      </c>
      <c r="E348" s="2" t="s">
        <v>21</v>
      </c>
      <c r="F348" s="2" t="s">
        <v>15</v>
      </c>
      <c r="G348" s="2" t="s">
        <v>398</v>
      </c>
      <c r="H348" s="2" t="s">
        <v>48</v>
      </c>
      <c r="I348" s="2" t="str">
        <f>IFERROR(__xludf.DUMMYFUNCTION("GOOGLETRANSLATE(C348,""fr"",""en"")"),"I am satisfied with the service.
The price after direct insurance negotiation efforts has become a satisfactory price again and seems very correct compared to competition.
 ")</f>
        <v>I am satisfied with the service.
The price after direct insurance negotiation efforts has become a satisfactory price again and seems very correct compared to competition.
 </v>
      </c>
    </row>
    <row r="349" ht="15.75" customHeight="1">
      <c r="A349" s="2">
        <v>4.0</v>
      </c>
      <c r="B349" s="2" t="s">
        <v>1083</v>
      </c>
      <c r="C349" s="2" t="s">
        <v>1084</v>
      </c>
      <c r="D349" s="2" t="s">
        <v>42</v>
      </c>
      <c r="E349" s="2" t="s">
        <v>21</v>
      </c>
      <c r="F349" s="2" t="s">
        <v>15</v>
      </c>
      <c r="G349" s="2" t="s">
        <v>481</v>
      </c>
      <c r="H349" s="2" t="s">
        <v>56</v>
      </c>
      <c r="I349" s="2" t="str">
        <f>IFERROR(__xludf.DUMMYFUNCTION("GOOGLETRANSLATE(C349,""fr"",""en"")"),"TOP Customer Service! All that remains is to see later what insurance gives.
Very well informed, it is from this moment that my adventure begins in this insurance which make reasonable prices.")</f>
        <v>TOP Customer Service! All that remains is to see later what insurance gives.
Very well informed, it is from this moment that my adventure begins in this insurance which make reasonable prices.</v>
      </c>
    </row>
    <row r="350" ht="15.75" customHeight="1">
      <c r="A350" s="2">
        <v>2.0</v>
      </c>
      <c r="B350" s="2" t="s">
        <v>1085</v>
      </c>
      <c r="C350" s="2" t="s">
        <v>1086</v>
      </c>
      <c r="D350" s="2" t="s">
        <v>267</v>
      </c>
      <c r="E350" s="2" t="s">
        <v>33</v>
      </c>
      <c r="F350" s="2" t="s">
        <v>15</v>
      </c>
      <c r="G350" s="2" t="s">
        <v>1087</v>
      </c>
      <c r="H350" s="2" t="s">
        <v>260</v>
      </c>
      <c r="I350" s="2" t="str">
        <f>IFERROR(__xludf.DUMMYFUNCTION("GOOGLETRANSLATE(C350,""fr"",""en"")"),"To flee absolutely! Crédit Agricole insurance is a smoking, like many online service without anyone opposite or in any case never the same. Everything is well locked so as not to pay 1 cents in the event of a problem.
Verious experts who affect premiums "&amp;"if the insurer is competing for it. General conditions of illegible and contradictory sales to be able to juggle and gain cause.")</f>
        <v>To flee absolutely! Crédit Agricole insurance is a smoking, like many online service without anyone opposite or in any case never the same. Everything is well locked so as not to pay 1 cents in the event of a problem.
Verious experts who affect premiums if the insurer is competing for it. General conditions of illegible and contradictory sales to be able to juggle and gain cause.</v>
      </c>
    </row>
    <row r="351" ht="15.75" customHeight="1">
      <c r="A351" s="2">
        <v>1.0</v>
      </c>
      <c r="B351" s="2" t="s">
        <v>1088</v>
      </c>
      <c r="C351" s="2" t="s">
        <v>1089</v>
      </c>
      <c r="D351" s="2" t="s">
        <v>196</v>
      </c>
      <c r="E351" s="2" t="s">
        <v>82</v>
      </c>
      <c r="F351" s="2" t="s">
        <v>15</v>
      </c>
      <c r="G351" s="2" t="s">
        <v>1090</v>
      </c>
      <c r="H351" s="2" t="s">
        <v>1091</v>
      </c>
      <c r="I351" s="2" t="str">
        <f>IFERROR(__xludf.DUMMYFUNCTION("GOOGLETRANSLATE(C351,""fr"",""en"")"),"Since September 2018 I still don't have my mutual card and I am taken every month")</f>
        <v>Since September 2018 I still don't have my mutual card and I am taken every month</v>
      </c>
    </row>
    <row r="352" ht="15.75" customHeight="1">
      <c r="A352" s="2">
        <v>1.0</v>
      </c>
      <c r="B352" s="2" t="s">
        <v>1092</v>
      </c>
      <c r="C352" s="2" t="s">
        <v>1093</v>
      </c>
      <c r="D352" s="2" t="s">
        <v>169</v>
      </c>
      <c r="E352" s="2" t="s">
        <v>157</v>
      </c>
      <c r="F352" s="2" t="s">
        <v>15</v>
      </c>
      <c r="G352" s="2" t="s">
        <v>1094</v>
      </c>
      <c r="H352" s="2" t="s">
        <v>618</v>
      </c>
      <c r="I352" s="2" t="str">
        <f>IFERROR(__xludf.DUMMYFUNCTION("GOOGLETRANSLATE(C352,""fr"",""en"")"),"Big problem with Reunica AG2R for my pension file: irregular payments for a year, but above all no more payment for 5 months, no response, I had to activate my legal protection by crossing my fingers because even my former employer does not happen to obta"&amp;"in answers.")</f>
        <v>Big problem with Reunica AG2R for my pension file: irregular payments for a year, but above all no more payment for 5 months, no response, I had to activate my legal protection by crossing my fingers because even my former employer does not happen to obtain answers.</v>
      </c>
    </row>
    <row r="353" ht="15.75" customHeight="1">
      <c r="A353" s="2">
        <v>2.0</v>
      </c>
      <c r="B353" s="2" t="s">
        <v>1095</v>
      </c>
      <c r="C353" s="2" t="s">
        <v>1096</v>
      </c>
      <c r="D353" s="2" t="s">
        <v>59</v>
      </c>
      <c r="E353" s="2" t="s">
        <v>21</v>
      </c>
      <c r="F353" s="2" t="s">
        <v>15</v>
      </c>
      <c r="G353" s="2" t="s">
        <v>1097</v>
      </c>
      <c r="H353" s="2" t="s">
        <v>432</v>
      </c>
      <c r="I353" s="2" t="str">
        <f>IFERROR(__xludf.DUMMYFUNCTION("GOOGLETRANSLATE(C353,""fr"",""en"")"),"Non -competent customer service No coordination in co -lective management dedication in Morocco at the detriment of respect for the customer
No response by email The customer must fill the errors to the repetition of managers. Promises made by phone but "&amp;"never honored. If you hold your dignity go your way")</f>
        <v>Non -competent customer service No coordination in co -lective management dedication in Morocco at the detriment of respect for the customer
No response by email The customer must fill the errors to the repetition of managers. Promises made by phone but never honored. If you hold your dignity go your way</v>
      </c>
    </row>
    <row r="354" ht="15.75" customHeight="1">
      <c r="A354" s="2">
        <v>5.0</v>
      </c>
      <c r="B354" s="2" t="s">
        <v>1098</v>
      </c>
      <c r="C354" s="2" t="s">
        <v>1099</v>
      </c>
      <c r="D354" s="2" t="s">
        <v>42</v>
      </c>
      <c r="E354" s="2" t="s">
        <v>21</v>
      </c>
      <c r="F354" s="2" t="s">
        <v>15</v>
      </c>
      <c r="G354" s="2" t="s">
        <v>733</v>
      </c>
      <c r="H354" s="2" t="s">
        <v>464</v>
      </c>
      <c r="I354" s="2" t="str">
        <f>IFERROR(__xludf.DUMMYFUNCTION("GOOGLETRANSLATE(C354,""fr"",""en"")"),"I am satisfied, many advantages.
The prices are very convincing, a lot of savings.
Super simple, practical, very fluid and pleasant site ...")</f>
        <v>I am satisfied, many advantages.
The prices are very convincing, a lot of savings.
Super simple, practical, very fluid and pleasant site ...</v>
      </c>
    </row>
    <row r="355" ht="15.75" customHeight="1">
      <c r="A355" s="2">
        <v>1.0</v>
      </c>
      <c r="B355" s="2" t="s">
        <v>1100</v>
      </c>
      <c r="C355" s="2" t="s">
        <v>1101</v>
      </c>
      <c r="D355" s="2" t="s">
        <v>32</v>
      </c>
      <c r="E355" s="2" t="s">
        <v>21</v>
      </c>
      <c r="F355" s="2" t="s">
        <v>15</v>
      </c>
      <c r="G355" s="2" t="s">
        <v>394</v>
      </c>
      <c r="H355" s="2" t="s">
        <v>395</v>
      </c>
      <c r="I355" s="2" t="str">
        <f>IFERROR(__xludf.DUMMYFUNCTION("GOOGLETRANSLATE(C355,""fr"",""en"")"),"Good morning !
Accident not responsible for almost 9 months and still no repair and not refund either and each I call them it is always there to wait and wait and all that so as not to change insurance")</f>
        <v>Good morning !
Accident not responsible for almost 9 months and still no repair and not refund either and each I call them it is always there to wait and wait and all that so as not to change insurance</v>
      </c>
    </row>
    <row r="356" ht="15.75" customHeight="1">
      <c r="A356" s="2">
        <v>2.0</v>
      </c>
      <c r="B356" s="2" t="s">
        <v>1102</v>
      </c>
      <c r="C356" s="2" t="s">
        <v>1103</v>
      </c>
      <c r="D356" s="2" t="s">
        <v>59</v>
      </c>
      <c r="E356" s="2" t="s">
        <v>21</v>
      </c>
      <c r="F356" s="2" t="s">
        <v>15</v>
      </c>
      <c r="G356" s="2" t="s">
        <v>1104</v>
      </c>
      <c r="H356" s="2" t="s">
        <v>104</v>
      </c>
      <c r="I356" s="2" t="str">
        <f>IFERROR(__xludf.DUMMYFUNCTION("GOOGLETRANSLATE(C356,""fr"",""en"")"),"I was delighted with my insurer and its prices (excellent interpersonal skills, already four contracts at home) .... until I unfortunately need it.
First responsible accident (road trip) in more than 10 years of license and 6 years of insurance at AXA. G"&amp;"iven the little damage suffered by the car and its excellent condition elsewhere, I expect to be repaired.
First surprise: vehicle classified economically irreparable, more than a month after the disaster.
Second surprise: the value to be said ""of expe"&amp;"rt"", well below the real value observed from the vehicle, it will be impossible for me to buy the same vehicle, even more kilometer, with the estimated sum. (Expert of course ""partner of AXA"")
Third surprise: my vehicle is removed at the end of March "&amp;"by a spavator, more than two months after the declaration of the disaster, and still not the slightest compensation in sight. So no more car and no money ... Practical! (Spavator who himself will say in front of the car ""and that's all they give you?!"")"&amp;"
Fourth surprise: my employer, aware of my accident, asked me for an information statement of my insurance, to find out if my new coefficient would impact my insurance on works vehicles. Information report requested a month ago ... never received!
Fifth"&amp;" surprise: in a financial impasse due to this situation and faced with the need to have a vehicle to go to my workplace, I decide not to have a counter expertise, I was made to understand that it will last months.
In a final hope, I ask my advisor if it "&amp;"is possible for him to make a commercial gesture on the applied franchise. She replies that she must discuss it with her boss, but that he saw that I had made an information statement, and that it will play against me, letting me understand that I am not "&amp;"a customer ""faithful"".
This reveals that they have received my request for a statement of information to which I have never had an answer.
I still specify that I have four auto and motorcycle insurance contracts at home, including three in collection "&amp;"vehicles, and that, unlike other insurance, they have made no commercial gesture compared to various confinements during which none of these vehicles could leave the garage.
I was so far recommended that my entourage ownership of collection vehicles to h"&amp;"ave quotes in this agency, in particular to my parents who have a substantial collection for which I myself have quotes a quote from AXA. . I do not think it is legitimate to question my loyalty.
Today more than two months before the claim, I did not r"&amp;"eceive any compensation, received no response to my request for a delivery on my franchise and my agency no longer responds by email or by phone.
In a last momentum of ""loyalty"" I will not disclose which agency AXA I am the customer.
Disappointed, I h"&amp;"ave to share it with any future subscribers.
Have a good day.")</f>
        <v>I was delighted with my insurer and its prices (excellent interpersonal skills, already four contracts at home) .... until I unfortunately need it.
First responsible accident (road trip) in more than 10 years of license and 6 years of insurance at AXA. Given the little damage suffered by the car and its excellent condition elsewhere, I expect to be repaired.
First surprise: vehicle classified economically irreparable, more than a month after the disaster.
Second surprise: the value to be said "of expert", well below the real value observed from the vehicle, it will be impossible for me to buy the same vehicle, even more kilometer, with the estimated sum. (Expert of course "partner of AXA")
Third surprise: my vehicle is removed at the end of March by a spavator, more than two months after the declaration of the disaster, and still not the slightest compensation in sight. So no more car and no money ... Practical! (Spavator who himself will say in front of the car "and that's all they give you?!")
Fourth surprise: my employer, aware of my accident, asked me for an information statement of my insurance, to find out if my new coefficient would impact my insurance on works vehicles. Information report requested a month ago ... never received!
Fifth surprise: in a financial impasse due to this situation and faced with the need to have a vehicle to go to my workplace, I decide not to have a counter expertise, I was made to understand that it will last months.
In a final hope, I ask my advisor if it is possible for him to make a commercial gesture on the applied franchise. She replies that she must discuss it with her boss, but that he saw that I had made an information statement, and that it will play against me, letting me understand that I am not a customer "faithful".
This reveals that they have received my request for a statement of information to which I have never had an answer.
I still specify that I have four auto and motorcycle insurance contracts at home, including three in collection vehicles, and that, unlike other insurance, they have made no commercial gesture compared to various confinements during which none of these vehicles could leave the garage.
I was so far recommended that my entourage ownership of collection vehicles to have quotes in this agency, in particular to my parents who have a substantial collection for which I myself have quotes a quote from AXA. . I do not think it is legitimate to question my loyalty.
Today more than two months before the claim, I did not receive any compensation, received no response to my request for a delivery on my franchise and my agency no longer responds by email or by phone.
In a last momentum of "loyalty" I will not disclose which agency AXA I am the customer.
Disappointed, I have to share it with any future subscribers.
Have a good day.</v>
      </c>
    </row>
    <row r="357" ht="15.75" customHeight="1">
      <c r="A357" s="2">
        <v>1.0</v>
      </c>
      <c r="B357" s="2" t="s">
        <v>1105</v>
      </c>
      <c r="C357" s="2" t="s">
        <v>1106</v>
      </c>
      <c r="D357" s="2" t="s">
        <v>1107</v>
      </c>
      <c r="E357" s="2" t="s">
        <v>14</v>
      </c>
      <c r="F357" s="2" t="s">
        <v>15</v>
      </c>
      <c r="G357" s="2" t="s">
        <v>1108</v>
      </c>
      <c r="H357" s="2" t="s">
        <v>474</v>
      </c>
      <c r="I357" s="2" t="str">
        <f>IFERROR(__xludf.DUMMYFUNCTION("GOOGLETRANSLATE(C357,""fr"",""en"")"),"I made sure at Solly Azar for 1 year, stop that is enough !! When I saw that he asked for papers and papers I sent a registered letter 2 months before the end of my 1st year as indicated in the contract, they refused it that 20 before it was necessary EXE"&amp;"RIBling with the Chatel law, as I am a member of the UFC what to choose I denounced their very method my veterinarian had never seen this, in any case flee by running, I do not recommend them above all")</f>
        <v>I made sure at Solly Azar for 1 year, stop that is enough !! When I saw that he asked for papers and papers I sent a registered letter 2 months before the end of my 1st year as indicated in the contract, they refused it that 20 before it was necessary EXERIBling with the Chatel law, as I am a member of the UFC what to choose I denounced their very method my veterinarian had never seen this, in any case flee by running, I do not recommend them above all</v>
      </c>
    </row>
    <row r="358" ht="15.75" customHeight="1">
      <c r="A358" s="2">
        <v>5.0</v>
      </c>
      <c r="B358" s="2" t="s">
        <v>1109</v>
      </c>
      <c r="C358" s="2" t="s">
        <v>1110</v>
      </c>
      <c r="D358" s="2" t="s">
        <v>129</v>
      </c>
      <c r="E358" s="2" t="s">
        <v>21</v>
      </c>
      <c r="F358" s="2" t="s">
        <v>15</v>
      </c>
      <c r="G358" s="2" t="s">
        <v>28</v>
      </c>
      <c r="H358" s="2" t="s">
        <v>29</v>
      </c>
      <c r="I358" s="2" t="str">
        <f>IFERROR(__xludf.DUMMYFUNCTION("GOOGLETRANSLATE(C358,""fr"",""en"")"),"An almost complete paint to be redone on a 3008 following a bad storm.
A declaration of claim made. A presentation to an expert, a repair made at Peugeot. 2000 euros of invoice reimbursed by the GMF except well on the franchise.
Everything went super we"&amp;"ll. Bravo the GMF. I highly recommend.")</f>
        <v>An almost complete paint to be redone on a 3008 following a bad storm.
A declaration of claim made. A presentation to an expert, a repair made at Peugeot. 2000 euros of invoice reimbursed by the GMF except well on the franchise.
Everything went super well. Bravo the GMF. I highly recommend.</v>
      </c>
    </row>
    <row r="359" ht="15.75" customHeight="1">
      <c r="A359" s="2">
        <v>5.0</v>
      </c>
      <c r="B359" s="2" t="s">
        <v>1111</v>
      </c>
      <c r="C359" s="2" t="s">
        <v>1112</v>
      </c>
      <c r="D359" s="2" t="s">
        <v>65</v>
      </c>
      <c r="E359" s="2" t="s">
        <v>60</v>
      </c>
      <c r="F359" s="2" t="s">
        <v>15</v>
      </c>
      <c r="G359" s="2" t="s">
        <v>761</v>
      </c>
      <c r="H359" s="2" t="s">
        <v>62</v>
      </c>
      <c r="I359" s="2" t="str">
        <f>IFERROR(__xludf.DUMMYFUNCTION("GOOGLETRANSLATE(C359,""fr"",""en"")"),"I AM SATISFIED WITH THE SERVICE
clear contract and well explained
Quite quick to contact us
VERY CHARMANDE interlocutor
I recommend
thank you so much")</f>
        <v>I AM SATISFIED WITH THE SERVICE
clear contract and well explained
Quite quick to contact us
VERY CHARMANDE interlocutor
I recommend
thank you so much</v>
      </c>
    </row>
    <row r="360" ht="15.75" customHeight="1">
      <c r="A360" s="2">
        <v>3.0</v>
      </c>
      <c r="B360" s="2" t="s">
        <v>1113</v>
      </c>
      <c r="C360" s="2" t="s">
        <v>1114</v>
      </c>
      <c r="D360" s="2" t="s">
        <v>59</v>
      </c>
      <c r="E360" s="2" t="s">
        <v>33</v>
      </c>
      <c r="F360" s="2" t="s">
        <v>15</v>
      </c>
      <c r="G360" s="2" t="s">
        <v>1115</v>
      </c>
      <c r="H360" s="2" t="s">
        <v>866</v>
      </c>
      <c r="I360" s="2" t="str">
        <f>IFERROR(__xludf.DUMMYFUNCTION("GOOGLETRANSLATE(C360,""fr"",""en"")"),"Following a burglary that occurred at the end of February 2019, a 91 -year -old person waited for more than 2 months in order to have a new lock ... poorly posed and having additional electrical problems and deterioration on the door.
As for compensation"&amp;": I would remain polite")</f>
        <v>Following a burglary that occurred at the end of February 2019, a 91 -year -old person waited for more than 2 months in order to have a new lock ... poorly posed and having additional electrical problems and deterioration on the door.
As for compensation: I would remain polite</v>
      </c>
    </row>
    <row r="361" ht="15.75" customHeight="1">
      <c r="A361" s="2">
        <v>1.0</v>
      </c>
      <c r="B361" s="2" t="s">
        <v>1116</v>
      </c>
      <c r="C361" s="2" t="s">
        <v>1117</v>
      </c>
      <c r="D361" s="2" t="s">
        <v>145</v>
      </c>
      <c r="E361" s="2" t="s">
        <v>21</v>
      </c>
      <c r="F361" s="2" t="s">
        <v>15</v>
      </c>
      <c r="G361" s="2" t="s">
        <v>1118</v>
      </c>
      <c r="H361" s="2" t="s">
        <v>108</v>
      </c>
      <c r="I361" s="2" t="str">
        <f>IFERROR(__xludf.DUMMYFUNCTION("GOOGLETRANSLATE(C361,""fr"",""en"")"),"After 2 incidents (a break of ice and a buffer with another vehicle at the back without any damage) the Maaf is removing! After more than 10 years with them !!!")</f>
        <v>After 2 incidents (a break of ice and a buffer with another vehicle at the back without any damage) the Maaf is removing! After more than 10 years with them !!!</v>
      </c>
    </row>
    <row r="362" ht="15.75" customHeight="1">
      <c r="A362" s="2">
        <v>1.0</v>
      </c>
      <c r="B362" s="2" t="s">
        <v>1119</v>
      </c>
      <c r="C362" s="2" t="s">
        <v>1120</v>
      </c>
      <c r="D362" s="2" t="s">
        <v>129</v>
      </c>
      <c r="E362" s="2" t="s">
        <v>33</v>
      </c>
      <c r="F362" s="2" t="s">
        <v>15</v>
      </c>
      <c r="G362" s="2" t="s">
        <v>1121</v>
      </c>
      <c r="H362" s="2" t="s">
        <v>305</v>
      </c>
      <c r="I362" s="2" t="str">
        <f>IFERROR(__xludf.DUMMYFUNCTION("GOOGLETRANSLATE(C362,""fr"",""en"")"),"After 10 years of good and loyal regulations (auto/housing among others), a disaster showed me the level of quality of reimbursements, customer service. No non -existent advice empathy for agencies, very mediocre reactivity of the sinister service without"&amp;" speaking of the hours to wait to reach them.
I had to fall only only on the bad interlocutor but as it is I advise to ""flee"" this insurance company")</f>
        <v>After 10 years of good and loyal regulations (auto/housing among others), a disaster showed me the level of quality of reimbursements, customer service. No non -existent advice empathy for agencies, very mediocre reactivity of the sinister service without speaking of the hours to wait to reach them.
I had to fall only only on the bad interlocutor but as it is I advise to "flee" this insurance company</v>
      </c>
    </row>
    <row r="363" ht="15.75" customHeight="1">
      <c r="A363" s="2">
        <v>3.0</v>
      </c>
      <c r="B363" s="2" t="s">
        <v>1122</v>
      </c>
      <c r="C363" s="2" t="s">
        <v>1123</v>
      </c>
      <c r="D363" s="2" t="s">
        <v>32</v>
      </c>
      <c r="E363" s="2" t="s">
        <v>21</v>
      </c>
      <c r="F363" s="2" t="s">
        <v>15</v>
      </c>
      <c r="G363" s="2" t="s">
        <v>391</v>
      </c>
      <c r="H363" s="2" t="s">
        <v>29</v>
      </c>
      <c r="I363" s="2" t="str">
        <f>IFERROR(__xludf.DUMMYFUNCTION("GOOGLETRANSLATE(C363,""fr"",""en"")"),"Very long to apply for a quote but quick to sign a quote to put validated and therefore take possession of the vehicle; Min 50 characteristics are long .....")</f>
        <v>Very long to apply for a quote but quick to sign a quote to put validated and therefore take possession of the vehicle; Min 50 characteristics are long .....</v>
      </c>
    </row>
    <row r="364" ht="15.75" customHeight="1">
      <c r="A364" s="2">
        <v>4.0</v>
      </c>
      <c r="B364" s="2" t="s">
        <v>1124</v>
      </c>
      <c r="C364" s="2" t="s">
        <v>1125</v>
      </c>
      <c r="D364" s="2" t="s">
        <v>32</v>
      </c>
      <c r="E364" s="2" t="s">
        <v>21</v>
      </c>
      <c r="F364" s="2" t="s">
        <v>15</v>
      </c>
      <c r="G364" s="2" t="s">
        <v>187</v>
      </c>
      <c r="H364" s="2" t="s">
        <v>56</v>
      </c>
      <c r="I364" s="2" t="str">
        <f>IFERROR(__xludf.DUMMYFUNCTION("GOOGLETRANSLATE(C364,""fr"",""en"")"),"A complicated quote and not always clear information.
The vehicle is new but we are forced to say since how long the old insurance is terminated, but it is precisely new insurance for a new vehicle, so it is not clear.")</f>
        <v>A complicated quote and not always clear information.
The vehicle is new but we are forced to say since how long the old insurance is terminated, but it is precisely new insurance for a new vehicle, so it is not clear.</v>
      </c>
    </row>
    <row r="365" ht="15.75" customHeight="1">
      <c r="A365" s="2">
        <v>5.0</v>
      </c>
      <c r="B365" s="2" t="s">
        <v>1126</v>
      </c>
      <c r="C365" s="2" t="s">
        <v>1127</v>
      </c>
      <c r="D365" s="2" t="s">
        <v>42</v>
      </c>
      <c r="E365" s="2" t="s">
        <v>21</v>
      </c>
      <c r="F365" s="2" t="s">
        <v>15</v>
      </c>
      <c r="G365" s="2" t="s">
        <v>711</v>
      </c>
      <c r="H365" s="2" t="s">
        <v>151</v>
      </c>
      <c r="I365" s="2" t="str">
        <f>IFERROR(__xludf.DUMMYFUNCTION("GOOGLETRANSLATE(C365,""fr"",""en"")"),"Very simple and very clear. Mounting the contract and top contact. Everything can be done online or by phone. The signature is electronic and the documents requested.")</f>
        <v>Very simple and very clear. Mounting the contract and top contact. Everything can be done online or by phone. The signature is electronic and the documents requested.</v>
      </c>
    </row>
    <row r="366" ht="15.75" customHeight="1">
      <c r="A366" s="2">
        <v>1.0</v>
      </c>
      <c r="B366" s="2" t="s">
        <v>1128</v>
      </c>
      <c r="C366" s="2" t="s">
        <v>1129</v>
      </c>
      <c r="D366" s="2" t="s">
        <v>442</v>
      </c>
      <c r="E366" s="2" t="s">
        <v>157</v>
      </c>
      <c r="F366" s="2" t="s">
        <v>15</v>
      </c>
      <c r="G366" s="2" t="s">
        <v>1130</v>
      </c>
      <c r="H366" s="2" t="s">
        <v>206</v>
      </c>
      <c r="I366" s="2" t="str">
        <f>IFERROR(__xludf.DUMMYFUNCTION("GOOGLETRANSLATE(C366,""fr"",""en"")"),"Loving insurance via the Caisse d'Epargne and whose interlocutor is the CBP.
File opened on June 29, 18 for ITT, a little before the 90 days of stopping requested.
A lot of documents to provide, which, of course, delayed the date of departure from the f"&amp;"ile in July. Response to the file given almost 3 months later, when 1 month announced.
A more than mediocre mortgage care announced by mail: 3 percent of the mortgage in the first month: 25 euros out of 720 euros, then 35 percent the following two months"&amp;", while my loss of salary is almost 50 percent after 90 days D 'Stop while other bank insurance reimburse the entire loan.
And to date, almost 4 months after opening the file still no transfer received.
Of course it will certainly happen once I have ret"&amp;"urned to work and we will no longer be in the financial panade.
Really very disappointed with this insurance !! As for the interlocutor, the CBP, despite many calls and emails during these 4 months, although always reactive to answer, never have any resp"&amp;"onse to provide. Can't tell more than what I see about my internet account and get things done, so do not serve much.")</f>
        <v>Loving insurance via the Caisse d'Epargne and whose interlocutor is the CBP.
File opened on June 29, 18 for ITT, a little before the 90 days of stopping requested.
A lot of documents to provide, which, of course, delayed the date of departure from the file in July. Response to the file given almost 3 months later, when 1 month announced.
A more than mediocre mortgage care announced by mail: 3 percent of the mortgage in the first month: 25 euros out of 720 euros, then 35 percent the following two months, while my loss of salary is almost 50 percent after 90 days D 'Stop while other bank insurance reimburse the entire loan.
And to date, almost 4 months after opening the file still no transfer received.
Of course it will certainly happen once I have returned to work and we will no longer be in the financial panade.
Really very disappointed with this insurance !! As for the interlocutor, the CBP, despite many calls and emails during these 4 months, although always reactive to answer, never have any response to provide. Can't tell more than what I see about my internet account and get things done, so do not serve much.</v>
      </c>
    </row>
    <row r="367" ht="15.75" customHeight="1">
      <c r="A367" s="2">
        <v>1.0</v>
      </c>
      <c r="B367" s="2" t="s">
        <v>1131</v>
      </c>
      <c r="C367" s="2" t="s">
        <v>1132</v>
      </c>
      <c r="D367" s="2" t="s">
        <v>342</v>
      </c>
      <c r="E367" s="2" t="s">
        <v>82</v>
      </c>
      <c r="F367" s="2" t="s">
        <v>15</v>
      </c>
      <c r="G367" s="2" t="s">
        <v>1133</v>
      </c>
      <c r="H367" s="2" t="s">
        <v>29</v>
      </c>
      <c r="I367" s="2" t="str">
        <f>IFERROR(__xludf.DUMMYFUNCTION("GOOGLETRANSLATE(C367,""fr"",""en"")"),"A member of them for 1 year, exorbitant prices, unanswered requests for several months.
Really unworthy, apart from taking the contributions, I wonder what they do with others.")</f>
        <v>A member of them for 1 year, exorbitant prices, unanswered requests for several months.
Really unworthy, apart from taking the contributions, I wonder what they do with others.</v>
      </c>
    </row>
    <row r="368" ht="15.75" customHeight="1">
      <c r="A368" s="2">
        <v>1.0</v>
      </c>
      <c r="B368" s="2" t="s">
        <v>1134</v>
      </c>
      <c r="C368" s="2" t="s">
        <v>1135</v>
      </c>
      <c r="D368" s="2" t="s">
        <v>459</v>
      </c>
      <c r="E368" s="2" t="s">
        <v>220</v>
      </c>
      <c r="F368" s="2" t="s">
        <v>15</v>
      </c>
      <c r="G368" s="2" t="s">
        <v>1136</v>
      </c>
      <c r="H368" s="2" t="s">
        <v>17</v>
      </c>
      <c r="I368" s="2" t="str">
        <f>IFERROR(__xludf.DUMMYFUNCTION("GOOGLETRANSLATE(C368,""fr"",""en"")"),"Pours € 70,000 in 2018 2 years after still not recovered this sum, on August 18, 2020 I decided to buy this insurance, for real estate. On 9/09/2020 still not received payment, worse 6,9800 € will bring me nothing over the 8 months of 2020, the financial "&amp;"organization to work 8 months with my free money !! in addition I wait to recover, if this n Is not a scandal so what? What to do to put a little order in these financial arrangements")</f>
        <v>Pours € 70,000 in 2018 2 years after still not recovered this sum, on August 18, 2020 I decided to buy this insurance, for real estate. On 9/09/2020 still not received payment, worse 6,9800 € will bring me nothing over the 8 months of 2020, the financial organization to work 8 months with my free money !! in addition I wait to recover, if this n Is not a scandal so what? What to do to put a little order in these financial arrangements</v>
      </c>
    </row>
    <row r="369" ht="15.75" customHeight="1">
      <c r="A369" s="2">
        <v>3.0</v>
      </c>
      <c r="B369" s="2" t="s">
        <v>1137</v>
      </c>
      <c r="C369" s="2" t="s">
        <v>1138</v>
      </c>
      <c r="D369" s="2" t="s">
        <v>135</v>
      </c>
      <c r="E369" s="2" t="s">
        <v>60</v>
      </c>
      <c r="F369" s="2" t="s">
        <v>15</v>
      </c>
      <c r="G369" s="2" t="s">
        <v>1139</v>
      </c>
      <c r="H369" s="2" t="s">
        <v>866</v>
      </c>
      <c r="I369" s="2" t="str">
        <f>IFERROR(__xludf.DUMMYFUNCTION("GOOGLETRANSLATE(C369,""fr"",""en"")"),"Having service vehicles for more than 20 years, therefore no insurance in my name, my statement with the companies concerned has revealed a disputed declaration (crumpled and without third party) as well as changes by brise from Shards, therefore not resp"&amp;"onsible, AMV taxes a 0.95% penalty (I specify that I have been a customer in the past (motorcycle insurance) without accidents.")</f>
        <v>Having service vehicles for more than 20 years, therefore no insurance in my name, my statement with the companies concerned has revealed a disputed declaration (crumpled and without third party) as well as changes by brise from Shards, therefore not responsible, AMV taxes a 0.95% penalty (I specify that I have been a customer in the past (motorcycle insurance) without accidents.</v>
      </c>
    </row>
    <row r="370" ht="15.75" customHeight="1">
      <c r="A370" s="2">
        <v>4.0</v>
      </c>
      <c r="B370" s="2" t="s">
        <v>1140</v>
      </c>
      <c r="C370" s="2" t="s">
        <v>1141</v>
      </c>
      <c r="D370" s="2" t="s">
        <v>32</v>
      </c>
      <c r="E370" s="2" t="s">
        <v>21</v>
      </c>
      <c r="F370" s="2" t="s">
        <v>15</v>
      </c>
      <c r="G370" s="2" t="s">
        <v>1142</v>
      </c>
      <c r="H370" s="2" t="s">
        <v>52</v>
      </c>
      <c r="I370" s="2" t="str">
        <f>IFERROR(__xludf.DUMMYFUNCTION("GOOGLETRANSLATE(C370,""fr"",""en"")"),"I am satisfied with the service, we will see during the first disaster how it will happen.
Well to you cordially, very good day ..................")</f>
        <v>I am satisfied with the service, we will see during the first disaster how it will happen.
Well to you cordially, very good day ..................</v>
      </c>
    </row>
    <row r="371" ht="15.75" customHeight="1">
      <c r="A371" s="2">
        <v>1.0</v>
      </c>
      <c r="B371" s="2" t="s">
        <v>1143</v>
      </c>
      <c r="C371" s="2" t="s">
        <v>1144</v>
      </c>
      <c r="D371" s="2" t="s">
        <v>32</v>
      </c>
      <c r="E371" s="2" t="s">
        <v>21</v>
      </c>
      <c r="F371" s="2" t="s">
        <v>15</v>
      </c>
      <c r="G371" s="2" t="s">
        <v>1145</v>
      </c>
      <c r="H371" s="2" t="s">
        <v>453</v>
      </c>
      <c r="I371" s="2" t="str">
        <f>IFERROR(__xludf.DUMMYFUNCTION("GOOGLETRANSLATE(C371,""fr"",""en"")"),"Customer for 8 years, no change in the price, it will increase each year, from Menssengary advertising, I found less expensive with the same guarantees, strongly the change")</f>
        <v>Customer for 8 years, no change in the price, it will increase each year, from Menssengary advertising, I found less expensive with the same guarantees, strongly the change</v>
      </c>
    </row>
    <row r="372" ht="15.75" customHeight="1">
      <c r="A372" s="2">
        <v>4.0</v>
      </c>
      <c r="B372" s="2" t="s">
        <v>1146</v>
      </c>
      <c r="C372" s="2" t="s">
        <v>1147</v>
      </c>
      <c r="D372" s="2" t="s">
        <v>42</v>
      </c>
      <c r="E372" s="2" t="s">
        <v>21</v>
      </c>
      <c r="F372" s="2" t="s">
        <v>15</v>
      </c>
      <c r="G372" s="2" t="s">
        <v>1148</v>
      </c>
      <c r="H372" s="2" t="s">
        <v>104</v>
      </c>
      <c r="I372" s="2" t="str">
        <f>IFERROR(__xludf.DUMMYFUNCTION("GOOGLETRANSLATE(C372,""fr"",""en"")"),"I could not change my phone number which was not the right one on the contract before signing it, so I rectified it on my personal space")</f>
        <v>I could not change my phone number which was not the right one on the contract before signing it, so I rectified it on my personal space</v>
      </c>
    </row>
    <row r="373" ht="15.75" customHeight="1">
      <c r="A373" s="2">
        <v>1.0</v>
      </c>
      <c r="B373" s="2" t="s">
        <v>1149</v>
      </c>
      <c r="C373" s="2" t="s">
        <v>1150</v>
      </c>
      <c r="D373" s="2" t="s">
        <v>183</v>
      </c>
      <c r="E373" s="2" t="s">
        <v>157</v>
      </c>
      <c r="F373" s="2" t="s">
        <v>15</v>
      </c>
      <c r="G373" s="2" t="s">
        <v>1151</v>
      </c>
      <c r="H373" s="2" t="s">
        <v>412</v>
      </c>
      <c r="I373" s="2" t="str">
        <f>IFERROR(__xludf.DUMMYFUNCTION("GOOGLETRANSLATE(C373,""fr"",""en"")"),"Allianz (Belux): Big difficulty for having someone on the phone. Answer that does not come (return by email). Zero yields!
We are far from insurance agents who knew their job.")</f>
        <v>Allianz (Belux): Big difficulty for having someone on the phone. Answer that does not come (return by email). Zero yields!
We are far from insurance agents who knew their job.</v>
      </c>
    </row>
    <row r="374" ht="15.75" customHeight="1">
      <c r="A374" s="2">
        <v>4.0</v>
      </c>
      <c r="B374" s="2" t="s">
        <v>1152</v>
      </c>
      <c r="C374" s="2" t="s">
        <v>1153</v>
      </c>
      <c r="D374" s="2" t="s">
        <v>32</v>
      </c>
      <c r="E374" s="2" t="s">
        <v>21</v>
      </c>
      <c r="F374" s="2" t="s">
        <v>15</v>
      </c>
      <c r="G374" s="2" t="s">
        <v>1154</v>
      </c>
      <c r="H374" s="2" t="s">
        <v>126</v>
      </c>
      <c r="I374" s="2" t="str">
        <f>IFERROR(__xludf.DUMMYFUNCTION("GOOGLETRANSLATE(C374,""fr"",""en"")"),"I am satisfied with the price. I will call for more information about deductibles. What is included in the broken ice. If the answers ok for me will be good")</f>
        <v>I am satisfied with the price. I will call for more information about deductibles. What is included in the broken ice. If the answers ok for me will be good</v>
      </c>
    </row>
    <row r="375" ht="15.75" customHeight="1">
      <c r="A375" s="2">
        <v>3.0</v>
      </c>
      <c r="B375" s="2" t="s">
        <v>1155</v>
      </c>
      <c r="C375" s="2" t="s">
        <v>1156</v>
      </c>
      <c r="D375" s="2" t="s">
        <v>65</v>
      </c>
      <c r="E375" s="2" t="s">
        <v>60</v>
      </c>
      <c r="F375" s="2" t="s">
        <v>15</v>
      </c>
      <c r="G375" s="2" t="s">
        <v>1157</v>
      </c>
      <c r="H375" s="2" t="s">
        <v>62</v>
      </c>
      <c r="I375" s="2" t="str">
        <f>IFERROR(__xludf.DUMMYFUNCTION("GOOGLETRANSLATE(C375,""fr"",""en"")"),"Easy and quick registration explanation of products well done, the price seems correct. Seeing over time if it increases. And if I am disappointed I change")</f>
        <v>Easy and quick registration explanation of products well done, the price seems correct. Seeing over time if it increases. And if I am disappointed I change</v>
      </c>
    </row>
    <row r="376" ht="15.75" customHeight="1">
      <c r="A376" s="2">
        <v>1.0</v>
      </c>
      <c r="B376" s="2" t="s">
        <v>1158</v>
      </c>
      <c r="C376" s="2" t="s">
        <v>1159</v>
      </c>
      <c r="D376" s="2" t="s">
        <v>32</v>
      </c>
      <c r="E376" s="2" t="s">
        <v>33</v>
      </c>
      <c r="F376" s="2" t="s">
        <v>15</v>
      </c>
      <c r="G376" s="2" t="s">
        <v>1160</v>
      </c>
      <c r="H376" s="2" t="s">
        <v>240</v>
      </c>
      <c r="I376" s="2" t="str">
        <f>IFERROR(__xludf.DUMMYFUNCTION("GOOGLETRANSLATE(C376,""fr"",""en"")"),"For years my house was insured at home, without ever any claim. This year, I decide to change my insurer, including my bank advisor: my bank is responsible for terminating my old contract, and Direct Assurance harassment so that I still adjust the total f"&amp;"or the year. However, my bank had terminated in time !!! In short, to flee!")</f>
        <v>For years my house was insured at home, without ever any claim. This year, I decide to change my insurer, including my bank advisor: my bank is responsible for terminating my old contract, and Direct Assurance harassment so that I still adjust the total for the year. However, my bank had terminated in time !!! In short, to flee!</v>
      </c>
    </row>
    <row r="377" ht="15.75" customHeight="1">
      <c r="A377" s="2">
        <v>4.0</v>
      </c>
      <c r="B377" s="2" t="s">
        <v>1161</v>
      </c>
      <c r="C377" s="2" t="s">
        <v>1162</v>
      </c>
      <c r="D377" s="2" t="s">
        <v>196</v>
      </c>
      <c r="E377" s="2" t="s">
        <v>82</v>
      </c>
      <c r="F377" s="2" t="s">
        <v>15</v>
      </c>
      <c r="G377" s="2" t="s">
        <v>1163</v>
      </c>
      <c r="H377" s="2" t="s">
        <v>618</v>
      </c>
      <c r="I377" s="2" t="str">
        <f>IFERROR(__xludf.DUMMYFUNCTION("GOOGLETRANSLATE(C377,""fr"",""en"")"),"Ras")</f>
        <v>Ras</v>
      </c>
    </row>
    <row r="378" ht="15.75" customHeight="1">
      <c r="A378" s="2">
        <v>4.0</v>
      </c>
      <c r="B378" s="2" t="s">
        <v>1164</v>
      </c>
      <c r="C378" s="2" t="s">
        <v>1165</v>
      </c>
      <c r="D378" s="2" t="s">
        <v>32</v>
      </c>
      <c r="E378" s="2" t="s">
        <v>21</v>
      </c>
      <c r="F378" s="2" t="s">
        <v>15</v>
      </c>
      <c r="G378" s="2" t="s">
        <v>1166</v>
      </c>
      <c r="H378" s="2" t="s">
        <v>126</v>
      </c>
      <c r="I378" s="2" t="str">
        <f>IFERROR(__xludf.DUMMYFUNCTION("GOOGLETRANSLATE(C378,""fr"",""en"")"),"Hello:
 I am satisfied with Direct Insurance
  I assure my 2th car with direct insurance. More housing
Thank you direct insurance for all")</f>
        <v>Hello:
 I am satisfied with Direct Insurance
  I assure my 2th car with direct insurance. More housing
Thank you direct insurance for all</v>
      </c>
    </row>
    <row r="379" ht="15.75" customHeight="1">
      <c r="A379" s="2">
        <v>1.0</v>
      </c>
      <c r="B379" s="2" t="s">
        <v>1167</v>
      </c>
      <c r="C379" s="2" t="s">
        <v>1168</v>
      </c>
      <c r="D379" s="2" t="s">
        <v>303</v>
      </c>
      <c r="E379" s="2" t="s">
        <v>21</v>
      </c>
      <c r="F379" s="2" t="s">
        <v>15</v>
      </c>
      <c r="G379" s="2" t="s">
        <v>1169</v>
      </c>
      <c r="H379" s="2" t="s">
        <v>464</v>
      </c>
      <c r="I379" s="2" t="str">
        <f>IFERROR(__xludf.DUMMYFUNCTION("GOOGLETRANSLATE(C379,""fr"",""en"")"),"Insured for years at the Macif (Housing + Auto), I had not had any problems with them until recently.
And for good reason, I had never had anything to ask them before.
I sold my car in 2017 and had no car since. I recently bought one and wanted to i"&amp;"nsure it at home. After a misunderstanding on my bonus-malus, they cancel the promise of a contract and make me a proposal almost 2 times more expensive. So I decide to make quotes elsewhere. One of the insurers asks me for the information statement of my"&amp;" old car contract (although it is more than 3 years).
After several calls on a Saturday (including one that hangs up on me), I am told that it is the production that must send me this statement and that they will provide it by email on the following Mo"&amp;"nday.
Monday, still nothing in my emails, I remind them. I am promised the document for Wednesday.
Having had nothing on Wednesday on Thursday, I request directly on their site. I am called Friday to tell me that I will send me this statement directly i"&amp;"n the afternoon.
Of course, as I received nothing on Friday, I recall them the following Monday. This time no false promise: the person on the phone tells me that they do not keep contracts over 3 years old, and that they are not required to provide a "&amp;"contract that has 5.
In short,
After all these misadventures I definitively change insurance.")</f>
        <v>Insured for years at the Macif (Housing + Auto), I had not had any problems with them until recently.
And for good reason, I had never had anything to ask them before.
I sold my car in 2017 and had no car since. I recently bought one and wanted to insure it at home. After a misunderstanding on my bonus-malus, they cancel the promise of a contract and make me a proposal almost 2 times more expensive. So I decide to make quotes elsewhere. One of the insurers asks me for the information statement of my old car contract (although it is more than 3 years).
After several calls on a Saturday (including one that hangs up on me), I am told that it is the production that must send me this statement and that they will provide it by email on the following Monday.
Monday, still nothing in my emails, I remind them. I am promised the document for Wednesday.
Having had nothing on Wednesday on Thursday, I request directly on their site. I am called Friday to tell me that I will send me this statement directly in the afternoon.
Of course, as I received nothing on Friday, I recall them the following Monday. This time no false promise: the person on the phone tells me that they do not keep contracts over 3 years old, and that they are not required to provide a contract that has 5.
In short,
After all these misadventures I definitively change insurance.</v>
      </c>
    </row>
    <row r="380" ht="15.75" customHeight="1">
      <c r="A380" s="2">
        <v>2.0</v>
      </c>
      <c r="B380" s="2" t="s">
        <v>1170</v>
      </c>
      <c r="C380" s="2" t="s">
        <v>1171</v>
      </c>
      <c r="D380" s="2" t="s">
        <v>303</v>
      </c>
      <c r="E380" s="2" t="s">
        <v>33</v>
      </c>
      <c r="F380" s="2" t="s">
        <v>15</v>
      </c>
      <c r="G380" s="2" t="s">
        <v>1172</v>
      </c>
      <c r="H380" s="2" t="s">
        <v>159</v>
      </c>
      <c r="I380" s="2" t="str">
        <f>IFERROR(__xludf.DUMMYFUNCTION("GOOGLETRANSLATE(C380,""fr"",""en"")"),"Scandalous. A situation blocked since 2016 for cracks due to drought, what we had to prove by the hiring of an expert third party (the them being incompetent). This won us in July 2020
Since then to bother my reminders: radio silence. Go to the maif, if "&amp;"it is more expensive at least you have a service behind")</f>
        <v>Scandalous. A situation blocked since 2016 for cracks due to drought, what we had to prove by the hiring of an expert third party (the them being incompetent). This won us in July 2020
Since then to bother my reminders: radio silence. Go to the maif, if it is more expensive at least you have a service behind</v>
      </c>
    </row>
    <row r="381" ht="15.75" customHeight="1">
      <c r="A381" s="2">
        <v>1.0</v>
      </c>
      <c r="B381" s="2" t="s">
        <v>1173</v>
      </c>
      <c r="C381" s="2" t="s">
        <v>1174</v>
      </c>
      <c r="D381" s="2" t="s">
        <v>200</v>
      </c>
      <c r="E381" s="2" t="s">
        <v>21</v>
      </c>
      <c r="F381" s="2" t="s">
        <v>15</v>
      </c>
      <c r="G381" s="2" t="s">
        <v>1175</v>
      </c>
      <c r="H381" s="2" t="s">
        <v>1091</v>
      </c>
      <c r="I381" s="2" t="str">
        <f>IFERROR(__xludf.DUMMYFUNCTION("GOOGLETRANSLATE(C381,""fr"",""en"")"),"Insurance to flee urgently. Disrespectful, in bad faith, meprisants, .. inhuman !! They are just to pocket money .... the day you appeal to them they will be your enemies! Being at home for a year and a half with no siniters or unpaid or concern I have de"&amp;"cided to call them to see if it was possible that he added my wife who has just had his license in second driver of course they refused but in addition they Decidated to terminate my contract to me and of course it was noted on the information statement w"&amp;"ith which the other insurances refused to take me because I was terminated by insurance ... I would never return to this insurance which did not No respect for its customers.")</f>
        <v>Insurance to flee urgently. Disrespectful, in bad faith, meprisants, .. inhuman !! They are just to pocket money .... the day you appeal to them they will be your enemies! Being at home for a year and a half with no siniters or unpaid or concern I have decided to call them to see if it was possible that he added my wife who has just had his license in second driver of course they refused but in addition they Decidated to terminate my contract to me and of course it was noted on the information statement with which the other insurances refused to take me because I was terminated by insurance ... I would never return to this insurance which did not No respect for its customers.</v>
      </c>
    </row>
    <row r="382" ht="15.75" customHeight="1">
      <c r="A382" s="2">
        <v>4.0</v>
      </c>
      <c r="B382" s="2" t="s">
        <v>1176</v>
      </c>
      <c r="C382" s="2" t="s">
        <v>1177</v>
      </c>
      <c r="D382" s="2" t="s">
        <v>42</v>
      </c>
      <c r="E382" s="2" t="s">
        <v>21</v>
      </c>
      <c r="F382" s="2" t="s">
        <v>15</v>
      </c>
      <c r="G382" s="2" t="s">
        <v>1178</v>
      </c>
      <c r="H382" s="2" t="s">
        <v>260</v>
      </c>
      <c r="I382" s="2" t="str">
        <f>IFERROR(__xludf.DUMMYFUNCTION("GOOGLETRANSLATE(C382,""fr"",""en"")"),"New customer at the Oliver, we came because the prices were very competitive, with equivalent coverage. It was quite easy to set up our file, in particular thanks to the customer area of ​​the website. Customer service was also quite nice when it was nece"&amp;"ssary to contact them. Afterwards, I have not yet needed to play my insurance, so my experience is a little limited.")</f>
        <v>New customer at the Oliver, we came because the prices were very competitive, with equivalent coverage. It was quite easy to set up our file, in particular thanks to the customer area of ​​the website. Customer service was also quite nice when it was necessary to contact them. Afterwards, I have not yet needed to play my insurance, so my experience is a little limited.</v>
      </c>
    </row>
    <row r="383" ht="15.75" customHeight="1">
      <c r="A383" s="2">
        <v>5.0</v>
      </c>
      <c r="B383" s="2" t="s">
        <v>1179</v>
      </c>
      <c r="C383" s="2" t="s">
        <v>1180</v>
      </c>
      <c r="D383" s="2" t="s">
        <v>65</v>
      </c>
      <c r="E383" s="2" t="s">
        <v>60</v>
      </c>
      <c r="F383" s="2" t="s">
        <v>15</v>
      </c>
      <c r="G383" s="2" t="s">
        <v>39</v>
      </c>
      <c r="H383" s="2" t="s">
        <v>39</v>
      </c>
      <c r="I383" s="2" t="str">
        <f>IFERROR(__xludf.DUMMYFUNCTION("GOOGLETRANSLATE(C383,""fr"",""en"")"),"The price suits me
I am satisfied
100 per 100 online insurance
Very easy to register
I highly recommend this quad insurance.")</f>
        <v>The price suits me
I am satisfied
100 per 100 online insurance
Very easy to register
I highly recommend this quad insurance.</v>
      </c>
    </row>
    <row r="384" ht="15.75" customHeight="1">
      <c r="A384" s="2">
        <v>1.0</v>
      </c>
      <c r="B384" s="2" t="s">
        <v>1181</v>
      </c>
      <c r="C384" s="2" t="s">
        <v>1182</v>
      </c>
      <c r="D384" s="2" t="s">
        <v>342</v>
      </c>
      <c r="E384" s="2" t="s">
        <v>82</v>
      </c>
      <c r="F384" s="2" t="s">
        <v>15</v>
      </c>
      <c r="G384" s="2" t="s">
        <v>554</v>
      </c>
      <c r="H384" s="2" t="s">
        <v>39</v>
      </c>
      <c r="I384" s="2" t="str">
        <f>IFERROR(__xludf.DUMMYFUNCTION("GOOGLETRANSLATE(C384,""fr"",""en"")"),"Very disappointed by Cegema, hyper long reimbursement to multiply the sending of requests that this silk by email or letters which be saying they never received, except that I keep the copies of my shipments.
You ask them with great difficulty hospital c"&amp;"are.
They forget and end up with an invoice from the public treasury of the establishment.
Impossible to have them on the phone it is an answering machine who walks you for more than 30 minutes in the end, the robot tells you to leave your number remind"&amp;" you.
I still wait and my bill too.
I made a request on April 24 for a new care The establishment received nothing.
I will quickly change the most total disappointment mutual.
I absolutely recommend it.")</f>
        <v>Very disappointed by Cegema, hyper long reimbursement to multiply the sending of requests that this silk by email or letters which be saying they never received, except that I keep the copies of my shipments.
You ask them with great difficulty hospital care.
They forget and end up with an invoice from the public treasury of the establishment.
Impossible to have them on the phone it is an answering machine who walks you for more than 30 minutes in the end, the robot tells you to leave your number remind you.
I still wait and my bill too.
I made a request on April 24 for a new care The establishment received nothing.
I will quickly change the most total disappointment mutual.
I absolutely recommend it.</v>
      </c>
    </row>
    <row r="385" ht="15.75" customHeight="1">
      <c r="A385" s="2">
        <v>5.0</v>
      </c>
      <c r="B385" s="2" t="s">
        <v>1183</v>
      </c>
      <c r="C385" s="2" t="s">
        <v>1184</v>
      </c>
      <c r="D385" s="2" t="s">
        <v>42</v>
      </c>
      <c r="E385" s="2" t="s">
        <v>21</v>
      </c>
      <c r="F385" s="2" t="s">
        <v>15</v>
      </c>
      <c r="G385" s="2" t="s">
        <v>1185</v>
      </c>
      <c r="H385" s="2" t="s">
        <v>48</v>
      </c>
      <c r="I385" s="2" t="str">
        <f>IFERROR(__xludf.DUMMYFUNCTION("GOOGLETRANSLATE(C385,""fr"",""en"")"),"Very clear site which allows a quick subscription. Competitive price for my electric vehicle. Hopefully the service is the same level as the website.")</f>
        <v>Very clear site which allows a quick subscription. Competitive price for my electric vehicle. Hopefully the service is the same level as the website.</v>
      </c>
    </row>
    <row r="386" ht="15.75" customHeight="1">
      <c r="A386" s="2">
        <v>5.0</v>
      </c>
      <c r="B386" s="2" t="s">
        <v>1186</v>
      </c>
      <c r="C386" s="2" t="s">
        <v>1187</v>
      </c>
      <c r="D386" s="2" t="s">
        <v>196</v>
      </c>
      <c r="E386" s="2" t="s">
        <v>82</v>
      </c>
      <c r="F386" s="2" t="s">
        <v>15</v>
      </c>
      <c r="G386" s="2" t="s">
        <v>1188</v>
      </c>
      <c r="H386" s="2" t="s">
        <v>177</v>
      </c>
      <c r="I386" s="2" t="str">
        <f>IFERROR(__xludf.DUMMYFUNCTION("GOOGLETRANSLATE(C386,""fr"",""en"")"),"Nothing to say I am much more than satisfied
I did not expect such a service at this price there
I don't even need to advance money and when I pay I am reimbursed under 2 3JR max
top")</f>
        <v>Nothing to say I am much more than satisfied
I did not expect such a service at this price there
I don't even need to advance money and when I pay I am reimbursed under 2 3JR max
top</v>
      </c>
    </row>
    <row r="387" ht="15.75" customHeight="1">
      <c r="A387" s="2">
        <v>1.0</v>
      </c>
      <c r="B387" s="2" t="s">
        <v>1189</v>
      </c>
      <c r="C387" s="2" t="s">
        <v>1190</v>
      </c>
      <c r="D387" s="2" t="s">
        <v>145</v>
      </c>
      <c r="E387" s="2" t="s">
        <v>21</v>
      </c>
      <c r="F387" s="2" t="s">
        <v>15</v>
      </c>
      <c r="G387" s="2" t="s">
        <v>1188</v>
      </c>
      <c r="H387" s="2" t="s">
        <v>177</v>
      </c>
      <c r="I387" s="2" t="str">
        <f>IFERROR(__xludf.DUMMYFUNCTION("GOOGLETRANSLATE(C387,""fr"",""en"")"),"I confirm: very fast to make you a quote and collect your subscription and above all very fast to increase them without reason. If you declare the slightest claim, a warning will be served to you and if unfortunately you would have another step in the sam"&amp;"e year, but the following year, a letter of termination will be drawn up. I strongly advise against!")</f>
        <v>I confirm: very fast to make you a quote and collect your subscription and above all very fast to increase them without reason. If you declare the slightest claim, a warning will be served to you and if unfortunately you would have another step in the same year, but the following year, a letter of termination will be drawn up. I strongly advise against!</v>
      </c>
    </row>
    <row r="388" ht="15.75" customHeight="1">
      <c r="A388" s="2">
        <v>1.0</v>
      </c>
      <c r="B388" s="2" t="s">
        <v>1191</v>
      </c>
      <c r="C388" s="2" t="s">
        <v>1192</v>
      </c>
      <c r="D388" s="2" t="s">
        <v>135</v>
      </c>
      <c r="E388" s="2" t="s">
        <v>60</v>
      </c>
      <c r="F388" s="2" t="s">
        <v>15</v>
      </c>
      <c r="G388" s="2" t="s">
        <v>1193</v>
      </c>
      <c r="H388" s="2" t="s">
        <v>260</v>
      </c>
      <c r="I388" s="2" t="str">
        <f>IFERROR(__xludf.DUMMYFUNCTION("GOOGLETRANSLATE(C388,""fr"",""en"")"),"My new motorcycle was stolen from the beginning of September 2019 until today I have not received any insurance compensation. Each call they answer me; Your file is outstanding processing and that we will relaunch the manager without follow -up until toda"&amp;"y. Without additional details.
It is really aberrant there is no simpler as a claim has treated in my opinion and here is the result ... pending until when !!!
25K left in smoked because I did not take the right insurance")</f>
        <v>My new motorcycle was stolen from the beginning of September 2019 until today I have not received any insurance compensation. Each call they answer me; Your file is outstanding processing and that we will relaunch the manager without follow -up until today. Without additional details.
It is really aberrant there is no simpler as a claim has treated in my opinion and here is the result ... pending until when !!!
25K left in smoked because I did not take the right insurance</v>
      </c>
    </row>
    <row r="389" ht="15.75" customHeight="1">
      <c r="A389" s="2">
        <v>5.0</v>
      </c>
      <c r="B389" s="2" t="s">
        <v>1194</v>
      </c>
      <c r="C389" s="2" t="s">
        <v>1195</v>
      </c>
      <c r="D389" s="2" t="s">
        <v>65</v>
      </c>
      <c r="E389" s="2" t="s">
        <v>60</v>
      </c>
      <c r="F389" s="2" t="s">
        <v>15</v>
      </c>
      <c r="G389" s="2" t="s">
        <v>1196</v>
      </c>
      <c r="H389" s="2" t="s">
        <v>29</v>
      </c>
      <c r="I389" s="2" t="str">
        <f>IFERROR(__xludf.DUMMYFUNCTION("GOOGLETRANSLATE(C389,""fr"",""en"")"),"Perfect simple and quick. Online subscription without problem well directed in the choice of insurance to subscribe according to the needs. I recommend")</f>
        <v>Perfect simple and quick. Online subscription without problem well directed in the choice of insurance to subscribe according to the needs. I recommend</v>
      </c>
    </row>
    <row r="390" ht="15.75" customHeight="1">
      <c r="A390" s="2">
        <v>1.0</v>
      </c>
      <c r="B390" s="2" t="s">
        <v>1197</v>
      </c>
      <c r="C390" s="2" t="s">
        <v>1198</v>
      </c>
      <c r="D390" s="2" t="s">
        <v>641</v>
      </c>
      <c r="E390" s="2" t="s">
        <v>33</v>
      </c>
      <c r="F390" s="2" t="s">
        <v>15</v>
      </c>
      <c r="G390" s="2" t="s">
        <v>1199</v>
      </c>
      <c r="H390" s="2" t="s">
        <v>159</v>
      </c>
      <c r="I390" s="2" t="str">
        <f>IFERROR(__xludf.DUMMYFUNCTION("GOOGLETRANSLATE(C390,""fr"",""en"")"),"Insured at Groupama for real estate insurance for 8 years, I request them to obtain:
- a quote due to change of housing as a tenant&gt; never had
- A quote to switch my current contract as a non -occupying owner&gt; announced price is double what I pay. Expla"&amp;"nation given: it is an old contract and obligation to move on to the 'new' contract. I did not have clear information on the difference between the new and the old, other than in terms of price.
I choose to cancel my contract. I call the hotline and ex"&amp;"plain that I wish to terminate and know the procedure to follow ... the person hangs up on me!
Fortunately, I insisted and the level of service was much better")</f>
        <v>Insured at Groupama for real estate insurance for 8 years, I request them to obtain:
- a quote due to change of housing as a tenant&gt; never had
- A quote to switch my current contract as a non -occupying owner&gt; announced price is double what I pay. Explanation given: it is an old contract and obligation to move on to the 'new' contract. I did not have clear information on the difference between the new and the old, other than in terms of price.
I choose to cancel my contract. I call the hotline and explain that I wish to terminate and know the procedure to follow ... the person hangs up on me!
Fortunately, I insisted and the level of service was much better</v>
      </c>
    </row>
    <row r="391" ht="15.75" customHeight="1">
      <c r="A391" s="2">
        <v>5.0</v>
      </c>
      <c r="B391" s="2" t="s">
        <v>1200</v>
      </c>
      <c r="C391" s="2" t="s">
        <v>1201</v>
      </c>
      <c r="D391" s="2" t="s">
        <v>42</v>
      </c>
      <c r="E391" s="2" t="s">
        <v>21</v>
      </c>
      <c r="F391" s="2" t="s">
        <v>15</v>
      </c>
      <c r="G391" s="2" t="s">
        <v>1202</v>
      </c>
      <c r="H391" s="2" t="s">
        <v>48</v>
      </c>
      <c r="I391" s="2" t="str">
        <f>IFERROR(__xludf.DUMMYFUNCTION("GOOGLETRANSLATE(C391,""fr"",""en"")"),"I am satisfied with the service the prices suit me perfectly for recommended level it is nothing to say at the top
 are listening I would recommend the olive tree")</f>
        <v>I am satisfied with the service the prices suit me perfectly for recommended level it is nothing to say at the top
 are listening I would recommend the olive tree</v>
      </c>
    </row>
    <row r="392" ht="15.75" customHeight="1">
      <c r="A392" s="2">
        <v>3.0</v>
      </c>
      <c r="B392" s="2" t="s">
        <v>1203</v>
      </c>
      <c r="C392" s="2" t="s">
        <v>1204</v>
      </c>
      <c r="D392" s="2" t="s">
        <v>32</v>
      </c>
      <c r="E392" s="2" t="s">
        <v>21</v>
      </c>
      <c r="F392" s="2" t="s">
        <v>15</v>
      </c>
      <c r="G392" s="2" t="s">
        <v>136</v>
      </c>
      <c r="H392" s="2" t="s">
        <v>56</v>
      </c>
      <c r="I392" s="2" t="str">
        <f>IFERROR(__xludf.DUMMYFUNCTION("GOOGLETRANSLATE(C392,""fr"",""en"")"),"The price suits me, the online registration procedure is very simple and only takes a few minutes. I think my spouse will soon join you.")</f>
        <v>The price suits me, the online registration procedure is very simple and only takes a few minutes. I think my spouse will soon join you.</v>
      </c>
    </row>
    <row r="393" ht="15.75" customHeight="1">
      <c r="A393" s="2">
        <v>5.0</v>
      </c>
      <c r="B393" s="2" t="s">
        <v>1205</v>
      </c>
      <c r="C393" s="2" t="s">
        <v>1206</v>
      </c>
      <c r="D393" s="2" t="s">
        <v>42</v>
      </c>
      <c r="E393" s="2" t="s">
        <v>21</v>
      </c>
      <c r="F393" s="2" t="s">
        <v>15</v>
      </c>
      <c r="G393" s="2" t="s">
        <v>711</v>
      </c>
      <c r="H393" s="2" t="s">
        <v>151</v>
      </c>
      <c r="I393" s="2" t="str">
        <f>IFERROR(__xludf.DUMMYFUNCTION("GOOGLETRANSLATE(C393,""fr"",""en"")"),"Satisfied with the quality and responsiveness and kindness of after -sales service.
The subscription went well. Efficiency and ability to understand the situation quickly to better adopt the offer to my situation (purchase of import sport vehicle)")</f>
        <v>Satisfied with the quality and responsiveness and kindness of after -sales service.
The subscription went well. Efficiency and ability to understand the situation quickly to better adopt the offer to my situation (purchase of import sport vehicle)</v>
      </c>
    </row>
    <row r="394" ht="15.75" customHeight="1">
      <c r="A394" s="2">
        <v>3.0</v>
      </c>
      <c r="B394" s="2" t="s">
        <v>1207</v>
      </c>
      <c r="C394" s="2" t="s">
        <v>1208</v>
      </c>
      <c r="D394" s="2" t="s">
        <v>303</v>
      </c>
      <c r="E394" s="2" t="s">
        <v>21</v>
      </c>
      <c r="F394" s="2" t="s">
        <v>15</v>
      </c>
      <c r="G394" s="2" t="s">
        <v>1209</v>
      </c>
      <c r="H394" s="2" t="s">
        <v>419</v>
      </c>
      <c r="I394" s="2" t="str">
        <f>IFERROR(__xludf.DUMMYFUNCTION("GOOGLETRANSLATE(C394,""fr"",""en"")"),"Hello
My car has been breaking since February 2017.
I warned the Macif e sent the copy of the gray card and the destruction of destruction, beginning of March 2017.
Since then I have contacted them on the Macif space, I have received confirmations, but"&amp;" no answer.
June 2018 I received a formal notice to pay 135 euros.
 I have kept the concertations on the Macif Internet space.
After a telephonic contact on my part, I was Telephoné telling me that my insurance contract, also comprises one, which would"&amp;" be another civil liability contract.
The problem is that I nai Jamis subscribes to another contract, than that concerning my automotive vehicle.
I was told on the phone that I also have to terminate this contract which I did not know.
I must admit thi"&amp;"s said contract?")</f>
        <v>Hello
My car has been breaking since February 2017.
I warned the Macif e sent the copy of the gray card and the destruction of destruction, beginning of March 2017.
Since then I have contacted them on the Macif space, I have received confirmations, but no answer.
June 2018 I received a formal notice to pay 135 euros.
 I have kept the concertations on the Macif Internet space.
After a telephonic contact on my part, I was Telephoné telling me that my insurance contract, also comprises one, which would be another civil liability contract.
The problem is that I nai Jamis subscribes to another contract, than that concerning my automotive vehicle.
I was told on the phone that I also have to terminate this contract which I did not know.
I must admit this said contract?</v>
      </c>
    </row>
    <row r="395" ht="15.75" customHeight="1">
      <c r="A395" s="2">
        <v>5.0</v>
      </c>
      <c r="B395" s="2" t="s">
        <v>1210</v>
      </c>
      <c r="C395" s="2" t="s">
        <v>1211</v>
      </c>
      <c r="D395" s="2" t="s">
        <v>200</v>
      </c>
      <c r="E395" s="2" t="s">
        <v>21</v>
      </c>
      <c r="F395" s="2" t="s">
        <v>15</v>
      </c>
      <c r="G395" s="2" t="s">
        <v>1212</v>
      </c>
      <c r="H395" s="2" t="s">
        <v>439</v>
      </c>
      <c r="I395" s="2" t="str">
        <f>IFERROR(__xludf.DUMMYFUNCTION("GOOGLETRANSLATE(C395,""fr"",""en"")"),"Very satisfied for over 20 years. Surprised by negative comments because during this duration I had accidents including 1 responsible and always very surprised at the responsiveness of this insurance. With each car change, 10% in less insurance. I had lef"&amp;"t a big name for the insurance to pay twice cheaper and 3 times less deductible and a reactive insurer, which was not the case before")</f>
        <v>Very satisfied for over 20 years. Surprised by negative comments because during this duration I had accidents including 1 responsible and always very surprised at the responsiveness of this insurance. With each car change, 10% in less insurance. I had left a big name for the insurance to pay twice cheaper and 3 times less deductible and a reactive insurer, which was not the case before</v>
      </c>
    </row>
    <row r="396" ht="15.75" customHeight="1">
      <c r="A396" s="2">
        <v>2.0</v>
      </c>
      <c r="B396" s="2" t="s">
        <v>1213</v>
      </c>
      <c r="C396" s="2" t="s">
        <v>1214</v>
      </c>
      <c r="D396" s="2" t="s">
        <v>267</v>
      </c>
      <c r="E396" s="2" t="s">
        <v>21</v>
      </c>
      <c r="F396" s="2" t="s">
        <v>15</v>
      </c>
      <c r="G396" s="2" t="s">
        <v>1215</v>
      </c>
      <c r="H396" s="2" t="s">
        <v>632</v>
      </c>
      <c r="I396" s="2" t="str">
        <f>IFERROR(__xludf.DUMMYFUNCTION("GOOGLETRANSLATE(C396,""fr"",""en"")"),"It has been 16 days since I applied for an insurance guarantee extension for my daughter who passes her accompanied driving and so far she cannot drive ... supposedly that they are delayed. . Well yes it's free; If it was paid maybe that she could already"&amp;" ride ... In short, it's shameful (customer for 10 years) I plan to terminate all my contracts in the shortest delays.")</f>
        <v>It has been 16 days since I applied for an insurance guarantee extension for my daughter who passes her accompanied driving and so far she cannot drive ... supposedly that they are delayed. . Well yes it's free; If it was paid maybe that she could already ride ... In short, it's shameful (customer for 10 years) I plan to terminate all my contracts in the shortest delays.</v>
      </c>
    </row>
    <row r="397" ht="15.75" customHeight="1">
      <c r="A397" s="2">
        <v>4.0</v>
      </c>
      <c r="B397" s="2" t="s">
        <v>1216</v>
      </c>
      <c r="C397" s="2" t="s">
        <v>1217</v>
      </c>
      <c r="D397" s="2" t="s">
        <v>196</v>
      </c>
      <c r="E397" s="2" t="s">
        <v>82</v>
      </c>
      <c r="F397" s="2" t="s">
        <v>15</v>
      </c>
      <c r="G397" s="2" t="s">
        <v>55</v>
      </c>
      <c r="H397" s="2" t="s">
        <v>56</v>
      </c>
      <c r="I397" s="2" t="str">
        <f>IFERROR(__xludf.DUMMYFUNCTION("GOOGLETRANSLATE(C397,""fr"",""en"")"),"Madame Widad was very friendly, however, I still can't do my member space since my number has changed and it is not possible to change because it is the same email address how to do it?
I appreciated that my interlocutor reminds me of a precision")</f>
        <v>Madame Widad was very friendly, however, I still can't do my member space since my number has changed and it is not possible to change because it is the same email address how to do it?
I appreciated that my interlocutor reminds me of a precision</v>
      </c>
    </row>
    <row r="398" ht="15.75" customHeight="1">
      <c r="A398" s="2">
        <v>1.0</v>
      </c>
      <c r="B398" s="2" t="s">
        <v>1218</v>
      </c>
      <c r="C398" s="2" t="s">
        <v>1219</v>
      </c>
      <c r="D398" s="2" t="s">
        <v>303</v>
      </c>
      <c r="E398" s="2" t="s">
        <v>21</v>
      </c>
      <c r="F398" s="2" t="s">
        <v>15</v>
      </c>
      <c r="G398" s="2" t="s">
        <v>426</v>
      </c>
      <c r="H398" s="2" t="s">
        <v>427</v>
      </c>
      <c r="I398" s="2" t="str">
        <f>IFERROR(__xludf.DUMMYFUNCTION("GOOGLETRANSLATE(C398,""fr"",""en"")"),"An agency that does not meet the request in time, the telephone customer relationship is useless, I am outraged to see the mediocrity and non -professionalism of this box")</f>
        <v>An agency that does not meet the request in time, the telephone customer relationship is useless, I am outraged to see the mediocrity and non -professionalism of this box</v>
      </c>
    </row>
    <row r="399" ht="15.75" customHeight="1">
      <c r="A399" s="2">
        <v>1.0</v>
      </c>
      <c r="B399" s="2" t="s">
        <v>1220</v>
      </c>
      <c r="C399" s="2" t="s">
        <v>1221</v>
      </c>
      <c r="D399" s="2" t="s">
        <v>442</v>
      </c>
      <c r="E399" s="2" t="s">
        <v>157</v>
      </c>
      <c r="F399" s="2" t="s">
        <v>15</v>
      </c>
      <c r="G399" s="2" t="s">
        <v>1222</v>
      </c>
      <c r="H399" s="2" t="s">
        <v>126</v>
      </c>
      <c r="I399" s="2" t="str">
        <f>IFERROR(__xludf.DUMMYFUNCTION("GOOGLETRANSLATE(C399,""fr"",""en"")"),"Insurance avoided time too long for the care insurance borrower insurance in France in France which it has struggled since January 2020")</f>
        <v>Insurance avoided time too long for the care insurance borrower insurance in France in France which it has struggled since January 2020</v>
      </c>
    </row>
    <row r="400" ht="15.75" customHeight="1">
      <c r="A400" s="2">
        <v>4.0</v>
      </c>
      <c r="B400" s="2" t="s">
        <v>1223</v>
      </c>
      <c r="C400" s="2" t="s">
        <v>1224</v>
      </c>
      <c r="D400" s="2" t="s">
        <v>32</v>
      </c>
      <c r="E400" s="2" t="s">
        <v>21</v>
      </c>
      <c r="F400" s="2" t="s">
        <v>15</v>
      </c>
      <c r="G400" s="2" t="s">
        <v>1225</v>
      </c>
      <c r="H400" s="2" t="s">
        <v>39</v>
      </c>
      <c r="I400" s="2" t="str">
        <f>IFERROR(__xludf.DUMMYFUNCTION("GOOGLETRANSLATE(C400,""fr"",""en"")"),"Very satisfied for several years of prices and services, speed of taking into account requests, ease of use of the mobile application and web services")</f>
        <v>Very satisfied for several years of prices and services, speed of taking into account requests, ease of use of the mobile application and web services</v>
      </c>
    </row>
    <row r="401" ht="15.75" customHeight="1">
      <c r="A401" s="2">
        <v>2.0</v>
      </c>
      <c r="B401" s="2" t="s">
        <v>1226</v>
      </c>
      <c r="C401" s="2" t="s">
        <v>1227</v>
      </c>
      <c r="D401" s="2" t="s">
        <v>183</v>
      </c>
      <c r="E401" s="2" t="s">
        <v>157</v>
      </c>
      <c r="F401" s="2" t="s">
        <v>15</v>
      </c>
      <c r="G401" s="2" t="s">
        <v>1228</v>
      </c>
      <c r="H401" s="2" t="s">
        <v>531</v>
      </c>
      <c r="I401" s="2" t="str">
        <f>IFERROR(__xludf.DUMMYFUNCTION("GOOGLETRANSLATE(C401,""fr"",""en"")"),"Subscription in 2013 of an Allianz Obseques contract in the amount of 8000 euros; As of January 1, 2018 guaranteed capital 7923 euros. Company that guarantees capital that decreases!")</f>
        <v>Subscription in 2013 of an Allianz Obseques contract in the amount of 8000 euros; As of January 1, 2018 guaranteed capital 7923 euros. Company that guarantees capital that decreases!</v>
      </c>
    </row>
    <row r="402" ht="15.75" customHeight="1">
      <c r="A402" s="2">
        <v>1.0</v>
      </c>
      <c r="B402" s="2" t="s">
        <v>1229</v>
      </c>
      <c r="C402" s="2" t="s">
        <v>1230</v>
      </c>
      <c r="D402" s="2" t="s">
        <v>169</v>
      </c>
      <c r="E402" s="2" t="s">
        <v>157</v>
      </c>
      <c r="F402" s="2" t="s">
        <v>15</v>
      </c>
      <c r="G402" s="2" t="s">
        <v>1231</v>
      </c>
      <c r="H402" s="2" t="s">
        <v>439</v>
      </c>
      <c r="I402" s="2" t="str">
        <f>IFERROR(__xludf.DUMMYFUNCTION("GOOGLETRANSLATE(C402,""fr"",""en"")"),"For 1 years that I send my file for a supplement of maternity leave, we lost it twice by post after I was advised to send it directly to my customer area I was confirmed that it was complete and said d Wait 7 weeks after 8 weeks still nothing and I call I"&amp;" am told that we have not seen my file.
It's not serious I am in a difficult situation")</f>
        <v>For 1 years that I send my file for a supplement of maternity leave, we lost it twice by post after I was advised to send it directly to my customer area I was confirmed that it was complete and said d Wait 7 weeks after 8 weeks still nothing and I call I am told that we have not seen my file.
It's not serious I am in a difficult situation</v>
      </c>
    </row>
    <row r="403" ht="15.75" customHeight="1">
      <c r="A403" s="2">
        <v>1.0</v>
      </c>
      <c r="B403" s="2" t="s">
        <v>1232</v>
      </c>
      <c r="C403" s="2" t="s">
        <v>1233</v>
      </c>
      <c r="D403" s="2" t="s">
        <v>135</v>
      </c>
      <c r="E403" s="2" t="s">
        <v>60</v>
      </c>
      <c r="F403" s="2" t="s">
        <v>15</v>
      </c>
      <c r="G403" s="2" t="s">
        <v>1234</v>
      </c>
      <c r="H403" s="2" t="s">
        <v>39</v>
      </c>
      <c r="I403" s="2" t="str">
        <f>IFERROR(__xludf.DUMMYFUNCTION("GOOGLETRANSLATE(C403,""fr"",""en"")"),"Hey two reds ...
No but in 2021 an anti -red rash advertising ...
What advertising brain and or manager is sufficiently perverted and primary for having validated what seems straight out of an era that was believed to be over
You allow yourself with th"&amp;"e red -haired jokes that you no longer dare with women or people of color
It is true that they are fewer
Lamentable loose and just ... stupid
Pi I am not red.
Bikers are not uneducated beautiful subjected to the vilest instincts")</f>
        <v>Hey two reds ...
No but in 2021 an anti -red rash advertising ...
What advertising brain and or manager is sufficiently perverted and primary for having validated what seems straight out of an era that was believed to be over
You allow yourself with the red -haired jokes that you no longer dare with women or people of color
It is true that they are fewer
Lamentable loose and just ... stupid
Pi I am not red.
Bikers are not uneducated beautiful subjected to the vilest instincts</v>
      </c>
    </row>
    <row r="404" ht="15.75" customHeight="1">
      <c r="A404" s="2">
        <v>5.0</v>
      </c>
      <c r="B404" s="2" t="s">
        <v>1235</v>
      </c>
      <c r="C404" s="2" t="s">
        <v>1236</v>
      </c>
      <c r="D404" s="2" t="s">
        <v>42</v>
      </c>
      <c r="E404" s="2" t="s">
        <v>21</v>
      </c>
      <c r="F404" s="2" t="s">
        <v>15</v>
      </c>
      <c r="G404" s="2" t="s">
        <v>1237</v>
      </c>
      <c r="H404" s="2" t="s">
        <v>159</v>
      </c>
      <c r="I404" s="2" t="str">
        <f>IFERROR(__xludf.DUMMYFUNCTION("GOOGLETRANSLATE(C404,""fr"",""en"")"),"Hello I am very satisfied with my insurer the olive tree, first the price, the ease of access to the website and the speed of the reception of the green card by postal mail really champion and thank you")</f>
        <v>Hello I am very satisfied with my insurer the olive tree, first the price, the ease of access to the website and the speed of the reception of the green card by postal mail really champion and thank you</v>
      </c>
    </row>
    <row r="405" ht="15.75" customHeight="1">
      <c r="A405" s="2">
        <v>1.0</v>
      </c>
      <c r="B405" s="2" t="s">
        <v>1238</v>
      </c>
      <c r="C405" s="2" t="s">
        <v>1239</v>
      </c>
      <c r="D405" s="2" t="s">
        <v>313</v>
      </c>
      <c r="E405" s="2" t="s">
        <v>82</v>
      </c>
      <c r="F405" s="2" t="s">
        <v>15</v>
      </c>
      <c r="G405" s="2" t="s">
        <v>1240</v>
      </c>
      <c r="H405" s="2" t="s">
        <v>95</v>
      </c>
      <c r="I405" s="2" t="str">
        <f>IFERROR(__xludf.DUMMYFUNCTION("GOOGLETRANSLATE(C405,""fr"",""en"")"),"1. Customer for several years, but after the site, the response time is extremely long (more than 2 months of waiting, and I'm still waiting) ...
2. The platform offers 2 bank accounts including bank details and service contact details, no way to synch"&amp;"ronize accounts ...
We can call them, but the answers even remain 'we work there ...'. Despite confinement, and remote work, it is not for customers to undergo this slowness!
We pay expensive enough for the service, but the service is frankly not at"&amp;" the appointment.")</f>
        <v>1. Customer for several years, but after the site, the response time is extremely long (more than 2 months of waiting, and I'm still waiting) ...
2. The platform offers 2 bank accounts including bank details and service contact details, no way to synchronize accounts ...
We can call them, but the answers even remain 'we work there ...'. Despite confinement, and remote work, it is not for customers to undergo this slowness!
We pay expensive enough for the service, but the service is frankly not at the appointment.</v>
      </c>
    </row>
    <row r="406" ht="15.75" customHeight="1">
      <c r="A406" s="2">
        <v>4.0</v>
      </c>
      <c r="B406" s="2" t="s">
        <v>1241</v>
      </c>
      <c r="C406" s="2" t="s">
        <v>1242</v>
      </c>
      <c r="D406" s="2" t="s">
        <v>32</v>
      </c>
      <c r="E406" s="2" t="s">
        <v>21</v>
      </c>
      <c r="F406" s="2" t="s">
        <v>15</v>
      </c>
      <c r="G406" s="2" t="s">
        <v>28</v>
      </c>
      <c r="H406" s="2" t="s">
        <v>29</v>
      </c>
      <c r="I406" s="2" t="str">
        <f>IFERROR(__xludf.DUMMYFUNCTION("GOOGLETRANSLATE(C406,""fr"",""en"")"),"I am satisfied with the simple and fast effective service responsible affordable price in line with the vehicle to insure thank you for very good day")</f>
        <v>I am satisfied with the simple and fast effective service responsible affordable price in line with the vehicle to insure thank you for very good day</v>
      </c>
    </row>
    <row r="407" ht="15.75" customHeight="1">
      <c r="A407" s="2">
        <v>5.0</v>
      </c>
      <c r="B407" s="2" t="s">
        <v>1243</v>
      </c>
      <c r="C407" s="2" t="s">
        <v>1244</v>
      </c>
      <c r="D407" s="2" t="s">
        <v>42</v>
      </c>
      <c r="E407" s="2" t="s">
        <v>21</v>
      </c>
      <c r="F407" s="2" t="s">
        <v>15</v>
      </c>
      <c r="G407" s="2" t="s">
        <v>1245</v>
      </c>
      <c r="H407" s="2" t="s">
        <v>151</v>
      </c>
      <c r="I407" s="2" t="str">
        <f>IFERROR(__xludf.DUMMYFUNCTION("GOOGLETRANSLATE(C407,""fr"",""en"")"),"I am very satisfied with this insurance these rieux and fast we were very well received telephone we seriously recommend this insurance for people who want to come")</f>
        <v>I am very satisfied with this insurance these rieux and fast we were very well received telephone we seriously recommend this insurance for people who want to come</v>
      </c>
    </row>
    <row r="408" ht="15.75" customHeight="1">
      <c r="A408" s="2">
        <v>1.0</v>
      </c>
      <c r="B408" s="2" t="s">
        <v>1246</v>
      </c>
      <c r="C408" s="2" t="s">
        <v>1247</v>
      </c>
      <c r="D408" s="2" t="s">
        <v>65</v>
      </c>
      <c r="E408" s="2" t="s">
        <v>60</v>
      </c>
      <c r="F408" s="2" t="s">
        <v>15</v>
      </c>
      <c r="G408" s="2" t="s">
        <v>1248</v>
      </c>
      <c r="H408" s="2" t="s">
        <v>531</v>
      </c>
      <c r="I408" s="2" t="str">
        <f>IFERROR(__xludf.DUMMYFUNCTION("GOOGLETRANSLATE(C408,""fr"",""en"")"),"Insurance to flee urgently !!!!
Incompetent and above all non -professional interlocutors hanging over several recovery when we had not finished the conversation !! Specialized car experts for appraising a scooter! Great !! Claims not supported without"&amp;" any explanation !!
Very little return to the email (1 time out of 2 if you are lucky)
I really recommend this insurance it is to be fleeing !!!! Relatively high services for a guarantee of more than less insurance !!
 ")</f>
        <v>Insurance to flee urgently !!!!
Incompetent and above all non -professional interlocutors hanging over several recovery when we had not finished the conversation !! Specialized car experts for appraising a scooter! Great !! Claims not supported without any explanation !!
Very little return to the email (1 time out of 2 if you are lucky)
I really recommend this insurance it is to be fleeing !!!! Relatively high services for a guarantee of more than less insurance !!
 </v>
      </c>
    </row>
    <row r="409" ht="15.75" customHeight="1">
      <c r="A409" s="2">
        <v>3.0</v>
      </c>
      <c r="B409" s="2" t="s">
        <v>1249</v>
      </c>
      <c r="C409" s="2" t="s">
        <v>1250</v>
      </c>
      <c r="D409" s="2" t="s">
        <v>20</v>
      </c>
      <c r="E409" s="2" t="s">
        <v>21</v>
      </c>
      <c r="F409" s="2" t="s">
        <v>15</v>
      </c>
      <c r="G409" s="2" t="s">
        <v>1251</v>
      </c>
      <c r="H409" s="2" t="s">
        <v>485</v>
      </c>
      <c r="I409" s="2" t="str">
        <f>IFERROR(__xludf.DUMMYFUNCTION("GOOGLETRANSLATE(C409,""fr"",""en"")"),"Insured since 1970, my vehicle has been damaged parking.
An expert has decided to question me, it has been going on for two months and I am waiting for a counter expertise that should be offered to me ... The suspicion of dishonesty is not pleasant and I"&amp;" do not feel supported in my efforts .")</f>
        <v>Insured since 1970, my vehicle has been damaged parking.
An expert has decided to question me, it has been going on for two months and I am waiting for a counter expertise that should be offered to me ... The suspicion of dishonesty is not pleasant and I do not feel supported in my efforts .</v>
      </c>
    </row>
    <row r="410" ht="15.75" customHeight="1">
      <c r="A410" s="2">
        <v>2.0</v>
      </c>
      <c r="B410" s="2" t="s">
        <v>1252</v>
      </c>
      <c r="C410" s="2" t="s">
        <v>1253</v>
      </c>
      <c r="D410" s="2" t="s">
        <v>32</v>
      </c>
      <c r="E410" s="2" t="s">
        <v>21</v>
      </c>
      <c r="F410" s="2" t="s">
        <v>15</v>
      </c>
      <c r="G410" s="2" t="s">
        <v>1254</v>
      </c>
      <c r="H410" s="2" t="s">
        <v>48</v>
      </c>
      <c r="I410" s="2" t="str">
        <f>IFERROR(__xludf.DUMMYFUNCTION("GOOGLETRANSLATE(C410,""fr"",""en"")"),"Unfortunately it is always the galley on the monitoring of claims. Never the same interlocutor. My last email dates from 15 days ago and no response. No call")</f>
        <v>Unfortunately it is always the galley on the monitoring of claims. Never the same interlocutor. My last email dates from 15 days ago and no response. No call</v>
      </c>
    </row>
    <row r="411" ht="15.75" customHeight="1">
      <c r="A411" s="2">
        <v>5.0</v>
      </c>
      <c r="B411" s="2" t="s">
        <v>1255</v>
      </c>
      <c r="C411" s="2" t="s">
        <v>1256</v>
      </c>
      <c r="D411" s="2" t="s">
        <v>42</v>
      </c>
      <c r="E411" s="2" t="s">
        <v>21</v>
      </c>
      <c r="F411" s="2" t="s">
        <v>15</v>
      </c>
      <c r="G411" s="2" t="s">
        <v>534</v>
      </c>
      <c r="H411" s="2" t="s">
        <v>52</v>
      </c>
      <c r="I411" s="2" t="str">
        <f>IFERROR(__xludf.DUMMYFUNCTION("GOOGLETRANSLATE(C411,""fr"",""en"")"),"Simple, fast and efficient site.
Very correct price for the advantages offered.
I highly recommend the olive assurance for their price/services ratio")</f>
        <v>Simple, fast and efficient site.
Very correct price for the advantages offered.
I highly recommend the olive assurance for their price/services ratio</v>
      </c>
    </row>
    <row r="412" ht="15.75" customHeight="1">
      <c r="A412" s="2">
        <v>1.0</v>
      </c>
      <c r="B412" s="2" t="s">
        <v>1257</v>
      </c>
      <c r="C412" s="2" t="s">
        <v>1258</v>
      </c>
      <c r="D412" s="2" t="s">
        <v>145</v>
      </c>
      <c r="E412" s="2" t="s">
        <v>21</v>
      </c>
      <c r="F412" s="2" t="s">
        <v>15</v>
      </c>
      <c r="G412" s="2" t="s">
        <v>647</v>
      </c>
      <c r="H412" s="2" t="s">
        <v>531</v>
      </c>
      <c r="I412" s="2" t="str">
        <f>IFERROR(__xludf.DUMMYFUNCTION("GOOGLETRANSLATE(C412,""fr"",""en"")"),"No accident responsible for more than 10 years that I have been with them ... The first responsible accident because my car has slipped and I lost the car control wrecking costs of 10,000 euros and I am told thank you alive ... great loyalty 0000")</f>
        <v>No accident responsible for more than 10 years that I have been with them ... The first responsible accident because my car has slipped and I lost the car control wrecking costs of 10,000 euros and I am told thank you alive ... great loyalty 0000</v>
      </c>
    </row>
    <row r="413" ht="15.75" customHeight="1">
      <c r="A413" s="2">
        <v>1.0</v>
      </c>
      <c r="B413" s="2" t="s">
        <v>1259</v>
      </c>
      <c r="C413" s="2" t="s">
        <v>1260</v>
      </c>
      <c r="D413" s="2" t="s">
        <v>129</v>
      </c>
      <c r="E413" s="2" t="s">
        <v>21</v>
      </c>
      <c r="F413" s="2" t="s">
        <v>15</v>
      </c>
      <c r="G413" s="2" t="s">
        <v>872</v>
      </c>
      <c r="H413" s="2" t="s">
        <v>104</v>
      </c>
      <c r="I413" s="2" t="str">
        <f>IFERROR(__xludf.DUMMYFUNCTION("GOOGLETRANSLATE(C413,""fr"",""en"")"),"Regarding the price it was correct, but one day they were said to have received a disaster from a third -party company (which I never had) and attributed to me the claim and increased my contributions (despite my dispute) . 1 year after still no news when"&amp;" I go back regularly. Taking into account the insured (who pays) is poor")</f>
        <v>Regarding the price it was correct, but one day they were said to have received a disaster from a third -party company (which I never had) and attributed to me the claim and increased my contributions (despite my dispute) . 1 year after still no news when I go back regularly. Taking into account the insured (who pays) is poor</v>
      </c>
    </row>
    <row r="414" ht="15.75" customHeight="1">
      <c r="A414" s="2">
        <v>1.0</v>
      </c>
      <c r="B414" s="2" t="s">
        <v>1261</v>
      </c>
      <c r="C414" s="2" t="s">
        <v>1262</v>
      </c>
      <c r="D414" s="2" t="s">
        <v>42</v>
      </c>
      <c r="E414" s="2" t="s">
        <v>21</v>
      </c>
      <c r="F414" s="2" t="s">
        <v>15</v>
      </c>
      <c r="G414" s="2" t="s">
        <v>111</v>
      </c>
      <c r="H414" s="2" t="s">
        <v>52</v>
      </c>
      <c r="I414" s="2" t="str">
        <f>IFERROR(__xludf.DUMMYFUNCTION("GOOGLETRANSLATE(C414,""fr"",""en"")"),"After 2 years insured with them without any accident he doubles my contract I phone them and for any answer my fiat abarth and a bizarre stolen car after a containment there was more flight? If it's not a mess. Stop taking customers for C… ..")</f>
        <v>After 2 years insured with them without any accident he doubles my contract I phone them and for any answer my fiat abarth and a bizarre stolen car after a containment there was more flight? If it's not a mess. Stop taking customers for C… ..</v>
      </c>
    </row>
    <row r="415" ht="15.75" customHeight="1">
      <c r="A415" s="2">
        <v>5.0</v>
      </c>
      <c r="B415" s="2" t="s">
        <v>1263</v>
      </c>
      <c r="C415" s="2" t="s">
        <v>1264</v>
      </c>
      <c r="D415" s="2" t="s">
        <v>42</v>
      </c>
      <c r="E415" s="2" t="s">
        <v>21</v>
      </c>
      <c r="F415" s="2" t="s">
        <v>15</v>
      </c>
      <c r="G415" s="2" t="s">
        <v>283</v>
      </c>
      <c r="H415" s="2" t="s">
        <v>52</v>
      </c>
      <c r="I415" s="2" t="str">
        <f>IFERROR(__xludf.DUMMYFUNCTION("GOOGLETRANSLATE(C415,""fr"",""en"")"),"I am very satisfied with the price level
Employees are competent on the phone. Everything is well explained and we are offered all possible options without forcing the hand")</f>
        <v>I am very satisfied with the price level
Employees are competent on the phone. Everything is well explained and we are offered all possible options without forcing the hand</v>
      </c>
    </row>
    <row r="416" ht="15.75" customHeight="1">
      <c r="A416" s="2">
        <v>1.0</v>
      </c>
      <c r="B416" s="2" t="s">
        <v>1265</v>
      </c>
      <c r="C416" s="2" t="s">
        <v>1266</v>
      </c>
      <c r="D416" s="2" t="s">
        <v>20</v>
      </c>
      <c r="E416" s="2" t="s">
        <v>33</v>
      </c>
      <c r="F416" s="2" t="s">
        <v>15</v>
      </c>
      <c r="G416" s="2" t="s">
        <v>1267</v>
      </c>
      <c r="H416" s="2" t="s">
        <v>222</v>
      </c>
      <c r="I416" s="2" t="str">
        <f>IFERROR(__xludf.DUMMYFUNCTION("GOOGLETRANSLATE(C416,""fr"",""en"")"),"In Maif for years for my home insurance, car, personal life ... They never had to complain about me. By cons the only time I call on them, they parade! After a water leak in the toilets of the apartment I rented, following a rupture of the flush mechanism"&amp;", no care! A letter of refusal that says everything and its opposite, requests for astounding evidence, a manifest desire to discard at all costs, is really a huge disappointment! I paid a more expensive contract to have good coverage, not to be fooled by"&amp;" other insurers! So I will terminate all my other MAIF contracts, and not recommend the maif around me.")</f>
        <v>In Maif for years for my home insurance, car, personal life ... They never had to complain about me. By cons the only time I call on them, they parade! After a water leak in the toilets of the apartment I rented, following a rupture of the flush mechanism, no care! A letter of refusal that says everything and its opposite, requests for astounding evidence, a manifest desire to discard at all costs, is really a huge disappointment! I paid a more expensive contract to have good coverage, not to be fooled by other insurers! So I will terminate all my other MAIF contracts, and not recommend the maif around me.</v>
      </c>
    </row>
    <row r="417" ht="15.75" customHeight="1">
      <c r="A417" s="2">
        <v>3.0</v>
      </c>
      <c r="B417" s="2" t="s">
        <v>1268</v>
      </c>
      <c r="C417" s="2" t="s">
        <v>1269</v>
      </c>
      <c r="D417" s="2" t="s">
        <v>42</v>
      </c>
      <c r="E417" s="2" t="s">
        <v>21</v>
      </c>
      <c r="F417" s="2" t="s">
        <v>15</v>
      </c>
      <c r="G417" s="2" t="s">
        <v>1270</v>
      </c>
      <c r="H417" s="2" t="s">
        <v>464</v>
      </c>
      <c r="I417" s="2" t="str">
        <f>IFERROR(__xludf.DUMMYFUNCTION("GOOGLETRANSLATE(C417,""fr"",""en"")"),"The fact that the 10% reduction in the event of several insured vehicles only applies in a single condition is in my opinion pure meanness. There is always a particular clause that prevents the advanced advantage. This darkens the ""table"" because your p"&amp;"rices are well studied.")</f>
        <v>The fact that the 10% reduction in the event of several insured vehicles only applies in a single condition is in my opinion pure meanness. There is always a particular clause that prevents the advanced advantage. This darkens the "table" because your prices are well studied.</v>
      </c>
    </row>
    <row r="418" ht="15.75" customHeight="1">
      <c r="A418" s="2">
        <v>1.0</v>
      </c>
      <c r="B418" s="2" t="s">
        <v>1271</v>
      </c>
      <c r="C418" s="2" t="s">
        <v>1272</v>
      </c>
      <c r="D418" s="2" t="s">
        <v>183</v>
      </c>
      <c r="E418" s="2" t="s">
        <v>157</v>
      </c>
      <c r="F418" s="2" t="s">
        <v>15</v>
      </c>
      <c r="G418" s="2" t="s">
        <v>1273</v>
      </c>
      <c r="H418" s="2" t="s">
        <v>632</v>
      </c>
      <c r="I418" s="2" t="str">
        <f>IFERROR(__xludf.DUMMYFUNCTION("GOOGLETRANSLATE(C418,""fr"",""en"")"),"Allianz does not comply with the commitments of a provident contract,")</f>
        <v>Allianz does not comply with the commitments of a provident contract,</v>
      </c>
    </row>
    <row r="419" ht="15.75" customHeight="1">
      <c r="A419" s="2">
        <v>1.0</v>
      </c>
      <c r="B419" s="2" t="s">
        <v>1274</v>
      </c>
      <c r="C419" s="2" t="s">
        <v>1275</v>
      </c>
      <c r="D419" s="2" t="s">
        <v>72</v>
      </c>
      <c r="E419" s="2" t="s">
        <v>33</v>
      </c>
      <c r="F419" s="2" t="s">
        <v>15</v>
      </c>
      <c r="G419" s="2" t="s">
        <v>1276</v>
      </c>
      <c r="H419" s="2" t="s">
        <v>531</v>
      </c>
      <c r="I419" s="2" t="str">
        <f>IFERROR(__xludf.DUMMYFUNCTION("GOOGLETRANSLATE(C419,""fr"",""en"")"),"I really do not recommend the Matmut, after having a 5 minute turn on the comparators of the genus https://www.lesfurets.com/ I found twice cheaper and especially much more suited to what I was looking for.")</f>
        <v>I really do not recommend the Matmut, after having a 5 minute turn on the comparators of the genus https://www.lesfurets.com/ I found twice cheaper and especially much more suited to what I was looking for.</v>
      </c>
    </row>
    <row r="420" ht="15.75" customHeight="1">
      <c r="A420" s="2">
        <v>1.0</v>
      </c>
      <c r="B420" s="2" t="s">
        <v>1277</v>
      </c>
      <c r="C420" s="2" t="s">
        <v>1278</v>
      </c>
      <c r="D420" s="2" t="s">
        <v>20</v>
      </c>
      <c r="E420" s="2" t="s">
        <v>21</v>
      </c>
      <c r="F420" s="2" t="s">
        <v>15</v>
      </c>
      <c r="G420" s="2" t="s">
        <v>1279</v>
      </c>
      <c r="H420" s="2" t="s">
        <v>474</v>
      </c>
      <c r="I420" s="2" t="str">
        <f>IFERROR(__xludf.DUMMYFUNCTION("GOOGLETRANSLATE(C420,""fr"",""en"")"),"Insured (auto) for 8 years at La Maif, 1st claim in 10 years of license a few months ago for scratches ... Increased bonus + basic prices ... the advisor finds nothing abnormal and does not offers no gesture to reduce the price of the package a little des"&amp;"pite loyalty and insurance paid dear for 8 years ... Result I leave the maif for insurance offering me more guarantees and advantages than the contract I had to La Maif ... and for 370 euros less over the year (same bonus/penalty coefficient, however).")</f>
        <v>Insured (auto) for 8 years at La Maif, 1st claim in 10 years of license a few months ago for scratches ... Increased bonus + basic prices ... the advisor finds nothing abnormal and does not offers no gesture to reduce the price of the package a little despite loyalty and insurance paid dear for 8 years ... Result I leave the maif for insurance offering me more guarantees and advantages than the contract I had to La Maif ... and for 370 euros less over the year (same bonus/penalty coefficient, however).</v>
      </c>
    </row>
    <row r="421" ht="15.75" customHeight="1">
      <c r="A421" s="2">
        <v>4.0</v>
      </c>
      <c r="B421" s="2" t="s">
        <v>1280</v>
      </c>
      <c r="C421" s="2" t="s">
        <v>1281</v>
      </c>
      <c r="D421" s="2" t="s">
        <v>42</v>
      </c>
      <c r="E421" s="2" t="s">
        <v>21</v>
      </c>
      <c r="F421" s="2" t="s">
        <v>15</v>
      </c>
      <c r="G421" s="2" t="s">
        <v>911</v>
      </c>
      <c r="H421" s="2" t="s">
        <v>464</v>
      </c>
      <c r="I421" s="2" t="str">
        <f>IFERROR(__xludf.DUMMYFUNCTION("GOOGLETRANSLATE(C421,""fr"",""en"")"),"Auto insurance prices are very competitive!
Very satisfied with the customer service which takes the time necessary to answer all our questions!")</f>
        <v>Auto insurance prices are very competitive!
Very satisfied with the customer service which takes the time necessary to answer all our questions!</v>
      </c>
    </row>
    <row r="422" ht="15.75" customHeight="1">
      <c r="A422" s="2">
        <v>3.0</v>
      </c>
      <c r="B422" s="2" t="s">
        <v>1282</v>
      </c>
      <c r="C422" s="2" t="s">
        <v>1283</v>
      </c>
      <c r="D422" s="2" t="s">
        <v>200</v>
      </c>
      <c r="E422" s="2" t="s">
        <v>21</v>
      </c>
      <c r="F422" s="2" t="s">
        <v>15</v>
      </c>
      <c r="G422" s="2" t="s">
        <v>142</v>
      </c>
      <c r="H422" s="2" t="s">
        <v>78</v>
      </c>
      <c r="I422" s="2" t="str">
        <f>IFERROR(__xludf.DUMMYFUNCTION("GOOGLETRANSLATE(C422,""fr"",""en"")"),"very courteous phone advisers and care after a correct disaster")</f>
        <v>very courteous phone advisers and care after a correct disaster</v>
      </c>
    </row>
    <row r="423" ht="15.75" customHeight="1">
      <c r="A423" s="2">
        <v>2.0</v>
      </c>
      <c r="B423" s="2" t="s">
        <v>1284</v>
      </c>
      <c r="C423" s="2" t="s">
        <v>1285</v>
      </c>
      <c r="D423" s="2" t="s">
        <v>59</v>
      </c>
      <c r="E423" s="2" t="s">
        <v>21</v>
      </c>
      <c r="F423" s="2" t="s">
        <v>15</v>
      </c>
      <c r="G423" s="2" t="s">
        <v>1286</v>
      </c>
      <c r="H423" s="2" t="s">
        <v>278</v>
      </c>
      <c r="I423" s="2" t="str">
        <f>IFERROR(__xludf.DUMMYFUNCTION("GOOGLETRANSLATE(C423,""fr"",""en"")"),"Too expensive I found in any risk at 200 euros less")</f>
        <v>Too expensive I found in any risk at 200 euros less</v>
      </c>
    </row>
    <row r="424" ht="15.75" customHeight="1">
      <c r="A424" s="2">
        <v>1.0</v>
      </c>
      <c r="B424" s="2" t="s">
        <v>1287</v>
      </c>
      <c r="C424" s="2" t="s">
        <v>1288</v>
      </c>
      <c r="D424" s="2" t="s">
        <v>1289</v>
      </c>
      <c r="E424" s="2" t="s">
        <v>27</v>
      </c>
      <c r="F424" s="2" t="s">
        <v>15</v>
      </c>
      <c r="G424" s="2" t="s">
        <v>1290</v>
      </c>
      <c r="H424" s="2" t="s">
        <v>62</v>
      </c>
      <c r="I424" s="2" t="str">
        <f>IFERROR(__xludf.DUMMYFUNCTION("GOOGLETRANSLATE(C424,""fr"",""en"")"),"Above all, do not take out any insurance at home. Even life insurance. The brokers who sold the insurance will drop you without any qualms. As proof during the contract, the phone number of advisers dispatched to other advisers.
Life insurance to avoid a"&amp;"nd above all to control over their operation.")</f>
        <v>Above all, do not take out any insurance at home. Even life insurance. The brokers who sold the insurance will drop you without any qualms. As proof during the contract, the phone number of advisers dispatched to other advisers.
Life insurance to avoid and above all to control over their operation.</v>
      </c>
    </row>
    <row r="425" ht="15.75" customHeight="1">
      <c r="A425" s="2">
        <v>2.0</v>
      </c>
      <c r="B425" s="2" t="s">
        <v>1291</v>
      </c>
      <c r="C425" s="2" t="s">
        <v>1292</v>
      </c>
      <c r="D425" s="2" t="s">
        <v>313</v>
      </c>
      <c r="E425" s="2" t="s">
        <v>82</v>
      </c>
      <c r="F425" s="2" t="s">
        <v>15</v>
      </c>
      <c r="G425" s="2" t="s">
        <v>1293</v>
      </c>
      <c r="H425" s="2" t="s">
        <v>866</v>
      </c>
      <c r="I425" s="2" t="str">
        <f>IFERROR(__xludf.DUMMYFUNCTION("GOOGLETRANSLATE(C425,""fr"",""en"")"),"to flee ! No firm commitment concerning the reimbursement time, at Mercer is the supplier who is king.")</f>
        <v>to flee ! No firm commitment concerning the reimbursement time, at Mercer is the supplier who is king.</v>
      </c>
    </row>
    <row r="426" ht="15.75" customHeight="1">
      <c r="A426" s="2">
        <v>4.0</v>
      </c>
      <c r="B426" s="2" t="s">
        <v>1294</v>
      </c>
      <c r="C426" s="2" t="s">
        <v>1295</v>
      </c>
      <c r="D426" s="2" t="s">
        <v>32</v>
      </c>
      <c r="E426" s="2" t="s">
        <v>21</v>
      </c>
      <c r="F426" s="2" t="s">
        <v>15</v>
      </c>
      <c r="G426" s="2" t="s">
        <v>854</v>
      </c>
      <c r="H426" s="2" t="s">
        <v>56</v>
      </c>
      <c r="I426" s="2" t="str">
        <f>IFERROR(__xludf.DUMMYFUNCTION("GOOGLETRANSLATE(C426,""fr"",""en"")"),"Everything is perfect for now, we will see later. For the moment the price is attractive, I am waiting to see later if the guarantees are up to your reputation.")</f>
        <v>Everything is perfect for now, we will see later. For the moment the price is attractive, I am waiting to see later if the guarantees are up to your reputation.</v>
      </c>
    </row>
    <row r="427" ht="15.75" customHeight="1">
      <c r="A427" s="2">
        <v>2.0</v>
      </c>
      <c r="B427" s="2" t="s">
        <v>1296</v>
      </c>
      <c r="C427" s="2" t="s">
        <v>1297</v>
      </c>
      <c r="D427" s="2" t="s">
        <v>81</v>
      </c>
      <c r="E427" s="2" t="s">
        <v>82</v>
      </c>
      <c r="F427" s="2" t="s">
        <v>15</v>
      </c>
      <c r="G427" s="2" t="s">
        <v>1298</v>
      </c>
      <c r="H427" s="2" t="s">
        <v>315</v>
      </c>
      <c r="I427" s="2" t="str">
        <f>IFERROR(__xludf.DUMMYFUNCTION("GOOGLETRANSLATE(C427,""fr"",""en"")"),"Impossible to terminate foresight for my wife caught with the mutual more than 3 years ago. Our mutuals have well been terminated because it has been attached since that of my wife's box. When we sent the request to terminate the mutual and foresight last"&amp;" year. We were answered of course after the pre -opinion period that providents did not affect. And I told them that we must therefore pay for 1 year provident in the void and I was told that yes. So I paid for 1 year with more increases 17.95 per month f"&amp;"or nothing. We have just repeated the request with the pre -advice period and the same we are by email and not by mail that we did not specify the end date, while I indicated the pre -advice period compared to the date of 'Sending mail in AR. I called San"&amp;"tiane Customer Service and I am answered that you have to answer by email and that normally that settled. I decided to look on the net the opinions of other members and there I see that it is recurrent with them and that they even were condemned. I hope t"&amp;"hey will do the necessary. But in all such a company is not reassuring if I can afford. To be continued...")</f>
        <v>Impossible to terminate foresight for my wife caught with the mutual more than 3 years ago. Our mutuals have well been terminated because it has been attached since that of my wife's box. When we sent the request to terminate the mutual and foresight last year. We were answered of course after the pre -opinion period that providents did not affect. And I told them that we must therefore pay for 1 year provident in the void and I was told that yes. So I paid for 1 year with more increases 17.95 per month for nothing. We have just repeated the request with the pre -advice period and the same we are by email and not by mail that we did not specify the end date, while I indicated the pre -advice period compared to the date of 'Sending mail in AR. I called Santiane Customer Service and I am answered that you have to answer by email and that normally that settled. I decided to look on the net the opinions of other members and there I see that it is recurrent with them and that they even were condemned. I hope they will do the necessary. But in all such a company is not reassuring if I can afford. To be continued...</v>
      </c>
    </row>
    <row r="428" ht="15.75" customHeight="1">
      <c r="A428" s="2">
        <v>2.0</v>
      </c>
      <c r="B428" s="2" t="s">
        <v>1299</v>
      </c>
      <c r="C428" s="2" t="s">
        <v>1300</v>
      </c>
      <c r="D428" s="2" t="s">
        <v>98</v>
      </c>
      <c r="E428" s="2" t="s">
        <v>21</v>
      </c>
      <c r="F428" s="2" t="s">
        <v>15</v>
      </c>
      <c r="G428" s="2" t="s">
        <v>1301</v>
      </c>
      <c r="H428" s="2" t="s">
        <v>84</v>
      </c>
      <c r="I428" s="2" t="str">
        <f>IFERROR(__xludf.DUMMYFUNCTION("GOOGLETRANSLATE(C428,""fr"",""en"")"),"I am not difficult to live, I am a lot disappointed. First the samples had to take place on the 20th of the month and I do not know which miracle went to 15. Second: for lack of lack of dargent because on the 15th I have not yet received my salary, well, "&amp;"the payment is rejected and moreover I am given fees (11 €)! By claiming that I am a liar for the date of the sample. In addition, they do not want to represent the regulations knowing that all insurance do so and therefore force me to pay in card or mand"&amp;"acash. Third: very slow paperwork at the start of the contract. I strongly advise you against it !!!")</f>
        <v>I am not difficult to live, I am a lot disappointed. First the samples had to take place on the 20th of the month and I do not know which miracle went to 15. Second: for lack of lack of dargent because on the 15th I have not yet received my salary, well, the payment is rejected and moreover I am given fees (11 €)! By claiming that I am a liar for the date of the sample. In addition, they do not want to represent the regulations knowing that all insurance do so and therefore force me to pay in card or mandacash. Third: very slow paperwork at the start of the contract. I strongly advise you against it !!!</v>
      </c>
    </row>
    <row r="429" ht="15.75" customHeight="1">
      <c r="A429" s="2">
        <v>1.0</v>
      </c>
      <c r="B429" s="2" t="s">
        <v>1302</v>
      </c>
      <c r="C429" s="2" t="s">
        <v>1303</v>
      </c>
      <c r="D429" s="2" t="s">
        <v>267</v>
      </c>
      <c r="E429" s="2" t="s">
        <v>33</v>
      </c>
      <c r="F429" s="2" t="s">
        <v>15</v>
      </c>
      <c r="G429" s="2" t="s">
        <v>1304</v>
      </c>
      <c r="H429" s="2" t="s">
        <v>405</v>
      </c>
      <c r="I429" s="2" t="str">
        <f>IFERROR(__xludf.DUMMYFUNCTION("GOOGLETRANSLATE(C429,""fr"",""en"")"),"I was with them and following a conflict with LCL I went to a competitor. All the procedures were taken by my new insurer in accordance with the Hamon law but despite that Pacifica refuses to harm me, it has just sent me a new timetable for the renewal of"&amp;" home insurance or 40% that it continues to Take me on an account also terminated (but also refused). At first Pacifica reimbursed me and then she took me again, the monthly payments. On the telephone platform I come across incompetent people who tell me "&amp;"that you have to pay until the end of the contract when the Hamon law specifies the opposite, cut me off or tell me about anything else. Currently I therefore pay 2 insurance for my car and ditto for the home. I just took a lawyer to go to court because i"&amp;"t is only like that that I will get out of it and they need a lesson to stop harassing people.")</f>
        <v>I was with them and following a conflict with LCL I went to a competitor. All the procedures were taken by my new insurer in accordance with the Hamon law but despite that Pacifica refuses to harm me, it has just sent me a new timetable for the renewal of home insurance or 40% that it continues to Take me on an account also terminated (but also refused). At first Pacifica reimbursed me and then she took me again, the monthly payments. On the telephone platform I come across incompetent people who tell me that you have to pay until the end of the contract when the Hamon law specifies the opposite, cut me off or tell me about anything else. Currently I therefore pay 2 insurance for my car and ditto for the home. I just took a lawyer to go to court because it is only like that that I will get out of it and they need a lesson to stop harassing people.</v>
      </c>
    </row>
    <row r="430" ht="15.75" customHeight="1">
      <c r="A430" s="2">
        <v>5.0</v>
      </c>
      <c r="B430" s="2" t="s">
        <v>1305</v>
      </c>
      <c r="C430" s="2" t="s">
        <v>1306</v>
      </c>
      <c r="D430" s="2" t="s">
        <v>135</v>
      </c>
      <c r="E430" s="2" t="s">
        <v>60</v>
      </c>
      <c r="F430" s="2" t="s">
        <v>15</v>
      </c>
      <c r="G430" s="2" t="s">
        <v>271</v>
      </c>
      <c r="H430" s="2" t="s">
        <v>56</v>
      </c>
      <c r="I430" s="2" t="str">
        <f>IFERROR(__xludf.DUMMYFUNCTION("GOOGLETRANSLATE(C430,""fr"",""en"")"),"Always someone to answer the phone, just that is rare these days. And always someone nice, polite, pro .... do not change anything please. However, I have never had any concerns to declare and it is in these moments that we can really have an idea of ​​th"&amp;"e effectiveness of your insurance ... To see one day, hoping that it will never happen !")</f>
        <v>Always someone to answer the phone, just that is rare these days. And always someone nice, polite, pro .... do not change anything please. However, I have never had any concerns to declare and it is in these moments that we can really have an idea of ​​the effectiveness of your insurance ... To see one day, hoping that it will never happen !</v>
      </c>
    </row>
    <row r="431" ht="15.75" customHeight="1">
      <c r="A431" s="2">
        <v>5.0</v>
      </c>
      <c r="B431" s="2" t="s">
        <v>1307</v>
      </c>
      <c r="C431" s="2" t="s">
        <v>1308</v>
      </c>
      <c r="D431" s="2" t="s">
        <v>32</v>
      </c>
      <c r="E431" s="2" t="s">
        <v>21</v>
      </c>
      <c r="F431" s="2" t="s">
        <v>15</v>
      </c>
      <c r="G431" s="2" t="s">
        <v>1309</v>
      </c>
      <c r="H431" s="2" t="s">
        <v>104</v>
      </c>
      <c r="I431" s="2" t="str">
        <f>IFERROR(__xludf.DUMMYFUNCTION("GOOGLETRANSLATE(C431,""fr"",""en"")"),"Simple and quick clear well detailed super price full guarantee for a reasonable price easy contact detailed quote I am happy with my subscription")</f>
        <v>Simple and quick clear well detailed super price full guarantee for a reasonable price easy contact detailed quote I am happy with my subscription</v>
      </c>
    </row>
    <row r="432" ht="15.75" customHeight="1">
      <c r="A432" s="2">
        <v>3.0</v>
      </c>
      <c r="B432" s="2" t="s">
        <v>1310</v>
      </c>
      <c r="C432" s="2" t="s">
        <v>1311</v>
      </c>
      <c r="D432" s="2" t="s">
        <v>42</v>
      </c>
      <c r="E432" s="2" t="s">
        <v>21</v>
      </c>
      <c r="F432" s="2" t="s">
        <v>15</v>
      </c>
      <c r="G432" s="2" t="s">
        <v>877</v>
      </c>
      <c r="H432" s="2" t="s">
        <v>464</v>
      </c>
      <c r="I432" s="2" t="str">
        <f>IFERROR(__xludf.DUMMYFUNCTION("GOOGLETRANSLATE(C432,""fr"",""en"")"),"Everything is going well, very good service
With a good welcome, very good responsiveness of the agent in charge of the file.
I will recommend without hesitation")</f>
        <v>Everything is going well, very good service
With a good welcome, very good responsiveness of the agent in charge of the file.
I will recommend without hesitation</v>
      </c>
    </row>
    <row r="433" ht="15.75" customHeight="1">
      <c r="A433" s="2">
        <v>5.0</v>
      </c>
      <c r="B433" s="2" t="s">
        <v>1312</v>
      </c>
      <c r="C433" s="2" t="s">
        <v>1313</v>
      </c>
      <c r="D433" s="2" t="s">
        <v>59</v>
      </c>
      <c r="E433" s="2" t="s">
        <v>21</v>
      </c>
      <c r="F433" s="2" t="s">
        <v>15</v>
      </c>
      <c r="G433" s="2" t="s">
        <v>1314</v>
      </c>
      <c r="H433" s="2" t="s">
        <v>92</v>
      </c>
      <c r="I433" s="2" t="str">
        <f>IFERROR(__xludf.DUMMYFUNCTION("GOOGLETRANSLATE(C433,""fr"",""en"")"),"An AXA insurer who is attentive to his client whether in requesting information or taking charge of a disaster. Understanding and benevolence by reassuring his client that took on its full meaning after they took care of my two claims who unfortunately pr"&amp;"esented themselves at the same time. It was taken care of by the agencies of Frederic Myriam mommilier located in long binoculars and Saumur. Reassure I am by being insured at home. A team of professionals up to par. Thank you so much.")</f>
        <v>An AXA insurer who is attentive to his client whether in requesting information or taking charge of a disaster. Understanding and benevolence by reassuring his client that took on its full meaning after they took care of my two claims who unfortunately presented themselves at the same time. It was taken care of by the agencies of Frederic Myriam mommilier located in long binoculars and Saumur. Reassure I am by being insured at home. A team of professionals up to par. Thank you so much.</v>
      </c>
    </row>
    <row r="434" ht="15.75" customHeight="1">
      <c r="A434" s="2">
        <v>4.0</v>
      </c>
      <c r="B434" s="2" t="s">
        <v>1315</v>
      </c>
      <c r="C434" s="2" t="s">
        <v>1316</v>
      </c>
      <c r="D434" s="2" t="s">
        <v>65</v>
      </c>
      <c r="E434" s="2" t="s">
        <v>60</v>
      </c>
      <c r="F434" s="2" t="s">
        <v>15</v>
      </c>
      <c r="G434" s="2" t="s">
        <v>1317</v>
      </c>
      <c r="H434" s="2" t="s">
        <v>56</v>
      </c>
      <c r="I434" s="2" t="str">
        <f>IFERROR(__xludf.DUMMYFUNCTION("GOOGLETRANSLATE(C434,""fr"",""en"")"),"Perfect good welcome, price and conditions of good contract, important customer reminder, pleasant and professional interlocutor, thank you good day !!")</f>
        <v>Perfect good welcome, price and conditions of good contract, important customer reminder, pleasant and professional interlocutor, thank you good day !!</v>
      </c>
    </row>
    <row r="435" ht="15.75" customHeight="1">
      <c r="A435" s="2">
        <v>1.0</v>
      </c>
      <c r="B435" s="2" t="s">
        <v>1318</v>
      </c>
      <c r="C435" s="2" t="s">
        <v>1319</v>
      </c>
      <c r="D435" s="2" t="s">
        <v>477</v>
      </c>
      <c r="E435" s="2" t="s">
        <v>14</v>
      </c>
      <c r="F435" s="2" t="s">
        <v>15</v>
      </c>
      <c r="G435" s="2" t="s">
        <v>1320</v>
      </c>
      <c r="H435" s="2" t="s">
        <v>222</v>
      </c>
      <c r="I435" s="2" t="str">
        <f>IFERROR(__xludf.DUMMYFUNCTION("GOOGLETRANSLATE(C435,""fr"",""en"")"),"hello I am very angry, I just got healthy vet on the phone I ensured my dog ​​on January 18. Depart from March no dog to pimples and scratches may be chips. March 14 veto thinks of an allergy and advocates A blood test allergy result. I phone a health vet"&amp;" yes no problem for the refunds of designization sheets of March 14 date of the 1st symptoms March 1 30.60 euros reimburses 0.48ct franchise 30 euros treatment sheets of March 15 and of April 6, 65 and 275.02euro not reimbursed I call I am told not taken "&amp;"care of because of the 45 days of deficiency. Whatever to have the first care sheet while the date was the same I am answered the error is human We are not machines I answer her in this case so I too have the right to error I saw that my dog ​​had pimples"&amp;" that on March 4 she replied fraud to insurance. What should I answer that I Signal that I already have a dog in this insurance You never problem but he is rarely sick.")</f>
        <v>hello I am very angry, I just got healthy vet on the phone I ensured my dog ​​on January 18. Depart from March no dog to pimples and scratches may be chips. March 14 veto thinks of an allergy and advocates A blood test allergy result. I phone a health vet yes no problem for the refunds of designization sheets of March 14 date of the 1st symptoms March 1 30.60 euros reimburses 0.48ct franchise 30 euros treatment sheets of March 15 and of April 6, 65 and 275.02euro not reimbursed I call I am told not taken care of because of the 45 days of deficiency. Whatever to have the first care sheet while the date was the same I am answered the error is human We are not machines I answer her in this case so I too have the right to error I saw that my dog ​​had pimples that on March 4 she replied fraud to insurance. What should I answer that I Signal that I already have a dog in this insurance You never problem but he is rarely sick.</v>
      </c>
    </row>
    <row r="436" ht="15.75" customHeight="1">
      <c r="A436" s="2">
        <v>1.0</v>
      </c>
      <c r="B436" s="2" t="s">
        <v>1321</v>
      </c>
      <c r="C436" s="2" t="s">
        <v>1322</v>
      </c>
      <c r="D436" s="2" t="s">
        <v>430</v>
      </c>
      <c r="E436" s="2" t="s">
        <v>82</v>
      </c>
      <c r="F436" s="2" t="s">
        <v>15</v>
      </c>
      <c r="G436" s="2" t="s">
        <v>1323</v>
      </c>
      <c r="H436" s="2" t="s">
        <v>250</v>
      </c>
      <c r="I436" s="2" t="str">
        <f>IFERROR(__xludf.DUMMYFUNCTION("GOOGLETRANSLATE(C436,""fr"",""en"")"),"We are two retirees and we pay 194e32 per month taken on 10 of each month, that is huge for us knowing that I am 100% for all diabetes understood so the mutual does not come into account, I sent the invoices For my 19E90 wife paid for the additional radio"&amp;"graphs made on August 7, 2020, the invoice was also sent by email and in letter followed, to date it is always under the study no quick refund, I tried to Several resumptions of calling them impossible to have them is absurd! Really mutual to flee in emer"&amp;"gency we are very very disappointed the price is expensive we will terminate shortly.")</f>
        <v>We are two retirees and we pay 194e32 per month taken on 10 of each month, that is huge for us knowing that I am 100% for all diabetes understood so the mutual does not come into account, I sent the invoices For my 19E90 wife paid for the additional radiographs made on August 7, 2020, the invoice was also sent by email and in letter followed, to date it is always under the study no quick refund, I tried to Several resumptions of calling them impossible to have them is absurd! Really mutual to flee in emergency we are very very disappointed the price is expensive we will terminate shortly.</v>
      </c>
    </row>
    <row r="437" ht="15.75" customHeight="1">
      <c r="A437" s="2">
        <v>2.0</v>
      </c>
      <c r="B437" s="2" t="s">
        <v>1324</v>
      </c>
      <c r="C437" s="2" t="s">
        <v>1325</v>
      </c>
      <c r="D437" s="2" t="s">
        <v>267</v>
      </c>
      <c r="E437" s="2" t="s">
        <v>21</v>
      </c>
      <c r="F437" s="2" t="s">
        <v>15</v>
      </c>
      <c r="G437" s="2" t="s">
        <v>1326</v>
      </c>
      <c r="H437" s="2" t="s">
        <v>159</v>
      </c>
      <c r="I437" s="2" t="str">
        <f>IFERROR(__xludf.DUMMYFUNCTION("GOOGLETRANSLATE(C437,""fr"",""en"")"),"Staff not responsive, obliged to pass great moments on the phone to reach an advisor who of course when we recall is no longer for weeks to receive a simple certificate frankly I do not recommend")</f>
        <v>Staff not responsive, obliged to pass great moments on the phone to reach an advisor who of course when we recall is no longer for weeks to receive a simple certificate frankly I do not recommend</v>
      </c>
    </row>
    <row r="438" ht="15.75" customHeight="1">
      <c r="A438" s="2">
        <v>4.0</v>
      </c>
      <c r="B438" s="2" t="s">
        <v>1327</v>
      </c>
      <c r="C438" s="2" t="s">
        <v>1328</v>
      </c>
      <c r="D438" s="2" t="s">
        <v>32</v>
      </c>
      <c r="E438" s="2" t="s">
        <v>21</v>
      </c>
      <c r="F438" s="2" t="s">
        <v>15</v>
      </c>
      <c r="G438" s="2" t="s">
        <v>1157</v>
      </c>
      <c r="H438" s="2" t="s">
        <v>62</v>
      </c>
      <c r="I438" s="2" t="str">
        <f>IFERROR(__xludf.DUMMYFUNCTION("GOOGLETRANSLATE(C438,""fr"",""en"")"),"Satisfied with the Servie pending discounts on car insurance for or follow -up with loyalty points
                                           ")</f>
        <v>Satisfied with the Servie pending discounts on car insurance for or follow -up with loyalty points
                                           </v>
      </c>
    </row>
    <row r="439" ht="15.75" customHeight="1">
      <c r="A439" s="2">
        <v>5.0</v>
      </c>
      <c r="B439" s="2" t="s">
        <v>1329</v>
      </c>
      <c r="C439" s="2" t="s">
        <v>1330</v>
      </c>
      <c r="D439" s="2" t="s">
        <v>32</v>
      </c>
      <c r="E439" s="2" t="s">
        <v>21</v>
      </c>
      <c r="F439" s="2" t="s">
        <v>15</v>
      </c>
      <c r="G439" s="2" t="s">
        <v>537</v>
      </c>
      <c r="H439" s="2" t="s">
        <v>62</v>
      </c>
      <c r="I439" s="2" t="str">
        <f>IFERROR(__xludf.DUMMYFUNCTION("GOOGLETRANSLATE(C439,""fr"",""en"")"),"I am very satisfied with the customer service of Direct Insurance, listening service and great responsiveness. The prices are interesting. Cordially")</f>
        <v>I am very satisfied with the customer service of Direct Insurance, listening service and great responsiveness. The prices are interesting. Cordially</v>
      </c>
    </row>
    <row r="440" ht="15.75" customHeight="1">
      <c r="A440" s="2">
        <v>3.0</v>
      </c>
      <c r="B440" s="2" t="s">
        <v>1331</v>
      </c>
      <c r="C440" s="2" t="s">
        <v>1332</v>
      </c>
      <c r="D440" s="2" t="s">
        <v>32</v>
      </c>
      <c r="E440" s="2" t="s">
        <v>21</v>
      </c>
      <c r="F440" s="2" t="s">
        <v>15</v>
      </c>
      <c r="G440" s="2" t="s">
        <v>1333</v>
      </c>
      <c r="H440" s="2" t="s">
        <v>104</v>
      </c>
      <c r="I440" s="2" t="str">
        <f>IFERROR(__xludf.DUMMYFUNCTION("GOOGLETRANSLATE(C440,""fr"",""en"")"),"I am surprised that the subscription has increased so much. We are supposed to pay less with the bonus that increases but the no. So I am disappointed. I hope that next year the subscription will decrease otherwise I think I am going to see elsewhere.")</f>
        <v>I am surprised that the subscription has increased so much. We are supposed to pay less with the bonus that increases but the no. So I am disappointed. I hope that next year the subscription will decrease otherwise I think I am going to see elsewhere.</v>
      </c>
    </row>
    <row r="441" ht="15.75" customHeight="1">
      <c r="A441" s="2">
        <v>5.0</v>
      </c>
      <c r="B441" s="2" t="s">
        <v>1334</v>
      </c>
      <c r="C441" s="2" t="s">
        <v>1335</v>
      </c>
      <c r="D441" s="2" t="s">
        <v>42</v>
      </c>
      <c r="E441" s="2" t="s">
        <v>21</v>
      </c>
      <c r="F441" s="2" t="s">
        <v>15</v>
      </c>
      <c r="G441" s="2" t="s">
        <v>664</v>
      </c>
      <c r="H441" s="2" t="s">
        <v>104</v>
      </c>
      <c r="I441" s="2" t="str">
        <f>IFERROR(__xludf.DUMMYFUNCTION("GOOGLETRANSLATE(C441,""fr"",""en"")"),"Listening and reactive advisers.
After all depends on the request and the file to be processed for the moment that of administrative order and it works to see in the event of a claim.")</f>
        <v>Listening and reactive advisers.
After all depends on the request and the file to be processed for the moment that of administrative order and it works to see in the event of a claim.</v>
      </c>
    </row>
    <row r="442" ht="15.75" customHeight="1">
      <c r="A442" s="2">
        <v>4.0</v>
      </c>
      <c r="B442" s="2" t="s">
        <v>1336</v>
      </c>
      <c r="C442" s="2" t="s">
        <v>1337</v>
      </c>
      <c r="D442" s="2" t="s">
        <v>65</v>
      </c>
      <c r="E442" s="2" t="s">
        <v>60</v>
      </c>
      <c r="F442" s="2" t="s">
        <v>15</v>
      </c>
      <c r="G442" s="2" t="s">
        <v>1338</v>
      </c>
      <c r="H442" s="2" t="s">
        <v>464</v>
      </c>
      <c r="I442" s="2" t="str">
        <f>IFERROR(__xludf.DUMMYFUNCTION("GOOGLETRANSLATE(C442,""fr"",""en"")"),"Satisfied with the telephone advice, not too much waiting on the phone The prices are attractive for motorcycle insurance. To see if no increase and for use")</f>
        <v>Satisfied with the telephone advice, not too much waiting on the phone The prices are attractive for motorcycle insurance. To see if no increase and for use</v>
      </c>
    </row>
    <row r="443" ht="15.75" customHeight="1">
      <c r="A443" s="2">
        <v>5.0</v>
      </c>
      <c r="B443" s="2" t="s">
        <v>1339</v>
      </c>
      <c r="C443" s="2" t="s">
        <v>1340</v>
      </c>
      <c r="D443" s="2" t="s">
        <v>42</v>
      </c>
      <c r="E443" s="2" t="s">
        <v>21</v>
      </c>
      <c r="F443" s="2" t="s">
        <v>15</v>
      </c>
      <c r="G443" s="2" t="s">
        <v>1341</v>
      </c>
      <c r="H443" s="2" t="s">
        <v>100</v>
      </c>
      <c r="I443" s="2" t="str">
        <f>IFERROR(__xludf.DUMMYFUNCTION("GOOGLETRANSLATE(C443,""fr"",""en"")"),"For my part, I have been a customer for about 10 months, very professional welcome and more pleasant.
I had an accident where I was not in wrong recently.
I was very well advised on the phone for the observation and the course of the disaster.
The li"&amp;"ttle less, a really too long delay for the return concerning my claim (about 11 working days and with 3 telephone reminders).
Otherwise, there I have just been taken care of for repairs with the partner garage, and I have nothing to pay or even to move"&amp;" forward.
Assurance that I do not intend to change to date and with very correct prices")</f>
        <v>For my part, I have been a customer for about 10 months, very professional welcome and more pleasant.
I had an accident where I was not in wrong recently.
I was very well advised on the phone for the observation and the course of the disaster.
The little less, a really too long delay for the return concerning my claim (about 11 working days and with 3 telephone reminders).
Otherwise, there I have just been taken care of for repairs with the partner garage, and I have nothing to pay or even to move forward.
Assurance that I do not intend to change to date and with very correct prices</v>
      </c>
    </row>
    <row r="444" ht="15.75" customHeight="1">
      <c r="A444" s="2">
        <v>4.0</v>
      </c>
      <c r="B444" s="2" t="s">
        <v>1342</v>
      </c>
      <c r="C444" s="2" t="s">
        <v>1343</v>
      </c>
      <c r="D444" s="2" t="s">
        <v>129</v>
      </c>
      <c r="E444" s="2" t="s">
        <v>21</v>
      </c>
      <c r="F444" s="2" t="s">
        <v>15</v>
      </c>
      <c r="G444" s="2" t="s">
        <v>961</v>
      </c>
      <c r="H444" s="2" t="s">
        <v>151</v>
      </c>
      <c r="I444" s="2" t="str">
        <f>IFERROR(__xludf.DUMMYFUNCTION("GOOGLETRANSLATE(C444,""fr"",""en"")"),"Good services, there is an insurer when you ask them.
Availability, responsiveness, confidence. I have nothing to complain about, all these criteria were there when I called on their services.
As for prices, these are not the most affordable! But above "&amp;"all, you have to do the share of things!")</f>
        <v>Good services, there is an insurer when you ask them.
Availability, responsiveness, confidence. I have nothing to complain about, all these criteria were there when I called on their services.
As for prices, these are not the most affordable! But above all, you have to do the share of things!</v>
      </c>
    </row>
    <row r="445" ht="15.75" customHeight="1">
      <c r="A445" s="2">
        <v>1.0</v>
      </c>
      <c r="B445" s="2" t="s">
        <v>1344</v>
      </c>
      <c r="C445" s="2" t="s">
        <v>1345</v>
      </c>
      <c r="D445" s="2" t="s">
        <v>59</v>
      </c>
      <c r="E445" s="2" t="s">
        <v>33</v>
      </c>
      <c r="F445" s="2" t="s">
        <v>15</v>
      </c>
      <c r="G445" s="2" t="s">
        <v>1346</v>
      </c>
      <c r="H445" s="2" t="s">
        <v>1347</v>
      </c>
      <c r="I445" s="2" t="str">
        <f>IFERROR(__xludf.DUMMYFUNCTION("GOOGLETRANSLATE(C445,""fr"",""en"")"),"Over a period of 2 years the company to refuse compensation twice pretending each time the material used was not up to standard !!!!!!!!!")</f>
        <v>Over a period of 2 years the company to refuse compensation twice pretending each time the material used was not up to standard !!!!!!!!!</v>
      </c>
    </row>
    <row r="446" ht="15.75" customHeight="1">
      <c r="A446" s="2">
        <v>3.0</v>
      </c>
      <c r="B446" s="2" t="s">
        <v>1348</v>
      </c>
      <c r="C446" s="2" t="s">
        <v>1349</v>
      </c>
      <c r="D446" s="2" t="s">
        <v>42</v>
      </c>
      <c r="E446" s="2" t="s">
        <v>21</v>
      </c>
      <c r="F446" s="2" t="s">
        <v>15</v>
      </c>
      <c r="G446" s="2" t="s">
        <v>1350</v>
      </c>
      <c r="H446" s="2" t="s">
        <v>464</v>
      </c>
      <c r="I446" s="2" t="str">
        <f>IFERROR(__xludf.DUMMYFUNCTION("GOOGLETRANSLATE(C446,""fr"",""en"")"),"Nickel..malgrée of the salesperson who won and leaves the customer 7 min pending without 1 words which remains inconceivable ... with a little more professional")</f>
        <v>Nickel..malgrée of the salesperson who won and leaves the customer 7 min pending without 1 words which remains inconceivable ... with a little more professional</v>
      </c>
    </row>
    <row r="447" ht="15.75" customHeight="1">
      <c r="A447" s="2">
        <v>3.0</v>
      </c>
      <c r="B447" s="2" t="s">
        <v>1351</v>
      </c>
      <c r="C447" s="2" t="s">
        <v>1352</v>
      </c>
      <c r="D447" s="2" t="s">
        <v>32</v>
      </c>
      <c r="E447" s="2" t="s">
        <v>21</v>
      </c>
      <c r="F447" s="2" t="s">
        <v>15</v>
      </c>
      <c r="G447" s="2" t="s">
        <v>1353</v>
      </c>
      <c r="H447" s="2" t="s">
        <v>39</v>
      </c>
      <c r="I447" s="2" t="str">
        <f>IFERROR(__xludf.DUMMYFUNCTION("GOOGLETRANSLATE(C447,""fr"",""en"")"),"Hello,
Having just subscribed, it seems a little premature to issue a completely objective opinion.
I hope the future will give me reason to go through you to ensure my vehicles.")</f>
        <v>Hello,
Having just subscribed, it seems a little premature to issue a completely objective opinion.
I hope the future will give me reason to go through you to ensure my vehicles.</v>
      </c>
    </row>
    <row r="448" ht="15.75" customHeight="1">
      <c r="A448" s="2">
        <v>5.0</v>
      </c>
      <c r="B448" s="2" t="s">
        <v>1354</v>
      </c>
      <c r="C448" s="2" t="s">
        <v>1355</v>
      </c>
      <c r="D448" s="2" t="s">
        <v>200</v>
      </c>
      <c r="E448" s="2" t="s">
        <v>21</v>
      </c>
      <c r="F448" s="2" t="s">
        <v>15</v>
      </c>
      <c r="G448" s="2" t="s">
        <v>1356</v>
      </c>
      <c r="H448" s="2" t="s">
        <v>1091</v>
      </c>
      <c r="I448" s="2" t="str">
        <f>IFERROR(__xludf.DUMMYFUNCTION("GOOGLETRANSLATE(C448,""fr"",""en"")"),"I am really surprised by the comments of Internet users on Eurofil, I think (and that engages only me!) That we can only have butter and money of butter (if we are looking for the price, we cannot Have the service, and vice versa!), I don't have to compla"&amp;"in about Eurofil! (I have touched wood but since 2016: 0 incident) and all insurance has the same political: if you cost them too much: outside! As long as there is no worries: no problem. otherwise  !")</f>
        <v>I am really surprised by the comments of Internet users on Eurofil, I think (and that engages only me!) That we can only have butter and money of butter (if we are looking for the price, we cannot Have the service, and vice versa!), I don't have to complain about Eurofil! (I have touched wood but since 2016: 0 incident) and all insurance has the same political: if you cost them too much: outside! As long as there is no worries: no problem. otherwise  !</v>
      </c>
    </row>
    <row r="449" ht="15.75" customHeight="1">
      <c r="A449" s="2">
        <v>3.0</v>
      </c>
      <c r="B449" s="2" t="s">
        <v>1357</v>
      </c>
      <c r="C449" s="2" t="s">
        <v>1358</v>
      </c>
      <c r="D449" s="2" t="s">
        <v>303</v>
      </c>
      <c r="E449" s="2" t="s">
        <v>21</v>
      </c>
      <c r="F449" s="2" t="s">
        <v>15</v>
      </c>
      <c r="G449" s="2" t="s">
        <v>103</v>
      </c>
      <c r="H449" s="2" t="s">
        <v>104</v>
      </c>
      <c r="I449" s="2" t="str">
        <f>IFERROR(__xludf.DUMMYFUNCTION("GOOGLETRANSLATE(C449,""fr"",""en"")"),"Very good insurer as long as there is no worries. My experience is very bad, the expert would have put my car back on the road while it was dangerous (risk of loss of front suspension triangle). The Macif does not question itself and especially does not q"&amp;"uestion its ""expert"".
So I decided to change insurance, the Macif deleted my customer access before the end of my insurance pèriode. Doubling methods !!!
Do not go!")</f>
        <v>Very good insurer as long as there is no worries. My experience is very bad, the expert would have put my car back on the road while it was dangerous (risk of loss of front suspension triangle). The Macif does not question itself and especially does not question its "expert".
So I decided to change insurance, the Macif deleted my customer access before the end of my insurance pèriode. Doubling methods !!!
Do not go!</v>
      </c>
    </row>
    <row r="450" ht="15.75" customHeight="1">
      <c r="A450" s="2">
        <v>4.0</v>
      </c>
      <c r="B450" s="2" t="s">
        <v>1359</v>
      </c>
      <c r="C450" s="2" t="s">
        <v>1360</v>
      </c>
      <c r="D450" s="2" t="s">
        <v>135</v>
      </c>
      <c r="E450" s="2" t="s">
        <v>60</v>
      </c>
      <c r="F450" s="2" t="s">
        <v>15</v>
      </c>
      <c r="G450" s="2" t="s">
        <v>505</v>
      </c>
      <c r="H450" s="2" t="s">
        <v>56</v>
      </c>
      <c r="I450" s="2" t="str">
        <f>IFERROR(__xludf.DUMMYFUNCTION("GOOGLETRANSLATE(C450,""fr"",""en"")"),"Satisfied with the responses and responsibilities of the insurance and the options offered in the formulas of the insurance quotes thank you for the reception")</f>
        <v>Satisfied with the responses and responsibilities of the insurance and the options offered in the formulas of the insurance quotes thank you for the reception</v>
      </c>
    </row>
    <row r="451" ht="15.75" customHeight="1">
      <c r="A451" s="2">
        <v>1.0</v>
      </c>
      <c r="B451" s="2" t="s">
        <v>1361</v>
      </c>
      <c r="C451" s="2" t="s">
        <v>1362</v>
      </c>
      <c r="D451" s="2" t="s">
        <v>650</v>
      </c>
      <c r="E451" s="2" t="s">
        <v>33</v>
      </c>
      <c r="F451" s="2" t="s">
        <v>15</v>
      </c>
      <c r="G451" s="2" t="s">
        <v>1363</v>
      </c>
      <c r="H451" s="2" t="s">
        <v>62</v>
      </c>
      <c r="I451" s="2" t="str">
        <f>IFERROR(__xludf.DUMMYFUNCTION("GOOGLETRANSLATE(C451,""fr"",""en"")"),"A word of advice: go elsewhere .......... Detate of waters (natural disaster) on July 15, 2021, to date the car still not reimbursed (declared wreckage since 26/7, validated by the expert 09/30). Insurance lends us a vehicle for 30 days and after dismerde"&amp;" ......
Regarding home insurance, passage of the expert (theirs) on 10/08, to date the expert has still not rendered his report ................ ..The are supposed to send someone to clean and repaint damaged walls .............. seen nobody in 4 months "&amp;"........ We had to buy the main one: washing machine, freezer, water heater ........ no lead, in short just good to take but if necessary there is no one effective
Not to mention the fact that the telephone assistance does not answer we come across an an"&amp;"swering machine .............. and icing on the cake, it still takes the car insurance every month because so much that the file is not closed they cannot stop the sampling")</f>
        <v>A word of advice: go elsewhere .......... Detate of waters (natural disaster) on July 15, 2021, to date the car still not reimbursed (declared wreckage since 26/7, validated by the expert 09/30). Insurance lends us a vehicle for 30 days and after dismerde ......
Regarding home insurance, passage of the expert (theirs) on 10/08, to date the expert has still not rendered his report ................ ..The are supposed to send someone to clean and repaint damaged walls .............. seen nobody in 4 months ........ We had to buy the main one: washing machine, freezer, water heater ........ no lead, in short just good to take but if necessary there is no one effective
Not to mention the fact that the telephone assistance does not answer we come across an answering machine .............. and icing on the cake, it still takes the car insurance every month because so much that the file is not closed they cannot stop the sampling</v>
      </c>
    </row>
    <row r="452" ht="15.75" customHeight="1">
      <c r="A452" s="2">
        <v>1.0</v>
      </c>
      <c r="B452" s="2" t="s">
        <v>1364</v>
      </c>
      <c r="C452" s="2" t="s">
        <v>1365</v>
      </c>
      <c r="D452" s="2" t="s">
        <v>200</v>
      </c>
      <c r="E452" s="2" t="s">
        <v>21</v>
      </c>
      <c r="F452" s="2" t="s">
        <v>15</v>
      </c>
      <c r="G452" s="2" t="s">
        <v>1366</v>
      </c>
      <c r="H452" s="2" t="s">
        <v>260</v>
      </c>
      <c r="I452" s="2" t="str">
        <f>IFERROR(__xludf.DUMMYFUNCTION("GOOGLETRANSLATE(C452,""fr"",""en"")"),"Hello,
I bought a new car which comes from an import so it is registered with provisional plates, I decide to take advantage of it to play the competition in order to benefit from a better price to make sure (at this time There Macif) So I go with my "&amp;"smartphone on a comparator site (the lynx) to choose my new insurance and there Eurofil offers me a very good price with very good warranty.
Not having all the information like my bonus in mind I fulfill the requested information by telling me that if "&amp;"information is not correct I could correct it with the driver's statement then I pay a deposit of 267 euros for the first months of insurance.
A few days later I fly for several weeks on a tripper trip and therefore necessarily having my head on the ho"&amp;"lidays I did not take the trouble to take care of the papers thinking of taking care of my return but on my return I receive a letter from them asking me for my information statement that I have in my possession as well as the final gray card of the vehic"&amp;"le ... which I do not obviously have since the deadlines in the prefecture are very long. . I only have the request for provisional registration
I take the initiative to call Eurofil who tells me that without the gray card unfortunately at the end of the"&amp;" month of provisional insurance I will be obliged to go to another insurer, I ask him if I am going to me Repay my deposit and pay only the 1st month of insurance and I am told that no ... I am leaving my astonishment and I am told to make a complaint fro"&amp;"m the customer area, but it is already closed to me And my file locked and inaccessible while I was still within thirty days. (moreover the person on the phone was not at all kind)
Is this normal?
Do I have remedies?
Thank you for your answers")</f>
        <v>Hello,
I bought a new car which comes from an import so it is registered with provisional plates, I decide to take advantage of it to play the competition in order to benefit from a better price to make sure (at this time There Macif) So I go with my smartphone on a comparator site (the lynx) to choose my new insurance and there Eurofil offers me a very good price with very good warranty.
Not having all the information like my bonus in mind I fulfill the requested information by telling me that if information is not correct I could correct it with the driver's statement then I pay a deposit of 267 euros for the first months of insurance.
A few days later I fly for several weeks on a tripper trip and therefore necessarily having my head on the holidays I did not take the trouble to take care of the papers thinking of taking care of my return but on my return I receive a letter from them asking me for my information statement that I have in my possession as well as the final gray card of the vehicle ... which I do not obviously have since the deadlines in the prefecture are very long. . I only have the request for provisional registration
I take the initiative to call Eurofil who tells me that without the gray card unfortunately at the end of the month of provisional insurance I will be obliged to go to another insurer, I ask him if I am going to me Repay my deposit and pay only the 1st month of insurance and I am told that no ... I am leaving my astonishment and I am told to make a complaint from the customer area, but it is already closed to me And my file locked and inaccessible while I was still within thirty days. (moreover the person on the phone was not at all kind)
Is this normal?
Do I have remedies?
Thank you for your answers</v>
      </c>
    </row>
    <row r="453" ht="15.75" customHeight="1">
      <c r="A453" s="2">
        <v>2.0</v>
      </c>
      <c r="B453" s="2" t="s">
        <v>1367</v>
      </c>
      <c r="C453" s="2" t="s">
        <v>1368</v>
      </c>
      <c r="D453" s="2" t="s">
        <v>145</v>
      </c>
      <c r="E453" s="2" t="s">
        <v>33</v>
      </c>
      <c r="F453" s="2" t="s">
        <v>15</v>
      </c>
      <c r="G453" s="2" t="s">
        <v>1369</v>
      </c>
      <c r="H453" s="2" t="s">
        <v>315</v>
      </c>
      <c r="I453" s="2" t="str">
        <f>IFERROR(__xludf.DUMMYFUNCTION("GOOGLETRANSLATE(C453,""fr"",""en"")"),"I have just received my notice of maturity Mr..
I do not understand why I have to pay optional services (legal advice and assistance). I ask customer service by wire who tells me that it is compulsory, such as the contribution attacks. I indicate that I "&amp;"do not understand and that it looks more like forced sale. I am asked to contact the local insurer, who sends me an email offering me to terminate my contract. I asked for the mediator's contact details because I am scandalized by the quality of the servi"&amp;"ce and especially advice ... if we can call this of the advice. I await an answer and if I have not satisfied I will terminate and send a reporting note to the DGCCRF. There are still limits not to be crossed.")</f>
        <v>I have just received my notice of maturity Mr..
I do not understand why I have to pay optional services (legal advice and assistance). I ask customer service by wire who tells me that it is compulsory, such as the contribution attacks. I indicate that I do not understand and that it looks more like forced sale. I am asked to contact the local insurer, who sends me an email offering me to terminate my contract. I asked for the mediator's contact details because I am scandalized by the quality of the service and especially advice ... if we can call this of the advice. I await an answer and if I have not satisfied I will terminate and send a reporting note to the DGCCRF. There are still limits not to be crossed.</v>
      </c>
    </row>
    <row r="454" ht="15.75" customHeight="1">
      <c r="A454" s="2">
        <v>2.0</v>
      </c>
      <c r="B454" s="2" t="s">
        <v>1370</v>
      </c>
      <c r="C454" s="2" t="s">
        <v>1371</v>
      </c>
      <c r="D454" s="2" t="s">
        <v>124</v>
      </c>
      <c r="E454" s="2" t="s">
        <v>60</v>
      </c>
      <c r="F454" s="2" t="s">
        <v>15</v>
      </c>
      <c r="G454" s="2" t="s">
        <v>1372</v>
      </c>
      <c r="H454" s="2" t="s">
        <v>278</v>
      </c>
      <c r="I454" s="2" t="str">
        <f>IFERROR(__xludf.DUMMYFUNCTION("GOOGLETRANSLATE(C454,""fr"",""en"")"),"Scandalous and lamentable, 2 words to summarize how they treat their customers.")</f>
        <v>Scandalous and lamentable, 2 words to summarize how they treat their customers.</v>
      </c>
    </row>
    <row r="455" ht="15.75" customHeight="1">
      <c r="A455" s="2">
        <v>5.0</v>
      </c>
      <c r="B455" s="2" t="s">
        <v>1373</v>
      </c>
      <c r="C455" s="2" t="s">
        <v>1374</v>
      </c>
      <c r="D455" s="2" t="s">
        <v>32</v>
      </c>
      <c r="E455" s="2" t="s">
        <v>21</v>
      </c>
      <c r="F455" s="2" t="s">
        <v>15</v>
      </c>
      <c r="G455" s="2" t="s">
        <v>1375</v>
      </c>
      <c r="H455" s="2" t="s">
        <v>126</v>
      </c>
      <c r="I455" s="2" t="str">
        <f>IFERROR(__xludf.DUMMYFUNCTION("GOOGLETRANSLATE(C455,""fr"",""en"")"),"Quote made in 2 minutes shows in hand. Very satisfied with the proposed service that I do not find at other insurers. I made a comparison and Direct Assurance turned out to be the cheapest service.")</f>
        <v>Quote made in 2 minutes shows in hand. Very satisfied with the proposed service that I do not find at other insurers. I made a comparison and Direct Assurance turned out to be the cheapest service.</v>
      </c>
    </row>
    <row r="456" ht="15.75" customHeight="1">
      <c r="A456" s="2">
        <v>1.0</v>
      </c>
      <c r="B456" s="2" t="s">
        <v>1376</v>
      </c>
      <c r="C456" s="2" t="s">
        <v>1377</v>
      </c>
      <c r="D456" s="2" t="s">
        <v>1107</v>
      </c>
      <c r="E456" s="2" t="s">
        <v>14</v>
      </c>
      <c r="F456" s="2" t="s">
        <v>15</v>
      </c>
      <c r="G456" s="2" t="s">
        <v>1378</v>
      </c>
      <c r="H456" s="2" t="s">
        <v>44</v>
      </c>
      <c r="I456" s="2" t="str">
        <f>IFERROR(__xludf.DUMMYFUNCTION("GOOGLETRANSLATE(C456,""fr"",""en"")"),"I am very disappointed with the insurance of my dog ​​which becomes higher than my complementary health.")</f>
        <v>I am very disappointed with the insurance of my dog ​​which becomes higher than my complementary health.</v>
      </c>
    </row>
    <row r="457" ht="15.75" customHeight="1">
      <c r="A457" s="2">
        <v>1.0</v>
      </c>
      <c r="B457" s="2" t="s">
        <v>1379</v>
      </c>
      <c r="C457" s="2" t="s">
        <v>1380</v>
      </c>
      <c r="D457" s="2" t="s">
        <v>90</v>
      </c>
      <c r="E457" s="2" t="s">
        <v>82</v>
      </c>
      <c r="F457" s="2" t="s">
        <v>15</v>
      </c>
      <c r="G457" s="2" t="s">
        <v>1381</v>
      </c>
      <c r="H457" s="2" t="s">
        <v>330</v>
      </c>
      <c r="I457" s="2" t="str">
        <f>IFERROR(__xludf.DUMMYFUNCTION("GOOGLETRANSLATE(C457,""fr"",""en"")"),"reimbursement deadlines on too long invoices. Very unhappy with this mutual")</f>
        <v>reimbursement deadlines on too long invoices. Very unhappy with this mutual</v>
      </c>
    </row>
    <row r="458" ht="15.75" customHeight="1">
      <c r="A458" s="2">
        <v>1.0</v>
      </c>
      <c r="B458" s="2" t="s">
        <v>1382</v>
      </c>
      <c r="C458" s="2" t="s">
        <v>1383</v>
      </c>
      <c r="D458" s="2" t="s">
        <v>20</v>
      </c>
      <c r="E458" s="2" t="s">
        <v>21</v>
      </c>
      <c r="F458" s="2" t="s">
        <v>15</v>
      </c>
      <c r="G458" s="2" t="s">
        <v>1384</v>
      </c>
      <c r="H458" s="2" t="s">
        <v>1049</v>
      </c>
      <c r="I458" s="2" t="str">
        <f>IFERROR(__xludf.DUMMYFUNCTION("GOOGLETRANSLATE(C458,""fr"",""en"")"),"Having taken pennus even when you have no manager.
I have been insured for many years for all risks at MAIF, and many years without disaster, I had an accident in July this year. I am not responsible for this accident. But the person who struck my car (f"&amp;"rom behind) is on the run with their registration plates. After filing a complaint, the expertise decided that my car is non -repairable and the insurance gives me allowances (in progress).
Following this accident, I was informed by Maif that I took a pe"&amp;"nalty, even if I am not responsible for this accident. And with the insurance code, Maif has the right to put the penalty.
I would like to know if MAIF insurance has the right to do this with the customers.
Because with similar cases, among other insura"&amp;"nces, they did not put the penalty for their customers.
")</f>
        <v>Having taken pennus even when you have no manager.
I have been insured for many years for all risks at MAIF, and many years without disaster, I had an accident in July this year. I am not responsible for this accident. But the person who struck my car (from behind) is on the run with their registration plates. After filing a complaint, the expertise decided that my car is non -repairable and the insurance gives me allowances (in progress).
Following this accident, I was informed by Maif that I took a penalty, even if I am not responsible for this accident. And with the insurance code, Maif has the right to put the penalty.
I would like to know if MAIF insurance has the right to do this with the customers.
Because with similar cases, among other insurances, they did not put the penalty for their customers.
</v>
      </c>
    </row>
    <row r="459" ht="15.75" customHeight="1">
      <c r="A459" s="2">
        <v>3.0</v>
      </c>
      <c r="B459" s="2" t="s">
        <v>1385</v>
      </c>
      <c r="C459" s="2" t="s">
        <v>1386</v>
      </c>
      <c r="D459" s="2" t="s">
        <v>200</v>
      </c>
      <c r="E459" s="2" t="s">
        <v>21</v>
      </c>
      <c r="F459" s="2" t="s">
        <v>15</v>
      </c>
      <c r="G459" s="2" t="s">
        <v>753</v>
      </c>
      <c r="H459" s="2" t="s">
        <v>300</v>
      </c>
      <c r="I459" s="2" t="str">
        <f>IFERROR(__xludf.DUMMYFUNCTION("GOOGLETRANSLATE(C459,""fr"",""en"")"),"Hello,
We have been insured for over 20 years at Eurofil, since 1996 with 4 contracts (2 cars, housing, borrower) and were very satisfied until now, but alas I receive this day on 11/23/2016 at the mail, a Registered letter of termination with the form"&amp;"ulas ""an examination of your file, the inadequacy of the risk with regard to the policy of acceptance of the company does not allow its renewal for the coming period."" Or effect on January 31, 2017 ??? !!! I think I am a nightmare, I ask for an explanat"&amp;"ion from a hostess she ends up saying to me ""that following statistics over the last thirty months that causes termination"" and there surprise! : The company takes into account non -responsible ""claims"" !!!! Super insurance: we are penalized even when"&amp;" we pay guarantees ensured with additional options !!!! We wonder why we are terminated and there we tell you that the even non -responsible claims are counted? !!!! In short, following all this I am very very disappointed with the commercial policy of th"&amp;"is insurance, which rewards and thanks its faithful customers like us in this way. We find ourselves excluded without reason and in addition we cannot reassure ourselves elsewhere because they had the nasty idea of ​​note on the information statement the "&amp;"mention ""termination of the company"" because of this assassin formula we meet without any Another company! I'm waiting for news from the Eurofil company.
PS: provided for over 20 years.
    Total contribution payment = 23,676 euros / 20 years.
    "&amp;"Number of claims not responsible over 20 years = 3 (1 ice breaker on 07/23/2013, 1 hanging on 19/11/2014.1 Ice breakage on 03/06/2016). Total sinister cost = 2424 euros / 20 years.")</f>
        <v>Hello,
We have been insured for over 20 years at Eurofil, since 1996 with 4 contracts (2 cars, housing, borrower) and were very satisfied until now, but alas I receive this day on 11/23/2016 at the mail, a Registered letter of termination with the formulas "an examination of your file, the inadequacy of the risk with regard to the policy of acceptance of the company does not allow its renewal for the coming period." Or effect on January 31, 2017 ??? !!! I think I am a nightmare, I ask for an explanation from a hostess she ends up saying to me "that following statistics over the last thirty months that causes termination" and there surprise! : The company takes into account non -responsible "claims" !!!! Super insurance: we are penalized even when we pay guarantees ensured with additional options !!!! We wonder why we are terminated and there we tell you that the even non -responsible claims are counted? !!!! In short, following all this I am very very disappointed with the commercial policy of this insurance, which rewards and thanks its faithful customers like us in this way. We find ourselves excluded without reason and in addition we cannot reassure ourselves elsewhere because they had the nasty idea of ​​note on the information statement the mention "termination of the company" because of this assassin formula we meet without any Another company! I'm waiting for news from the Eurofil company.
PS: provided for over 20 years.
    Total contribution payment = 23,676 euros / 20 years.
    Number of claims not responsible over 20 years = 3 (1 ice breaker on 07/23/2013, 1 hanging on 19/11/2014.1 Ice breakage on 03/06/2016). Total sinister cost = 2424 euros / 20 years.</v>
      </c>
    </row>
    <row r="460" ht="15.75" customHeight="1">
      <c r="A460" s="2">
        <v>2.0</v>
      </c>
      <c r="B460" s="2" t="s">
        <v>1387</v>
      </c>
      <c r="C460" s="2" t="s">
        <v>1388</v>
      </c>
      <c r="D460" s="2" t="s">
        <v>65</v>
      </c>
      <c r="E460" s="2" t="s">
        <v>60</v>
      </c>
      <c r="F460" s="2" t="s">
        <v>15</v>
      </c>
      <c r="G460" s="2" t="s">
        <v>787</v>
      </c>
      <c r="H460" s="2" t="s">
        <v>29</v>
      </c>
      <c r="I460" s="2" t="str">
        <f>IFERROR(__xludf.DUMMYFUNCTION("GOOGLETRANSLATE(C460,""fr"",""en"")"),"Personally I find them dear, I have not yet had to do to them for the moment
But I will make other quotes because the deadline arrives in 1 month 588 euros to use my scooter from May to September it is very expensive")</f>
        <v>Personally I find them dear, I have not yet had to do to them for the moment
But I will make other quotes because the deadline arrives in 1 month 588 euros to use my scooter from May to September it is very expensive</v>
      </c>
    </row>
    <row r="461" ht="15.75" customHeight="1">
      <c r="A461" s="2">
        <v>1.0</v>
      </c>
      <c r="B461" s="2" t="s">
        <v>1389</v>
      </c>
      <c r="C461" s="2" t="s">
        <v>1390</v>
      </c>
      <c r="D461" s="2" t="s">
        <v>560</v>
      </c>
      <c r="E461" s="2" t="s">
        <v>27</v>
      </c>
      <c r="F461" s="2" t="s">
        <v>15</v>
      </c>
      <c r="G461" s="2" t="s">
        <v>524</v>
      </c>
      <c r="H461" s="2" t="s">
        <v>44</v>
      </c>
      <c r="I461" s="2" t="str">
        <f>IFERROR(__xludf.DUMMYFUNCTION("GOOGLETRANSLATE(C461,""fr"",""en"")"),"Avoid too long response deadlines (90 days and still no compensation response) after the legal deadline for a 3 -month deficiency, I ask that it is working but I can no longer after an operation of the heart which is no longer 40 %, a shame to leave peopl"&amp;"e in such a hassle I have a multitude of contracts at home always paying for my deadlines no recognition they sold my dream have known more how to get out of it even the cardiologist who gives me my itts are amazed")</f>
        <v>Avoid too long response deadlines (90 days and still no compensation response) after the legal deadline for a 3 -month deficiency, I ask that it is working but I can no longer after an operation of the heart which is no longer 40 %, a shame to leave people in such a hassle I have a multitude of contracts at home always paying for my deadlines no recognition they sold my dream have known more how to get out of it even the cardiologist who gives me my itts are amazed</v>
      </c>
    </row>
    <row r="462" ht="15.75" customHeight="1">
      <c r="A462" s="2">
        <v>4.0</v>
      </c>
      <c r="B462" s="2" t="s">
        <v>1391</v>
      </c>
      <c r="C462" s="2" t="s">
        <v>1392</v>
      </c>
      <c r="D462" s="2" t="s">
        <v>32</v>
      </c>
      <c r="E462" s="2" t="s">
        <v>21</v>
      </c>
      <c r="F462" s="2" t="s">
        <v>15</v>
      </c>
      <c r="G462" s="2" t="s">
        <v>333</v>
      </c>
      <c r="H462" s="2" t="s">
        <v>48</v>
      </c>
      <c r="I462" s="2" t="str">
        <f>IFERROR(__xludf.DUMMYFUNCTION("GOOGLETRANSLATE(C462,""fr"",""en"")"),"Satisfied with the approach of waiting for our needs, on the other hand not I did not have a proposed promo code having today my home and vehicle at home")</f>
        <v>Satisfied with the approach of waiting for our needs, on the other hand not I did not have a proposed promo code having today my home and vehicle at home</v>
      </c>
    </row>
    <row r="463" ht="15.75" customHeight="1">
      <c r="A463" s="2">
        <v>4.0</v>
      </c>
      <c r="B463" s="2" t="s">
        <v>1393</v>
      </c>
      <c r="C463" s="2" t="s">
        <v>1394</v>
      </c>
      <c r="D463" s="2" t="s">
        <v>42</v>
      </c>
      <c r="E463" s="2" t="s">
        <v>21</v>
      </c>
      <c r="F463" s="2" t="s">
        <v>15</v>
      </c>
      <c r="G463" s="2" t="s">
        <v>464</v>
      </c>
      <c r="H463" s="2" t="s">
        <v>464</v>
      </c>
      <c r="I463" s="2" t="str">
        <f>IFERROR(__xludf.DUMMYFUNCTION("GOOGLETRANSLATE(C463,""fr"",""en"")"),"For the moment I am satisfied with the contact that I had by phone as well as the information which mont summer transmisses and which made it possible to choose the right insurance formula")</f>
        <v>For the moment I am satisfied with the contact that I had by phone as well as the information which mont summer transmisses and which made it possible to choose the right insurance formula</v>
      </c>
    </row>
    <row r="464" ht="15.75" customHeight="1">
      <c r="A464" s="2">
        <v>1.0</v>
      </c>
      <c r="B464" s="2" t="s">
        <v>1395</v>
      </c>
      <c r="C464" s="2" t="s">
        <v>1396</v>
      </c>
      <c r="D464" s="2" t="s">
        <v>90</v>
      </c>
      <c r="E464" s="2" t="s">
        <v>82</v>
      </c>
      <c r="F464" s="2" t="s">
        <v>15</v>
      </c>
      <c r="G464" s="2" t="s">
        <v>1397</v>
      </c>
      <c r="H464" s="2" t="s">
        <v>287</v>
      </c>
      <c r="I464" s="2" t="str">
        <f>IFERROR(__xludf.DUMMYFUNCTION("GOOGLETRANSLATE(C464,""fr"",""en"")"),"I want to know if people encounter the same problem as me, I am a member of Harmonie-Mutual and my daughter too. Since its majority it has its personal space and since August 2019 it has a mutual contract undertaken still at Harmonie, so we have two diffe"&amp;"rent contracts and each our reserved space. The big problem is that in May she wanted to access her account and there, stupor, she has access to my personal account and my health data. Have you also seen this dysfunction?")</f>
        <v>I want to know if people encounter the same problem as me, I am a member of Harmonie-Mutual and my daughter too. Since its majority it has its personal space and since August 2019 it has a mutual contract undertaken still at Harmonie, so we have two different contracts and each our reserved space. The big problem is that in May she wanted to access her account and there, stupor, she has access to my personal account and my health data. Have you also seen this dysfunction?</v>
      </c>
    </row>
    <row r="465" ht="15.75" customHeight="1">
      <c r="A465" s="2">
        <v>4.0</v>
      </c>
      <c r="B465" s="2" t="s">
        <v>1398</v>
      </c>
      <c r="C465" s="2" t="s">
        <v>1399</v>
      </c>
      <c r="D465" s="2" t="s">
        <v>32</v>
      </c>
      <c r="E465" s="2" t="s">
        <v>21</v>
      </c>
      <c r="F465" s="2" t="s">
        <v>15</v>
      </c>
      <c r="G465" s="2" t="s">
        <v>739</v>
      </c>
      <c r="H465" s="2" t="s">
        <v>48</v>
      </c>
      <c r="I465" s="2" t="str">
        <f>IFERROR(__xludf.DUMMYFUNCTION("GOOGLETRANSLATE(C465,""fr"",""en"")"),"I am satisfied with the follow -up of my file by my advisor and she managed to ensure my vehicle in a very short time and at a very competition price. Thank you")</f>
        <v>I am satisfied with the follow -up of my file by my advisor and she managed to ensure my vehicle in a very short time and at a very competition price. Thank you</v>
      </c>
    </row>
    <row r="466" ht="15.75" customHeight="1">
      <c r="A466" s="2">
        <v>5.0</v>
      </c>
      <c r="B466" s="2" t="s">
        <v>1400</v>
      </c>
      <c r="C466" s="2" t="s">
        <v>1401</v>
      </c>
      <c r="D466" s="2" t="s">
        <v>379</v>
      </c>
      <c r="E466" s="2" t="s">
        <v>82</v>
      </c>
      <c r="F466" s="2" t="s">
        <v>15</v>
      </c>
      <c r="G466" s="2" t="s">
        <v>1402</v>
      </c>
      <c r="H466" s="2" t="s">
        <v>95</v>
      </c>
      <c r="I466" s="2" t="str">
        <f>IFERROR(__xludf.DUMMYFUNCTION("GOOGLETRANSLATE(C466,""fr"",""en"")"),"Am very happy, of the MGP, mutual which I have been a member since October 1975.
This mutual insurance company has always followed me and helped me in my professional life.
She still currently helps me in my retired life. Each time, for the moment I nee"&amp;"ded it, she has always responded.
The only problem would be its price. But, you have to know what you want, be well assisted and reimbursed. So, I think and am even almost certain, that I would remain a member.")</f>
        <v>Am very happy, of the MGP, mutual which I have been a member since October 1975.
This mutual insurance company has always followed me and helped me in my professional life.
She still currently helps me in my retired life. Each time, for the moment I needed it, she has always responded.
The only problem would be its price. But, you have to know what you want, be well assisted and reimbursed. So, I think and am even almost certain, that I would remain a member.</v>
      </c>
    </row>
    <row r="467" ht="15.75" customHeight="1">
      <c r="A467" s="2">
        <v>1.0</v>
      </c>
      <c r="B467" s="2" t="s">
        <v>1403</v>
      </c>
      <c r="C467" s="2" t="s">
        <v>1404</v>
      </c>
      <c r="D467" s="2" t="s">
        <v>59</v>
      </c>
      <c r="E467" s="2" t="s">
        <v>33</v>
      </c>
      <c r="F467" s="2" t="s">
        <v>15</v>
      </c>
      <c r="G467" s="2" t="s">
        <v>1405</v>
      </c>
      <c r="H467" s="2" t="s">
        <v>250</v>
      </c>
      <c r="I467" s="2" t="str">
        <f>IFERROR(__xludf.DUMMYFUNCTION("GOOGLETRANSLATE(C467,""fr"",""en"")"),"All our contracts (excluding mutual) are at AXA, no less than 8 contracts, 2 cars, 2 homes and 4 PNOs, not to mention those of children. 1 only contract is managed via broker the other 7 per agency (the same)
Well, loyalty does not pay for Axa, already d"&amp;"uring my separation, when I asked that the bonuses of all contracts be deducted from my new bank account The agency replied that not possible because certain contracts are solely Name of my wife (only one subscriber possible during the subscription ...) N"&amp;"o modification of RIB or to go to the name of MR and Mme (PNO contracts for joint ownership)
2 months later the agency contacted me and there miracle everything becomes possible, change of rib and change of contract holder ???? In fact Ms. Ms. simply ter"&amp;"minated contracts and opposition to samples!
Following Séïsme, 4 goods were impacted, 1 dwelling and 3 PNOs.
Several months after declaration of claim only 3 expertise made, I am still waiting for the last. The first expert (early June) had the cheek to"&amp;" assert that the cracks were not due to the Séïsme but to normal wear of buildings .... It verbally offers me € 3000 for two facades, an interior wall, 30m² tiles and resumption of cracks on cellar vaults; To date no contact with the insurance that has op"&amp;"ened the claim in the name of my wife ...
For the house, expertise in mid-June, this time the expert does not deny the action of the earthquake but refuses to check the roof and asks me to provide mason quotes, I have already provided two as well as The "&amp;"invoice for the Décutarage, excluding 8 months after the None Disaster moves because all complete (strangely I am not the only victim ...) and nobody wishes to make the rest wall because in stone ... there too 'Insurance answer me ""look for a mason, make"&amp;" quotes"" ... Not to mention the detaping of the entire house that I paid for my pocket for first expertise in Visio (Corona) which was canceled in view of The list of damage ....
When I manage to reach the agency whatever my question the purpose is alwa"&amp;"ys the same for the copy of the contracts ""I take care of it"" ""we do not have them, it is impossible"" ""I see that and you Constate ""...... for claims"" it is not me who takes care of it I leave the message ... ""
As for Axa France their answer is i"&amp;"dentical ""See with your agent it is he who manages your contract"" or ""make a complaint by email we will process your request"" in vain the email of course!
Assessment of the operation, I live in a cracked house (fortunately without danger), I have put"&amp;" forward costs and do not know when they will be reimbursed or if they will be, I am currently in An overall envelope of almost € 100,000 in repairs ....
It is obvious that I will please myself to withdraw contracts one by one and I will not let go to be"&amp;" compensated!")</f>
        <v>All our contracts (excluding mutual) are at AXA, no less than 8 contracts, 2 cars, 2 homes and 4 PNOs, not to mention those of children. 1 only contract is managed via broker the other 7 per agency (the same)
Well, loyalty does not pay for Axa, already during my separation, when I asked that the bonuses of all contracts be deducted from my new bank account The agency replied that not possible because certain contracts are solely Name of my wife (only one subscriber possible during the subscription ...) No modification of RIB or to go to the name of MR and Mme (PNO contracts for joint ownership)
2 months later the agency contacted me and there miracle everything becomes possible, change of rib and change of contract holder ???? In fact Ms. Ms. simply terminated contracts and opposition to samples!
Following Séïsme, 4 goods were impacted, 1 dwelling and 3 PNOs.
Several months after declaration of claim only 3 expertise made, I am still waiting for the last. The first expert (early June) had the cheek to assert that the cracks were not due to the Séïsme but to normal wear of buildings .... It verbally offers me € 3000 for two facades, an interior wall, 30m² tiles and resumption of cracks on cellar vaults; To date no contact with the insurance that has opened the claim in the name of my wife ...
For the house, expertise in mid-June, this time the expert does not deny the action of the earthquake but refuses to check the roof and asks me to provide mason quotes, I have already provided two as well as The invoice for the Décutarage, excluding 8 months after the None Disaster moves because all complete (strangely I am not the only victim ...) and nobody wishes to make the rest wall because in stone ... there too 'Insurance answer me "look for a mason, make quotes" ... Not to mention the detaping of the entire house that I paid for my pocket for first expertise in Visio (Corona) which was canceled in view of The list of damage ....
When I manage to reach the agency whatever my question the purpose is always the same for the copy of the contracts "I take care of it" "we do not have them, it is impossible" "I see that and you Constate "...... for claims" it is not me who takes care of it I leave the message ... "
As for Axa France their answer is identical "See with your agent it is he who manages your contract" or "make a complaint by email we will process your request" in vain the email of course!
Assessment of the operation, I live in a cracked house (fortunately without danger), I have put forward costs and do not know when they will be reimbursed or if they will be, I am currently in An overall envelope of almost € 100,000 in repairs ....
It is obvious that I will please myself to withdraw contracts one by one and I will not let go to be compensated!</v>
      </c>
    </row>
    <row r="468" ht="15.75" customHeight="1">
      <c r="A468" s="2">
        <v>4.0</v>
      </c>
      <c r="B468" s="2" t="s">
        <v>1406</v>
      </c>
      <c r="C468" s="2" t="s">
        <v>1407</v>
      </c>
      <c r="D468" s="2" t="s">
        <v>129</v>
      </c>
      <c r="E468" s="2" t="s">
        <v>21</v>
      </c>
      <c r="F468" s="2" t="s">
        <v>15</v>
      </c>
      <c r="G468" s="2" t="s">
        <v>1185</v>
      </c>
      <c r="H468" s="2" t="s">
        <v>48</v>
      </c>
      <c r="I468" s="2" t="str">
        <f>IFERROR(__xludf.DUMMYFUNCTION("GOOGLETRANSLATE(C468,""fr"",""en"")"),"Simple and quick complete description Ease of intervention system for Electronic signature very well thought out the aid to fill this document are very useful")</f>
        <v>Simple and quick complete description Ease of intervention system for Electronic signature very well thought out the aid to fill this document are very useful</v>
      </c>
    </row>
    <row r="469" ht="15.75" customHeight="1">
      <c r="A469" s="2">
        <v>2.0</v>
      </c>
      <c r="B469" s="2" t="s">
        <v>1408</v>
      </c>
      <c r="C469" s="2" t="s">
        <v>1409</v>
      </c>
      <c r="D469" s="2" t="s">
        <v>98</v>
      </c>
      <c r="E469" s="2" t="s">
        <v>21</v>
      </c>
      <c r="F469" s="2" t="s">
        <v>15</v>
      </c>
      <c r="G469" s="2" t="s">
        <v>1410</v>
      </c>
      <c r="H469" s="2" t="s">
        <v>92</v>
      </c>
      <c r="I469" s="2" t="str">
        <f>IFERROR(__xludf.DUMMYFUNCTION("GOOGLETRANSLATE(C469,""fr"",""en"")"),"Hello I am a customer at home since July 2019 and what to say at the beginning I was really happy to make sure at home because the price being very attractive but the customer service I intend to change my contract my contract arrives at its end At home a"&amp;"nd having just bought a new vehicle I plan to go see another company which I hope will be more responsive than you because to collect you were the first but reimburse no one")</f>
        <v>Hello I am a customer at home since July 2019 and what to say at the beginning I was really happy to make sure at home because the price being very attractive but the customer service I intend to change my contract my contract arrives at its end At home and having just bought a new vehicle I plan to go see another company which I hope will be more responsive than you because to collect you were the first but reimburse no one</v>
      </c>
    </row>
    <row r="470" ht="15.75" customHeight="1">
      <c r="A470" s="2">
        <v>1.0</v>
      </c>
      <c r="B470" s="2" t="s">
        <v>1411</v>
      </c>
      <c r="C470" s="2" t="s">
        <v>1412</v>
      </c>
      <c r="D470" s="2" t="s">
        <v>303</v>
      </c>
      <c r="E470" s="2" t="s">
        <v>33</v>
      </c>
      <c r="F470" s="2" t="s">
        <v>15</v>
      </c>
      <c r="G470" s="2" t="s">
        <v>1413</v>
      </c>
      <c r="H470" s="2" t="s">
        <v>1091</v>
      </c>
      <c r="I470" s="2" t="str">
        <f>IFERROR(__xludf.DUMMYFUNCTION("GOOGLETRANSLATE(C470,""fr"",""en"")"),"Do you think you are well insured by paying your insurance policy according to the terms of your contract and that the day or a claim will be your insurer will be by your side? Well, you can see this insurer as many others certainly do not understand it i"&amp;"n this way and will try to tire and dive by denying the evidence whatever the proofs that you can bring to him to justify damage. If the expert ""decreed (without telling you of course and without even putting your fantastic and inconsistent conclusions b"&amp;"ack to you that there was no matter for compensation, it is finished for you the trap is closed. But but You will tell me, you can call on an insured expert! Certainly yes, but his cost is around 1000 euros (at your expense and refunded (this remains to b"&amp;"e seen) only if the insurance expert and The expert's expert agrees! If they do not come to an agreement there is a third expert who will take place and again it is ""Russian roulette"" not sure to enter your costs and yes It pays the expertise and it is "&amp;"a profession of the future believe me. Conclusion: for small claims whose compensation is lower than the cost of the expert's expert, it is obvious therefore that the most by We will choose to drop and make repairs at their expense because saving time and"&amp;" energy. This fashionable practice reveals from insurance is a diverted and very ""borderline"" way used by certain unscrupulous and unscrupulous insurers for everything while remaining legally avoid paying thousands of minor compensation. The Macif is no"&amp;" exception to this shameful practice.
")</f>
        <v>Do you think you are well insured by paying your insurance policy according to the terms of your contract and that the day or a claim will be your insurer will be by your side? Well, you can see this insurer as many others certainly do not understand it in this way and will try to tire and dive by denying the evidence whatever the proofs that you can bring to him to justify damage. If the expert "decreed (without telling you of course and without even putting your fantastic and inconsistent conclusions back to you that there was no matter for compensation, it is finished for you the trap is closed. But but You will tell me, you can call on an insured expert! Certainly yes, but his cost is around 1000 euros (at your expense and refunded (this remains to be seen) only if the insurance expert and The expert's expert agrees! If they do not come to an agreement there is a third expert who will take place and again it is "Russian roulette" not sure to enter your costs and yes It pays the expertise and it is a profession of the future believe me. Conclusion: for small claims whose compensation is lower than the cost of the expert's expert, it is obvious therefore that the most by We will choose to drop and make repairs at their expense because saving time and energy. This fashionable practice reveals from insurance is a diverted and very "borderline" way used by certain unscrupulous and unscrupulous insurers for everything while remaining legally avoid paying thousands of minor compensation. The Macif is no exception to this shameful practice.
</v>
      </c>
    </row>
    <row r="471" ht="15.75" customHeight="1">
      <c r="A471" s="2">
        <v>3.0</v>
      </c>
      <c r="B471" s="2" t="s">
        <v>1414</v>
      </c>
      <c r="C471" s="2" t="s">
        <v>1415</v>
      </c>
      <c r="D471" s="2" t="s">
        <v>26</v>
      </c>
      <c r="E471" s="2" t="s">
        <v>27</v>
      </c>
      <c r="F471" s="2" t="s">
        <v>15</v>
      </c>
      <c r="G471" s="2" t="s">
        <v>1416</v>
      </c>
      <c r="H471" s="2" t="s">
        <v>159</v>
      </c>
      <c r="I471" s="2" t="str">
        <f>IFERROR(__xludf.DUMMYFUNCTION("GOOGLETRANSLATE(C471,""fr"",""en"")"),"A charming and very caring advisor ... but under this velvet glove hides a well -oiled money machine: will only be assured of people in perfect health. As soon as the simplified medical questionnaire is not enough ... Flee! Worse, my friend had been accep"&amp;"ted with exclusions before he even filed the questionnaire completed by the doctor !!! A month lost in the assembly of our loan file, thank you Zen Down !!!")</f>
        <v>A charming and very caring advisor ... but under this velvet glove hides a well -oiled money machine: will only be assured of people in perfect health. As soon as the simplified medical questionnaire is not enough ... Flee! Worse, my friend had been accepted with exclusions before he even filed the questionnaire completed by the doctor !!! A month lost in the assembly of our loan file, thank you Zen Down !!!</v>
      </c>
    </row>
    <row r="472" ht="15.75" customHeight="1">
      <c r="A472" s="2">
        <v>2.0</v>
      </c>
      <c r="B472" s="2" t="s">
        <v>1417</v>
      </c>
      <c r="C472" s="2" t="s">
        <v>1418</v>
      </c>
      <c r="D472" s="2" t="s">
        <v>32</v>
      </c>
      <c r="E472" s="2" t="s">
        <v>21</v>
      </c>
      <c r="F472" s="2" t="s">
        <v>15</v>
      </c>
      <c r="G472" s="2" t="s">
        <v>1419</v>
      </c>
      <c r="H472" s="2" t="s">
        <v>950</v>
      </c>
      <c r="I472" s="2" t="str">
        <f>IFERROR(__xludf.DUMMYFUNCTION("GOOGLETRANSLATE(C472,""fr"",""en"")"),"Compagnie A Furais, uses all possible stratagems so as not to reimburse including when the twisted person recognized the incident and has given his coordinates. We will soon change.")</f>
        <v>Compagnie A Furais, uses all possible stratagems so as not to reimburse including when the twisted person recognized the incident and has given his coordinates. We will soon change.</v>
      </c>
    </row>
    <row r="473" ht="15.75" customHeight="1">
      <c r="A473" s="2">
        <v>1.0</v>
      </c>
      <c r="B473" s="2" t="s">
        <v>1420</v>
      </c>
      <c r="C473" s="2" t="s">
        <v>1421</v>
      </c>
      <c r="D473" s="2" t="s">
        <v>129</v>
      </c>
      <c r="E473" s="2" t="s">
        <v>33</v>
      </c>
      <c r="F473" s="2" t="s">
        <v>15</v>
      </c>
      <c r="G473" s="2" t="s">
        <v>259</v>
      </c>
      <c r="H473" s="2" t="s">
        <v>260</v>
      </c>
      <c r="I473" s="2" t="str">
        <f>IFERROR(__xludf.DUMMYFUNCTION("GOOGLETRANSLATE(C473,""fr"",""en"")"),"The GMF is useless for my case, a declared sinister in February, and an expert from September. Despite another expert from 3 months before the GMF, our problem confirmed well, and the GMF did not take into account. Result the GMF nothing to do so we termi"&amp;"nated")</f>
        <v>The GMF is useless for my case, a declared sinister in February, and an expert from September. Despite another expert from 3 months before the GMF, our problem confirmed well, and the GMF did not take into account. Result the GMF nothing to do so we terminated</v>
      </c>
    </row>
    <row r="474" ht="15.75" customHeight="1">
      <c r="A474" s="2">
        <v>1.0</v>
      </c>
      <c r="B474" s="2" t="s">
        <v>1422</v>
      </c>
      <c r="C474" s="2" t="s">
        <v>1423</v>
      </c>
      <c r="D474" s="2" t="s">
        <v>72</v>
      </c>
      <c r="E474" s="2" t="s">
        <v>21</v>
      </c>
      <c r="F474" s="2" t="s">
        <v>15</v>
      </c>
      <c r="G474" s="2" t="s">
        <v>1424</v>
      </c>
      <c r="H474" s="2" t="s">
        <v>661</v>
      </c>
      <c r="I474" s="2" t="str">
        <f>IFERROR(__xludf.DUMMYFUNCTION("GOOGLETRANSLATE(C474,""fr"",""en"")"),"Ensures for 5 years without accidents, makes me carry the hat of an accident produced in front of my vehicle for which I am for nothing, (fall of a scooter) without evidence and without elements (no observation, no testimony, nothing! ).")</f>
        <v>Ensures for 5 years without accidents, makes me carry the hat of an accident produced in front of my vehicle for which I am for nothing, (fall of a scooter) without evidence and without elements (no observation, no testimony, nothing! ).</v>
      </c>
    </row>
    <row r="475" ht="15.75" customHeight="1">
      <c r="A475" s="2">
        <v>4.0</v>
      </c>
      <c r="B475" s="2" t="s">
        <v>1425</v>
      </c>
      <c r="C475" s="2" t="s">
        <v>1426</v>
      </c>
      <c r="D475" s="2" t="s">
        <v>42</v>
      </c>
      <c r="E475" s="2" t="s">
        <v>21</v>
      </c>
      <c r="F475" s="2" t="s">
        <v>15</v>
      </c>
      <c r="G475" s="2" t="s">
        <v>1427</v>
      </c>
      <c r="H475" s="2" t="s">
        <v>474</v>
      </c>
      <c r="I475" s="2" t="str">
        <f>IFERROR(__xludf.DUMMYFUNCTION("GOOGLETRANSLATE(C475,""fr"",""en"")"),"Despite the sometimes virulent opinions on this site but without a priori, I subscribed to a contract on 01/23 and after sending the documents precisely required, the sending of my green card is made!")</f>
        <v>Despite the sometimes virulent opinions on this site but without a priori, I subscribed to a contract on 01/23 and after sending the documents precisely required, the sending of my green card is made!</v>
      </c>
    </row>
    <row r="476" ht="15.75" customHeight="1">
      <c r="A476" s="2">
        <v>5.0</v>
      </c>
      <c r="B476" s="2" t="s">
        <v>1428</v>
      </c>
      <c r="C476" s="2" t="s">
        <v>1429</v>
      </c>
      <c r="D476" s="2" t="s">
        <v>42</v>
      </c>
      <c r="E476" s="2" t="s">
        <v>21</v>
      </c>
      <c r="F476" s="2" t="s">
        <v>15</v>
      </c>
      <c r="G476" s="2" t="s">
        <v>927</v>
      </c>
      <c r="H476" s="2" t="s">
        <v>39</v>
      </c>
      <c r="I476" s="2" t="str">
        <f>IFERROR(__xludf.DUMMYFUNCTION("GOOGLETRANSLATE(C476,""fr"",""en"")"),"The price is very satisfactory, especially for the assurance of a first vehicle.
On the phone, customer service has been responsive, attentive and competent.")</f>
        <v>The price is very satisfactory, especially for the assurance of a first vehicle.
On the phone, customer service has been responsive, attentive and competent.</v>
      </c>
    </row>
    <row r="477" ht="15.75" customHeight="1">
      <c r="A477" s="2">
        <v>1.0</v>
      </c>
      <c r="B477" s="2" t="s">
        <v>1430</v>
      </c>
      <c r="C477" s="2" t="s">
        <v>1431</v>
      </c>
      <c r="D477" s="2" t="s">
        <v>209</v>
      </c>
      <c r="E477" s="2" t="s">
        <v>82</v>
      </c>
      <c r="F477" s="2" t="s">
        <v>15</v>
      </c>
      <c r="G477" s="2" t="s">
        <v>1432</v>
      </c>
      <c r="H477" s="2" t="s">
        <v>166</v>
      </c>
      <c r="I477" s="2" t="str">
        <f>IFERROR(__xludf.DUMMYFUNCTION("GOOGLETRANSLATE(C477,""fr"",""en"")"),"Retired and having serious health problems, MGEN does not take care of the fees of fees of specialists. No refund for cancers or alternative offers .... I have contributed 40 years ... Go see elsewhere")</f>
        <v>Retired and having serious health problems, MGEN does not take care of the fees of fees of specialists. No refund for cancers or alternative offers .... I have contributed 40 years ... Go see elsewhere</v>
      </c>
    </row>
    <row r="478" ht="15.75" customHeight="1">
      <c r="A478" s="2">
        <v>1.0</v>
      </c>
      <c r="B478" s="2" t="s">
        <v>1433</v>
      </c>
      <c r="C478" s="2" t="s">
        <v>1434</v>
      </c>
      <c r="D478" s="2" t="s">
        <v>313</v>
      </c>
      <c r="E478" s="2" t="s">
        <v>82</v>
      </c>
      <c r="F478" s="2" t="s">
        <v>15</v>
      </c>
      <c r="G478" s="2" t="s">
        <v>38</v>
      </c>
      <c r="H478" s="2" t="s">
        <v>39</v>
      </c>
      <c r="I478" s="2" t="str">
        <f>IFERROR(__xludf.DUMMYFUNCTION("GOOGLETRANSLATE(C478,""fr"",""en"")"),"By reading the opinions I feel less alone ...
A catastrophe This mutual insurance company, it started with my teletransmission still not active for 5 months, after several calls they realize that they are attached to the bad management center good ok ..."&amp;"
Then my dental bills in February (we are in May) are still not reimbursed, we must send my CPAM DECENTS I have never seen that lol and finally they can only attach the vital card of my husband so reimbursements for My children where mine need all the De"&amp;"counts and all the invoices ... We have not finished if we have to monitor all our reimbursements")</f>
        <v>By reading the opinions I feel less alone ...
A catastrophe This mutual insurance company, it started with my teletransmission still not active for 5 months, after several calls they realize that they are attached to the bad management center good ok ...
Then my dental bills in February (we are in May) are still not reimbursed, we must send my CPAM DECENTS I have never seen that lol and finally they can only attach the vital card of my husband so reimbursements for My children where mine need all the Decounts and all the invoices ... We have not finished if we have to monitor all our reimbursements</v>
      </c>
    </row>
    <row r="479" ht="15.75" customHeight="1">
      <c r="A479" s="2">
        <v>4.0</v>
      </c>
      <c r="B479" s="2" t="s">
        <v>1435</v>
      </c>
      <c r="C479" s="2" t="s">
        <v>1436</v>
      </c>
      <c r="D479" s="2" t="s">
        <v>129</v>
      </c>
      <c r="E479" s="2" t="s">
        <v>21</v>
      </c>
      <c r="F479" s="2" t="s">
        <v>15</v>
      </c>
      <c r="G479" s="2" t="s">
        <v>187</v>
      </c>
      <c r="H479" s="2" t="s">
        <v>56</v>
      </c>
      <c r="I479" s="2" t="str">
        <f>IFERROR(__xludf.DUMMYFUNCTION("GOOGLETRANSLATE(C479,""fr"",""en"")"),"Administrative explanations, in particular in terms of payment methods, not always explicit.
The advice is mostly relevant")</f>
        <v>Administrative explanations, in particular in terms of payment methods, not always explicit.
The advice is mostly relevant</v>
      </c>
    </row>
    <row r="480" ht="15.75" customHeight="1">
      <c r="A480" s="2">
        <v>3.0</v>
      </c>
      <c r="B480" s="2" t="s">
        <v>1437</v>
      </c>
      <c r="C480" s="2" t="s">
        <v>1438</v>
      </c>
      <c r="D480" s="2" t="s">
        <v>32</v>
      </c>
      <c r="E480" s="2" t="s">
        <v>21</v>
      </c>
      <c r="F480" s="2" t="s">
        <v>15</v>
      </c>
      <c r="G480" s="2" t="s">
        <v>443</v>
      </c>
      <c r="H480" s="2" t="s">
        <v>39</v>
      </c>
      <c r="I480" s="2" t="str">
        <f>IFERROR(__xludf.DUMMYFUNCTION("GOOGLETRANSLATE(C480,""fr"",""en"")"),"Hello, now possessing 2 vehicles, being the only dedicated driver I think that I am eligible for the contract at the km traveled.")</f>
        <v>Hello, now possessing 2 vehicles, being the only dedicated driver I think that I am eligible for the contract at the km traveled.</v>
      </c>
    </row>
    <row r="481" ht="15.75" customHeight="1">
      <c r="A481" s="2">
        <v>2.0</v>
      </c>
      <c r="B481" s="2" t="s">
        <v>1439</v>
      </c>
      <c r="C481" s="2" t="s">
        <v>1440</v>
      </c>
      <c r="D481" s="2" t="s">
        <v>145</v>
      </c>
      <c r="E481" s="2" t="s">
        <v>21</v>
      </c>
      <c r="F481" s="2" t="s">
        <v>15</v>
      </c>
      <c r="G481" s="2" t="s">
        <v>753</v>
      </c>
      <c r="H481" s="2" t="s">
        <v>300</v>
      </c>
      <c r="I481" s="2" t="str">
        <f>IFERROR(__xludf.DUMMYFUNCTION("GOOGLETRANSLATE(C481,""fr"",""en"")"),"I was insured at the MAAF for my car insurance, following a large 100% responsible claim they offered me at the end of my contract a new pricing, which is not at all in my strings ... not being able to Not renewing they sent me to a small ASM Assurance br"&amp;"oker in Paris, who were able to find me a solution and offer me a more suitable pricing ...")</f>
        <v>I was insured at the MAAF for my car insurance, following a large 100% responsible claim they offered me at the end of my contract a new pricing, which is not at all in my strings ... not being able to Not renewing they sent me to a small ASM Assurance broker in Paris, who were able to find me a solution and offer me a more suitable pricing ...</v>
      </c>
    </row>
    <row r="482" ht="15.75" customHeight="1">
      <c r="A482" s="2">
        <v>5.0</v>
      </c>
      <c r="B482" s="2" t="s">
        <v>1441</v>
      </c>
      <c r="C482" s="2" t="s">
        <v>1442</v>
      </c>
      <c r="D482" s="2" t="s">
        <v>135</v>
      </c>
      <c r="E482" s="2" t="s">
        <v>60</v>
      </c>
      <c r="F482" s="2" t="s">
        <v>15</v>
      </c>
      <c r="G482" s="2" t="s">
        <v>836</v>
      </c>
      <c r="H482" s="2" t="s">
        <v>48</v>
      </c>
      <c r="I482" s="2" t="str">
        <f>IFERROR(__xludf.DUMMYFUNCTION("GOOGLETRANSLATE(C482,""fr"",""en"")"),"Customer service is on top regardless of demand, operators are super effective, fast and very pleasant.
Would not change a thing
")</f>
        <v>Customer service is on top regardless of demand, operators are super effective, fast and very pleasant.
Would not change a thing
</v>
      </c>
    </row>
    <row r="483" ht="15.75" customHeight="1">
      <c r="A483" s="2">
        <v>1.0</v>
      </c>
      <c r="B483" s="2" t="s">
        <v>1443</v>
      </c>
      <c r="C483" s="2" t="s">
        <v>1444</v>
      </c>
      <c r="D483" s="2" t="s">
        <v>183</v>
      </c>
      <c r="E483" s="2" t="s">
        <v>33</v>
      </c>
      <c r="F483" s="2" t="s">
        <v>15</v>
      </c>
      <c r="G483" s="2" t="s">
        <v>1445</v>
      </c>
      <c r="H483" s="2" t="s">
        <v>432</v>
      </c>
      <c r="I483" s="2" t="str">
        <f>IFERROR(__xludf.DUMMYFUNCTION("GOOGLETRANSLATE(C483,""fr"",""en"")"),"No communication after a huge water damage Flee quote from the plumber 1600 euros leak under tiles No displacement of an expert just the answer We do not take care of, termination of my contracts at home never again with Allianz")</f>
        <v>No communication after a huge water damage Flee quote from the plumber 1600 euros leak under tiles No displacement of an expert just the answer We do not take care of, termination of my contracts at home never again with Allianz</v>
      </c>
    </row>
    <row r="484" ht="15.75" customHeight="1">
      <c r="A484" s="2">
        <v>2.0</v>
      </c>
      <c r="B484" s="2" t="s">
        <v>1446</v>
      </c>
      <c r="C484" s="2" t="s">
        <v>1447</v>
      </c>
      <c r="D484" s="2" t="s">
        <v>196</v>
      </c>
      <c r="E484" s="2" t="s">
        <v>82</v>
      </c>
      <c r="F484" s="2" t="s">
        <v>15</v>
      </c>
      <c r="G484" s="2" t="s">
        <v>1448</v>
      </c>
      <c r="H484" s="2" t="s">
        <v>78</v>
      </c>
      <c r="I484" s="2" t="str">
        <f>IFERROR(__xludf.DUMMYFUNCTION("GOOGLETRANSLATE(C484,""fr"",""en"")"),"The member space is zero, all the questions asked about this space remain unanswered. So you have to phone them every time you have something to ask. I also tried to contact them via an e-mail address he gave me by phone. No response either, I will probab"&amp;"ly have to send them a post. No, I am not satisfied.")</f>
        <v>The member space is zero, all the questions asked about this space remain unanswered. So you have to phone them every time you have something to ask. I also tried to contact them via an e-mail address he gave me by phone. No response either, I will probably have to send them a post. No, I am not satisfied.</v>
      </c>
    </row>
    <row r="485" ht="15.75" customHeight="1">
      <c r="A485" s="2">
        <v>5.0</v>
      </c>
      <c r="B485" s="2" t="s">
        <v>1449</v>
      </c>
      <c r="C485" s="2" t="s">
        <v>1450</v>
      </c>
      <c r="D485" s="2" t="s">
        <v>32</v>
      </c>
      <c r="E485" s="2" t="s">
        <v>21</v>
      </c>
      <c r="F485" s="2" t="s">
        <v>15</v>
      </c>
      <c r="G485" s="2" t="s">
        <v>308</v>
      </c>
      <c r="H485" s="2" t="s">
        <v>29</v>
      </c>
      <c r="I485" s="2" t="str">
        <f>IFERROR(__xludf.DUMMYFUNCTION("GOOGLETRANSLATE(C485,""fr"",""en"")"),"Your insurance is attractive payment, contract. Hoping for an insurance customer report in transparency. Thank you and happy to be part of your insurance.")</f>
        <v>Your insurance is attractive payment, contract. Hoping for an insurance customer report in transparency. Thank you and happy to be part of your insurance.</v>
      </c>
    </row>
    <row r="486" ht="15.75" customHeight="1">
      <c r="A486" s="2">
        <v>4.0</v>
      </c>
      <c r="B486" s="2" t="s">
        <v>1451</v>
      </c>
      <c r="C486" s="2" t="s">
        <v>1452</v>
      </c>
      <c r="D486" s="2" t="s">
        <v>32</v>
      </c>
      <c r="E486" s="2" t="s">
        <v>21</v>
      </c>
      <c r="F486" s="2" t="s">
        <v>15</v>
      </c>
      <c r="G486" s="2" t="s">
        <v>51</v>
      </c>
      <c r="H486" s="2" t="s">
        <v>52</v>
      </c>
      <c r="I486" s="2" t="str">
        <f>IFERROR(__xludf.DUMMYFUNCTION("GOOGLETRANSLATE(C486,""fr"",""en"")"),"I am satisfied with the service, as well as exchanges with telephone advisers.
You are fast and efficient when I had a problem.
Thank you")</f>
        <v>I am satisfied with the service, as well as exchanges with telephone advisers.
You are fast and efficient when I had a problem.
Thank you</v>
      </c>
    </row>
    <row r="487" ht="15.75" customHeight="1">
      <c r="A487" s="2">
        <v>4.0</v>
      </c>
      <c r="B487" s="2" t="s">
        <v>1453</v>
      </c>
      <c r="C487" s="2" t="s">
        <v>1454</v>
      </c>
      <c r="D487" s="2" t="s">
        <v>59</v>
      </c>
      <c r="E487" s="2" t="s">
        <v>21</v>
      </c>
      <c r="F487" s="2" t="s">
        <v>15</v>
      </c>
      <c r="G487" s="2" t="s">
        <v>290</v>
      </c>
      <c r="H487" s="2" t="s">
        <v>250</v>
      </c>
      <c r="I487" s="2" t="str">
        <f>IFERROR(__xludf.DUMMYFUNCTION("GOOGLETRANSLATE(C487,""fr"",""en"")"),"My opinion below only concerns the AXA satisfaction / assistance linked to auto insurance (concerning the price level, this only makes sense if one can compare with some comparable situation, which is practically never possible ...) I am insured with AXA "&amp;"in particular for 2 vehicles (1 to ""third party"", 1 in ""damage"") for the latter (220,000 km but very well and maintained and in very good condition), I have been led to call on AXA assistance linked to my car insurance on the holiday route 3 times (fo"&amp;"r now!?) Over 1 month (!!) including 2 breakdowns on the highway (more power and engine stop = EGR, FAP and consort valve?) This after 2 passages at Garagistes concessionaires approved by the brand of my vehicle (situation absolutely not attributable to A"&amp;"XA assistance, since the 1 ° time, I brought my vehicle on my own means In a dealership, the 2nd time, the approved convenience store was itself a dealer, and for the 3rd time, fell into pan Ne 20 km after having resumed my vehicle, it is this same dealer"&amp;", who at my request and under the guarantee of his repair, came to seek my vehicle with the approved garage motorway ... What a story ... C 'is the disadvantage of diesels in ""pseudo-ecolo"" sauce /not these bp with my good old expert Peugeot 1.9 td of 1"&amp;"998 tjrs in shape and ok ct) in short, so I called 3 times to AXA assistance (July 15, July 20 and August 11) each time without discussion on the part of my interlocutor AXA = ""5 stars"" minimum: Fresh towing supported in agreement with the approved conv"&amp;"enience stores, all facilities my summer Offered and data to continue my trips or repatriation = taxi, rental car. I tried for my side to minimize the costs and not to ""abuse the situation"" using when possible my 2nd vehicle for the continuation of part"&amp;" of my vacation or the train to recover my vehicle broken down to the garage . (The big big drawback DT I realized on the highway, is that you should not stay in your vehicle ... but that outside of your vehicle .... you have the biggest difficulties for "&amp;"Hear or be heard on the mobile phone / If we had the chance to be able to call the highway convenience store via a SOS terminal, it is better to wait to be in the convenience store to call the assistance for the rest of the events. ))")</f>
        <v>My opinion below only concerns the AXA satisfaction / assistance linked to auto insurance (concerning the price level, this only makes sense if one can compare with some comparable situation, which is practically never possible ...) I am insured with AXA in particular for 2 vehicles (1 to "third party", 1 in "damage") for the latter (220,000 km but very well and maintained and in very good condition), I have been led to call on AXA assistance linked to my car insurance on the holiday route 3 times (for now!?) Over 1 month (!!) including 2 breakdowns on the highway (more power and engine stop = EGR, FAP and consort valve?) This after 2 passages at Garagistes concessionaires approved by the brand of my vehicle (situation absolutely not attributable to AXA assistance, since the 1 ° time, I brought my vehicle on my own means In a dealership, the 2nd time, the approved convenience store was itself a dealer, and for the 3rd time, fell into pan Ne 20 km after having resumed my vehicle, it is this same dealer, who at my request and under the guarantee of his repair, came to seek my vehicle with the approved garage motorway ... What a story ... C 'is the disadvantage of diesels in "pseudo-ecolo" sauce /not these bp with my good old expert Peugeot 1.9 td of 1998 tjrs in shape and ok ct) in short, so I called 3 times to AXA assistance (July 15, July 20 and August 11) each time without discussion on the part of my interlocutor AXA = "5 stars" minimum: Fresh towing supported in agreement with the approved convenience stores, all facilities my summer Offered and data to continue my trips or repatriation = taxi, rental car. I tried for my side to minimize the costs and not to "abuse the situation" using when possible my 2nd vehicle for the continuation of part of my vacation or the train to recover my vehicle broken down to the garage . (The big big drawback DT I realized on the highway, is that you should not stay in your vehicle ... but that outside of your vehicle .... you have the biggest difficulties for Hear or be heard on the mobile phone / If we had the chance to be able to call the highway convenience store via a SOS terminal, it is better to wait to be in the convenience store to call the assistance for the rest of the events. ))</v>
      </c>
    </row>
    <row r="488" ht="15.75" customHeight="1">
      <c r="A488" s="2">
        <v>4.0</v>
      </c>
      <c r="B488" s="2" t="s">
        <v>1455</v>
      </c>
      <c r="C488" s="2" t="s">
        <v>1456</v>
      </c>
      <c r="D488" s="2" t="s">
        <v>32</v>
      </c>
      <c r="E488" s="2" t="s">
        <v>21</v>
      </c>
      <c r="F488" s="2" t="s">
        <v>15</v>
      </c>
      <c r="G488" s="2" t="s">
        <v>28</v>
      </c>
      <c r="H488" s="2" t="s">
        <v>29</v>
      </c>
      <c r="I488" s="2" t="str">
        <f>IFERROR(__xludf.DUMMYFUNCTION("GOOGLETRANSLATE(C488,""fr"",""en"")"),"Interesting service.
Too bad the telephone appointments are not kept.
Your company was indicated to me by a friend, I would have liked to take advantage of this sponsorship lady")</f>
        <v>Interesting service.
Too bad the telephone appointments are not kept.
Your company was indicated to me by a friend, I would have liked to take advantage of this sponsorship lady</v>
      </c>
    </row>
    <row r="489" ht="15.75" customHeight="1">
      <c r="A489" s="2">
        <v>1.0</v>
      </c>
      <c r="B489" s="2" t="s">
        <v>1457</v>
      </c>
      <c r="C489" s="2" t="s">
        <v>1458</v>
      </c>
      <c r="D489" s="2" t="s">
        <v>303</v>
      </c>
      <c r="E489" s="2" t="s">
        <v>21</v>
      </c>
      <c r="F489" s="2" t="s">
        <v>15</v>
      </c>
      <c r="G489" s="2" t="s">
        <v>992</v>
      </c>
      <c r="H489" s="2" t="s">
        <v>464</v>
      </c>
      <c r="I489" s="2" t="str">
        <f>IFERROR(__xludf.DUMMYFUNCTION("GOOGLETRANSLATE(C489,""fr"",""en"")"),"Hello I have a Mercedes who is barely 4 years old and I have a 7 year old credit it is a magnificent class to and I have assured it in all risks since its purchase November 2020 and I have ever touched it again
I have changed bonuses in April 21 and went"&amp;" to the bonus 50 of my companion and without reason Macif to change my insurance formula when I was all risk I became a third party so seeing my price drop I don't have
Try to understand because I went to bonus 50 and result I stupidly discover the pink "&amp;"post: one day my daughter touching a wall by parking and there
Door is to snatch and the tire to burst because it has rubbed all the right side of my Merceded and God thank I am fortunately I am all risk tkt not I call insurance and macif tell me no you "&amp;"are at the third party you are responsible And nothing at all so I explain to them that it is impossible that all my vehicles have always been insured risk I explain their error to them and there again as I have signed the quote (believing that I signed t"&amp;"he bonus 50) it still refuse and Now I'm waiting on their cursed background so of Macif so that maybe he helps me but what is this insurance ???! It is they who make the mistake and it is I who struggle ??! So either I choose to wait until I am fighting f"&amp;"or concealment of transformation of my contract while I was just going to bonus 50 of my spouse in April 2021 but I am more than unhappy and dissatisfied with my
Family we have about fifteen contracts with them and I have asked everyone to terminate and "&amp;"go elsewhere because it is when we need it that they are not present and I do not agree I never said yes Pass my car to the third I have never said that so I wait for your opinions how to appeal should I seize the court ??? Send a recommend? Help me ensur"&amp;"e that it changes their error from April to September 21")</f>
        <v>Hello I have a Mercedes who is barely 4 years old and I have a 7 year old credit it is a magnificent class to and I have assured it in all risks since its purchase November 2020 and I have ever touched it again
I have changed bonuses in April 21 and went to the bonus 50 of my companion and without reason Macif to change my insurance formula when I was all risk I became a third party so seeing my price drop I don't have
Try to understand because I went to bonus 50 and result I stupidly discover the pink post: one day my daughter touching a wall by parking and there
Door is to snatch and the tire to burst because it has rubbed all the right side of my Merceded and God thank I am fortunately I am all risk tkt not I call insurance and macif tell me no you are at the third party you are responsible And nothing at all so I explain to them that it is impossible that all my vehicles have always been insured risk I explain their error to them and there again as I have signed the quote (believing that I signed the bonus 50) it still refuse and Now I'm waiting on their cursed background so of Macif so that maybe he helps me but what is this insurance ???! It is they who make the mistake and it is I who struggle ??! So either I choose to wait until I am fighting for concealment of transformation of my contract while I was just going to bonus 50 of my spouse in April 2021 but I am more than unhappy and dissatisfied with my
Family we have about fifteen contracts with them and I have asked everyone to terminate and go elsewhere because it is when we need it that they are not present and I do not agree I never said yes Pass my car to the third I have never said that so I wait for your opinions how to appeal should I seize the court ??? Send a recommend? Help me ensure that it changes their error from April to September 21</v>
      </c>
    </row>
    <row r="490" ht="15.75" customHeight="1">
      <c r="A490" s="2">
        <v>3.0</v>
      </c>
      <c r="B490" s="2" t="s">
        <v>1459</v>
      </c>
      <c r="C490" s="2" t="s">
        <v>1460</v>
      </c>
      <c r="D490" s="2" t="s">
        <v>135</v>
      </c>
      <c r="E490" s="2" t="s">
        <v>60</v>
      </c>
      <c r="F490" s="2" t="s">
        <v>15</v>
      </c>
      <c r="G490" s="2" t="s">
        <v>446</v>
      </c>
      <c r="H490" s="2" t="s">
        <v>62</v>
      </c>
      <c r="I490" s="2" t="str">
        <f>IFERROR(__xludf.DUMMYFUNCTION("GOOGLETRANSLATE(C490,""fr"",""en"")"),"Nothing to report in particular, the prices seem correct to me, the subscription is done quickly and entirely online, very satisfied overall.")</f>
        <v>Nothing to report in particular, the prices seem correct to me, the subscription is done quickly and entirely online, very satisfied overall.</v>
      </c>
    </row>
    <row r="491" ht="15.75" customHeight="1">
      <c r="A491" s="2">
        <v>5.0</v>
      </c>
      <c r="B491" s="2" t="s">
        <v>1461</v>
      </c>
      <c r="C491" s="2" t="s">
        <v>1462</v>
      </c>
      <c r="D491" s="2" t="s">
        <v>32</v>
      </c>
      <c r="E491" s="2" t="s">
        <v>21</v>
      </c>
      <c r="F491" s="2" t="s">
        <v>15</v>
      </c>
      <c r="G491" s="2" t="s">
        <v>1196</v>
      </c>
      <c r="H491" s="2" t="s">
        <v>29</v>
      </c>
      <c r="I491" s="2" t="str">
        <f>IFERROR(__xludf.DUMMYFUNCTION("GOOGLETRANSLATE(C491,""fr"",""en"")"),"Very good insurance and interesting price The information is clear possibility to compose your insurance with the different options, I paid more expensive before now cheaper with a better service")</f>
        <v>Very good insurance and interesting price The information is clear possibility to compose your insurance with the different options, I paid more expensive before now cheaper with a better service</v>
      </c>
    </row>
    <row r="492" ht="15.75" customHeight="1">
      <c r="A492" s="2">
        <v>4.0</v>
      </c>
      <c r="B492" s="2" t="s">
        <v>1463</v>
      </c>
      <c r="C492" s="2" t="s">
        <v>1464</v>
      </c>
      <c r="D492" s="2" t="s">
        <v>32</v>
      </c>
      <c r="E492" s="2" t="s">
        <v>21</v>
      </c>
      <c r="F492" s="2" t="s">
        <v>15</v>
      </c>
      <c r="G492" s="2" t="s">
        <v>48</v>
      </c>
      <c r="H492" s="2" t="s">
        <v>48</v>
      </c>
      <c r="I492" s="2" t="str">
        <f>IFERROR(__xludf.DUMMYFUNCTION("GOOGLETRANSLATE(C492,""fr"",""en"")"),"Very well once the contact has been established.
Simple to use and I meet effective and courteous availability of the interlocutors necessary for customer relations.")</f>
        <v>Very well once the contact has been established.
Simple to use and I meet effective and courteous availability of the interlocutors necessary for customer relations.</v>
      </c>
    </row>
    <row r="493" ht="15.75" customHeight="1">
      <c r="A493" s="2">
        <v>4.0</v>
      </c>
      <c r="B493" s="2" t="s">
        <v>1465</v>
      </c>
      <c r="C493" s="2" t="s">
        <v>1466</v>
      </c>
      <c r="D493" s="2" t="s">
        <v>32</v>
      </c>
      <c r="E493" s="2" t="s">
        <v>21</v>
      </c>
      <c r="F493" s="2" t="s">
        <v>15</v>
      </c>
      <c r="G493" s="2" t="s">
        <v>1467</v>
      </c>
      <c r="H493" s="2" t="s">
        <v>52</v>
      </c>
      <c r="I493" s="2" t="str">
        <f>IFERROR(__xludf.DUMMYFUNCTION("GOOGLETRANSLATE(C493,""fr"",""en"")"),"The prices suit me but I have just refused to insure my daughter in my contract without justifying why! They talk to me about laws but without however telling me why we refuse it ... So I'm going to change the creamy! Too bad until now everything was fine"&amp;" ...")</f>
        <v>The prices suit me but I have just refused to insure my daughter in my contract without justifying why! They talk to me about laws but without however telling me why we refuse it ... So I'm going to change the creamy! Too bad until now everything was fine ...</v>
      </c>
    </row>
    <row r="494" ht="15.75" customHeight="1">
      <c r="A494" s="2">
        <v>1.0</v>
      </c>
      <c r="B494" s="2" t="s">
        <v>1468</v>
      </c>
      <c r="C494" s="2" t="s">
        <v>1469</v>
      </c>
      <c r="D494" s="2" t="s">
        <v>650</v>
      </c>
      <c r="E494" s="2" t="s">
        <v>33</v>
      </c>
      <c r="F494" s="2" t="s">
        <v>15</v>
      </c>
      <c r="G494" s="2" t="s">
        <v>1470</v>
      </c>
      <c r="H494" s="2" t="s">
        <v>287</v>
      </c>
      <c r="I494" s="2" t="str">
        <f>IFERROR(__xludf.DUMMYFUNCTION("GOOGLETRANSLATE(C494,""fr"",""en"")"),"Very unhappy")</f>
        <v>Very unhappy</v>
      </c>
    </row>
    <row r="495" ht="15.75" customHeight="1">
      <c r="A495" s="2">
        <v>4.0</v>
      </c>
      <c r="B495" s="2" t="s">
        <v>1471</v>
      </c>
      <c r="C495" s="2" t="s">
        <v>1472</v>
      </c>
      <c r="D495" s="2" t="s">
        <v>1473</v>
      </c>
      <c r="E495" s="2" t="s">
        <v>27</v>
      </c>
      <c r="F495" s="2" t="s">
        <v>15</v>
      </c>
      <c r="G495" s="2" t="s">
        <v>1474</v>
      </c>
      <c r="H495" s="2" t="s">
        <v>427</v>
      </c>
      <c r="I495" s="2" t="str">
        <f>IFERROR(__xludf.DUMMYFUNCTION("GOOGLETRANSLATE(C495,""fr"",""en"")"),"Super happy with the service, I always had the same person on the phone, everything was super fast and in + I saved 14,250 euros on my insurance!")</f>
        <v>Super happy with the service, I always had the same person on the phone, everything was super fast and in + I saved 14,250 euros on my insurance!</v>
      </c>
    </row>
    <row r="496" ht="15.75" customHeight="1">
      <c r="A496" s="2">
        <v>2.0</v>
      </c>
      <c r="B496" s="2" t="s">
        <v>1475</v>
      </c>
      <c r="C496" s="2" t="s">
        <v>1476</v>
      </c>
      <c r="D496" s="2" t="s">
        <v>32</v>
      </c>
      <c r="E496" s="2" t="s">
        <v>21</v>
      </c>
      <c r="F496" s="2" t="s">
        <v>15</v>
      </c>
      <c r="G496" s="2" t="s">
        <v>1477</v>
      </c>
      <c r="H496" s="2" t="s">
        <v>115</v>
      </c>
      <c r="I496" s="2" t="str">
        <f>IFERROR(__xludf.DUMMYFUNCTION("GOOGLETRANSLATE(C496,""fr"",""en"")"),"Mistrust, bad experience to never redo, it is better to opt for a real company")</f>
        <v>Mistrust, bad experience to never redo, it is better to opt for a real company</v>
      </c>
    </row>
    <row r="497" ht="15.75" customHeight="1">
      <c r="A497" s="2">
        <v>5.0</v>
      </c>
      <c r="B497" s="2" t="s">
        <v>1478</v>
      </c>
      <c r="C497" s="2" t="s">
        <v>1479</v>
      </c>
      <c r="D497" s="2" t="s">
        <v>32</v>
      </c>
      <c r="E497" s="2" t="s">
        <v>21</v>
      </c>
      <c r="F497" s="2" t="s">
        <v>15</v>
      </c>
      <c r="G497" s="2" t="s">
        <v>1480</v>
      </c>
      <c r="H497" s="2" t="s">
        <v>48</v>
      </c>
      <c r="I497" s="2" t="str">
        <f>IFERROR(__xludf.DUMMYFUNCTION("GOOGLETRANSLATE(C497,""fr"",""en"")"),"Excellent site and the ease to ensure and the answers provided by the advisor I would recommend direct insurance for it is price and the options offered")</f>
        <v>Excellent site and the ease to ensure and the answers provided by the advisor I would recommend direct insurance for it is price and the options offered</v>
      </c>
    </row>
    <row r="498" ht="15.75" customHeight="1">
      <c r="A498" s="2">
        <v>5.0</v>
      </c>
      <c r="B498" s="2" t="s">
        <v>1481</v>
      </c>
      <c r="C498" s="2" t="s">
        <v>1482</v>
      </c>
      <c r="D498" s="2" t="s">
        <v>32</v>
      </c>
      <c r="E498" s="2" t="s">
        <v>21</v>
      </c>
      <c r="F498" s="2" t="s">
        <v>15</v>
      </c>
      <c r="G498" s="2" t="s">
        <v>470</v>
      </c>
      <c r="H498" s="2" t="s">
        <v>56</v>
      </c>
      <c r="I498" s="2" t="str">
        <f>IFERROR(__xludf.DUMMYFUNCTION("GOOGLETRANSLATE(C498,""fr"",""en"")"),"Very good fast service is easy to use very understandable a very good functional site
BRAVO Direct Insurance
Please get my sincere greetings")</f>
        <v>Very good fast service is easy to use very understandable a very good functional site
BRAVO Direct Insurance
Please get my sincere greetings</v>
      </c>
    </row>
    <row r="499" ht="15.75" customHeight="1">
      <c r="A499" s="2">
        <v>2.0</v>
      </c>
      <c r="B499" s="2" t="s">
        <v>1483</v>
      </c>
      <c r="C499" s="2" t="s">
        <v>1484</v>
      </c>
      <c r="D499" s="2" t="s">
        <v>42</v>
      </c>
      <c r="E499" s="2" t="s">
        <v>21</v>
      </c>
      <c r="F499" s="2" t="s">
        <v>15</v>
      </c>
      <c r="G499" s="2" t="s">
        <v>1485</v>
      </c>
      <c r="H499" s="2" t="s">
        <v>464</v>
      </c>
      <c r="I499" s="2" t="str">
        <f>IFERROR(__xludf.DUMMYFUNCTION("GOOGLETRANSLATE(C499,""fr"",""en"")"),"Very pleasant advisor, efficiency in the processing of demand, things explained in a clear way, perfectly correct price, I am very satisfied with this insurance.
")</f>
        <v>Very pleasant advisor, efficiency in the processing of demand, things explained in a clear way, perfectly correct price, I am very satisfied with this insurance.
</v>
      </c>
    </row>
    <row r="500" ht="15.75" customHeight="1">
      <c r="A500" s="2">
        <v>3.0</v>
      </c>
      <c r="B500" s="2" t="s">
        <v>1486</v>
      </c>
      <c r="C500" s="2" t="s">
        <v>1487</v>
      </c>
      <c r="D500" s="2" t="s">
        <v>42</v>
      </c>
      <c r="E500" s="2" t="s">
        <v>21</v>
      </c>
      <c r="F500" s="2" t="s">
        <v>15</v>
      </c>
      <c r="G500" s="2" t="s">
        <v>1488</v>
      </c>
      <c r="H500" s="2" t="s">
        <v>661</v>
      </c>
      <c r="I500" s="2" t="str">
        <f>IFERROR(__xludf.DUMMYFUNCTION("GOOGLETRANSLATE(C500,""fr"",""en"")"),"After a year with the Olivier, the subscription increases by 27%, without being justified, no claims on my part, in fact attractive prices just the first year")</f>
        <v>After a year with the Olivier, the subscription increases by 27%, without being justified, no claims on my part, in fact attractive prices just the first year</v>
      </c>
    </row>
    <row r="501" ht="15.75" customHeight="1">
      <c r="A501" s="2">
        <v>5.0</v>
      </c>
      <c r="B501" s="2" t="s">
        <v>1489</v>
      </c>
      <c r="C501" s="2" t="s">
        <v>1490</v>
      </c>
      <c r="D501" s="2" t="s">
        <v>32</v>
      </c>
      <c r="E501" s="2" t="s">
        <v>21</v>
      </c>
      <c r="F501" s="2" t="s">
        <v>15</v>
      </c>
      <c r="G501" s="2" t="s">
        <v>729</v>
      </c>
      <c r="H501" s="2" t="s">
        <v>104</v>
      </c>
      <c r="I501" s="2" t="str">
        <f>IFERROR(__xludf.DUMMYFUNCTION("GOOGLETRANSLATE(C501,""fr"",""en"")"),"Quick and easy to use
No need to be called or call
several possibilities, all you have to do is make our choice
Very easy and accessible personal space platform")</f>
        <v>Quick and easy to use
No need to be called or call
several possibilities, all you have to do is make our choice
Very easy and accessible personal space platform</v>
      </c>
    </row>
    <row r="502" ht="15.75" customHeight="1">
      <c r="A502" s="2">
        <v>4.0</v>
      </c>
      <c r="B502" s="2" t="s">
        <v>1491</v>
      </c>
      <c r="C502" s="2" t="s">
        <v>1492</v>
      </c>
      <c r="D502" s="2" t="s">
        <v>42</v>
      </c>
      <c r="E502" s="2" t="s">
        <v>21</v>
      </c>
      <c r="F502" s="2" t="s">
        <v>15</v>
      </c>
      <c r="G502" s="2" t="s">
        <v>1493</v>
      </c>
      <c r="H502" s="2" t="s">
        <v>39</v>
      </c>
      <c r="I502" s="2" t="str">
        <f>IFERROR(__xludf.DUMMYFUNCTION("GOOGLETRANSLATE(C502,""fr"",""en"")"),"Satisfied for the moment reasonable price telephone advisor to listening and I recommend this insurance and care very quickly .....")</f>
        <v>Satisfied for the moment reasonable price telephone advisor to listening and I recommend this insurance and care very quickly .....</v>
      </c>
    </row>
    <row r="503" ht="15.75" customHeight="1">
      <c r="A503" s="2">
        <v>3.0</v>
      </c>
      <c r="B503" s="2" t="s">
        <v>1494</v>
      </c>
      <c r="C503" s="2" t="s">
        <v>1495</v>
      </c>
      <c r="D503" s="2" t="s">
        <v>32</v>
      </c>
      <c r="E503" s="2" t="s">
        <v>21</v>
      </c>
      <c r="F503" s="2" t="s">
        <v>15</v>
      </c>
      <c r="G503" s="2" t="s">
        <v>1496</v>
      </c>
      <c r="H503" s="2" t="s">
        <v>287</v>
      </c>
      <c r="I503" s="2" t="str">
        <f>IFERROR(__xludf.DUMMYFUNCTION("GOOGLETRANSLATE(C503,""fr"",""en"")"),"You are the cheapest on each insurance comparator, moreover your quote is very precise. For someone who has never subscribed to insurance that is pleasant before.")</f>
        <v>You are the cheapest on each insurance comparator, moreover your quote is very precise. For someone who has never subscribed to insurance that is pleasant before.</v>
      </c>
    </row>
    <row r="504" ht="15.75" customHeight="1">
      <c r="A504" s="2">
        <v>4.0</v>
      </c>
      <c r="B504" s="2" t="s">
        <v>1497</v>
      </c>
      <c r="C504" s="2" t="s">
        <v>1498</v>
      </c>
      <c r="D504" s="2" t="s">
        <v>379</v>
      </c>
      <c r="E504" s="2" t="s">
        <v>82</v>
      </c>
      <c r="F504" s="2" t="s">
        <v>15</v>
      </c>
      <c r="G504" s="2" t="s">
        <v>1499</v>
      </c>
      <c r="H504" s="2" t="s">
        <v>412</v>
      </c>
      <c r="I504" s="2" t="str">
        <f>IFERROR(__xludf.DUMMYFUNCTION("GOOGLETRANSLATE(C504,""fr"",""en"")"),"A person from the Pau platform immediately replied.
I immediately had a precise and concise quick response regarding my request.
Satisfied call")</f>
        <v>A person from the Pau platform immediately replied.
I immediately had a precise and concise quick response regarding my request.
Satisfied call</v>
      </c>
    </row>
    <row r="505" ht="15.75" customHeight="1">
      <c r="A505" s="2">
        <v>1.0</v>
      </c>
      <c r="B505" s="2" t="s">
        <v>1500</v>
      </c>
      <c r="C505" s="2" t="s">
        <v>1501</v>
      </c>
      <c r="D505" s="2" t="s">
        <v>32</v>
      </c>
      <c r="E505" s="2" t="s">
        <v>21</v>
      </c>
      <c r="F505" s="2" t="s">
        <v>15</v>
      </c>
      <c r="G505" s="2" t="s">
        <v>467</v>
      </c>
      <c r="H505" s="2" t="s">
        <v>104</v>
      </c>
      <c r="I505" s="2" t="str">
        <f>IFERROR(__xludf.DUMMYFUNCTION("GOOGLETRANSLATE(C505,""fr"",""en"")"),"Attractive prices except exorbitant file fees when changing vehicles on the other hand services, deadlines and follow -up of the absolutely zero claims.
I would no longer provide my vehicles at Direct Insurance.")</f>
        <v>Attractive prices except exorbitant file fees when changing vehicles on the other hand services, deadlines and follow -up of the absolutely zero claims.
I would no longer provide my vehicles at Direct Insurance.</v>
      </c>
    </row>
    <row r="506" ht="15.75" customHeight="1">
      <c r="A506" s="2">
        <v>3.0</v>
      </c>
      <c r="B506" s="2" t="s">
        <v>1502</v>
      </c>
      <c r="C506" s="2" t="s">
        <v>1503</v>
      </c>
      <c r="D506" s="2" t="s">
        <v>42</v>
      </c>
      <c r="E506" s="2" t="s">
        <v>21</v>
      </c>
      <c r="F506" s="2" t="s">
        <v>15</v>
      </c>
      <c r="G506" s="2" t="s">
        <v>1023</v>
      </c>
      <c r="H506" s="2" t="s">
        <v>56</v>
      </c>
      <c r="I506" s="2" t="str">
        <f>IFERROR(__xludf.DUMMYFUNCTION("GOOGLETRANSLATE(C506,""fr"",""en"")"),"I am satisfied with the service. I have not yet used the Auto Apart Police for Ice Broke but so far everything is fine. The service by phone is very good, the application I still haven't found it.")</f>
        <v>I am satisfied with the service. I have not yet used the Auto Apart Police for Ice Broke but so far everything is fine. The service by phone is very good, the application I still haven't found it.</v>
      </c>
    </row>
    <row r="507" ht="15.75" customHeight="1">
      <c r="A507" s="2">
        <v>2.0</v>
      </c>
      <c r="B507" s="2" t="s">
        <v>1504</v>
      </c>
      <c r="C507" s="2" t="s">
        <v>1505</v>
      </c>
      <c r="D507" s="2" t="s">
        <v>129</v>
      </c>
      <c r="E507" s="2" t="s">
        <v>21</v>
      </c>
      <c r="F507" s="2" t="s">
        <v>15</v>
      </c>
      <c r="G507" s="2" t="s">
        <v>446</v>
      </c>
      <c r="H507" s="2" t="s">
        <v>62</v>
      </c>
      <c r="I507" s="2" t="str">
        <f>IFERROR(__xludf.DUMMYFUNCTION("GOOGLETRANSLATE(C507,""fr"",""en"")"),"A damage on my parking vehicle was not selected because of a young zealous expert who can be understood for his career ... I had to do with a wall with spurs no doubt. was pressed ... said this young expert .... while it is a vehicle that hung, agricultur"&amp;"al machine surely I am in the campaign. What I regret is that the human GMF drops its insured persons happy to let the choice to repair or not to the experts ... I will leave this insurance certainly not for the best, they are money machines but at least "&amp;"I will have the satisfaction not to leave him any more money ... About money we did not have a discount, consequence of the covid ... positive the telephone reception is very pleasant. Clear listening and explanation. No illusion on a response known in ad"&amp;"vance the ease is there, shelter behind the expertise without imagining that there can be incompetence as everywhere.")</f>
        <v>A damage on my parking vehicle was not selected because of a young zealous expert who can be understood for his career ... I had to do with a wall with spurs no doubt. was pressed ... said this young expert .... while it is a vehicle that hung, agricultural machine surely I am in the campaign. What I regret is that the human GMF drops its insured persons happy to let the choice to repair or not to the experts ... I will leave this insurance certainly not for the best, they are money machines but at least I will have the satisfaction not to leave him any more money ... About money we did not have a discount, consequence of the covid ... positive the telephone reception is very pleasant. Clear listening and explanation. No illusion on a response known in advance the ease is there, shelter behind the expertise without imagining that there can be incompetence as everywhere.</v>
      </c>
    </row>
    <row r="508" ht="15.75" customHeight="1">
      <c r="A508" s="2">
        <v>4.0</v>
      </c>
      <c r="B508" s="2" t="s">
        <v>1506</v>
      </c>
      <c r="C508" s="2" t="s">
        <v>1507</v>
      </c>
      <c r="D508" s="2" t="s">
        <v>32</v>
      </c>
      <c r="E508" s="2" t="s">
        <v>21</v>
      </c>
      <c r="F508" s="2" t="s">
        <v>15</v>
      </c>
      <c r="G508" s="2" t="s">
        <v>1508</v>
      </c>
      <c r="H508" s="2" t="s">
        <v>29</v>
      </c>
      <c r="I508" s="2" t="str">
        <f>IFERROR(__xludf.DUMMYFUNCTION("GOOGLETRANSLATE(C508,""fr"",""en"")"),"Excellent commercial proposal. Very good price/services ratio. Already customer at Direct Insurance (Housing Contract). And previously with an auto insurance contract, terminated for other more interesting proposal at the time.")</f>
        <v>Excellent commercial proposal. Very good price/services ratio. Already customer at Direct Insurance (Housing Contract). And previously with an auto insurance contract, terminated for other more interesting proposal at the time.</v>
      </c>
    </row>
    <row r="509" ht="15.75" customHeight="1">
      <c r="A509" s="2">
        <v>2.0</v>
      </c>
      <c r="B509" s="2" t="s">
        <v>1509</v>
      </c>
      <c r="C509" s="2" t="s">
        <v>1510</v>
      </c>
      <c r="D509" s="2" t="s">
        <v>1511</v>
      </c>
      <c r="E509" s="2" t="s">
        <v>60</v>
      </c>
      <c r="F509" s="2" t="s">
        <v>15</v>
      </c>
      <c r="G509" s="2" t="s">
        <v>1512</v>
      </c>
      <c r="H509" s="2" t="s">
        <v>598</v>
      </c>
      <c r="I509" s="2" t="str">
        <f>IFERROR(__xludf.DUMMYFUNCTION("GOOGLETRANSLATE(C509,""fr"",""en"")"),"I signal a peyrac assurance a claim for theft of motorcycle equipment in a garage. A week after an expert phone me to assess my motorcycle with a whole list of damage I remind you of Peyrac assurance who tells me that my email of claim was misinterpreted "&amp;"by the advisor at Peyrac Insurance, list of damage or y Exit, with the right registration. In addition I had to justify that my motorcycle had not been stolen if not theft registration on my insurance of insurance information.
Following his Peyrac Insu"&amp;"rance sends me an email with formal notice for the last revival, while I discover the situation. He asked me for all my documents relating to the creation of the insurance contract, after 8 months, driving license, home certificate, etc.
I ask them if "&amp;"they lost my file. Answer no, you have never sent the documents. However, I have my green card and a my insurance contract.
And Peyrac Insurance adds from harsh the documents send you had to pay 95 EUR in addition to your subscription. Otherwise terminat"&amp;"ion for non -payment of insurance.
")</f>
        <v>I signal a peyrac assurance a claim for theft of motorcycle equipment in a garage. A week after an expert phone me to assess my motorcycle with a whole list of damage I remind you of Peyrac assurance who tells me that my email of claim was misinterpreted by the advisor at Peyrac Insurance, list of damage or y Exit, with the right registration. In addition I had to justify that my motorcycle had not been stolen if not theft registration on my insurance of insurance information.
Following his Peyrac Insurance sends me an email with formal notice for the last revival, while I discover the situation. He asked me for all my documents relating to the creation of the insurance contract, after 8 months, driving license, home certificate, etc.
I ask them if they lost my file. Answer no, you have never sent the documents. However, I have my green card and a my insurance contract.
And Peyrac Insurance adds from harsh the documents send you had to pay 95 EUR in addition to your subscription. Otherwise termination for non -payment of insurance.
</v>
      </c>
    </row>
    <row r="510" ht="15.75" customHeight="1">
      <c r="A510" s="2">
        <v>1.0</v>
      </c>
      <c r="B510" s="2" t="s">
        <v>1513</v>
      </c>
      <c r="C510" s="2" t="s">
        <v>1514</v>
      </c>
      <c r="D510" s="2" t="s">
        <v>169</v>
      </c>
      <c r="E510" s="2" t="s">
        <v>82</v>
      </c>
      <c r="F510" s="2" t="s">
        <v>15</v>
      </c>
      <c r="G510" s="2" t="s">
        <v>398</v>
      </c>
      <c r="H510" s="2" t="s">
        <v>48</v>
      </c>
      <c r="I510" s="2" t="str">
        <f>IFERROR(__xludf.DUMMYFUNCTION("GOOGLETRANSLATE(C510,""fr"",""en"")"),"After warning this mutual pseudo of my mom's death, the latter does not hesitate to continue the samples this is inadmissible and inhuman he should review the definition of the word
No empathy nothing human moreover I try to reach a person supposed to an"&amp;"swer the phone but they do not answer
Flee this mutual insurance as the plague")</f>
        <v>After warning this mutual pseudo of my mom's death, the latter does not hesitate to continue the samples this is inadmissible and inhuman he should review the definition of the word
No empathy nothing human moreover I try to reach a person supposed to answer the phone but they do not answer
Flee this mutual insurance as the plague</v>
      </c>
    </row>
    <row r="511" ht="15.75" customHeight="1">
      <c r="A511" s="2">
        <v>1.0</v>
      </c>
      <c r="B511" s="2" t="s">
        <v>1515</v>
      </c>
      <c r="C511" s="2" t="s">
        <v>1516</v>
      </c>
      <c r="D511" s="2" t="s">
        <v>20</v>
      </c>
      <c r="E511" s="2" t="s">
        <v>33</v>
      </c>
      <c r="F511" s="2" t="s">
        <v>15</v>
      </c>
      <c r="G511" s="2" t="s">
        <v>1470</v>
      </c>
      <c r="H511" s="2" t="s">
        <v>287</v>
      </c>
      <c r="I511" s="2" t="str">
        <f>IFERROR(__xludf.DUMMYFUNCTION("GOOGLETRANSLATE(C511,""fr"",""en"")"),"I write this return of experience to the attention of anyone who would consider subscribing to home insurance at MAIF. The countless opinions present on this site also confirm that this experience is far from an isolated case.
Last year, I note an unju"&amp;"stified consumption of water and contacts the Maif so that it tells me the good step to follow. In accordance with their indications, I contact a plumber who is looking for a leak, locates and repairs it.
Once the work is completed, I ask MAIF for the "&amp;"care of the claim. It was almost 7 months ago!
Maif mandates an expert. This one, sympathetic and objective, intervened at home and was able to see the materiality of the repair work carried out. However, it is on the grounds that this materiality is n"&amp;"ot proven that the MAIF refuses to compensate me.
I then make a complaint.
3 months flow.
I finally receive an answer. And there, surprise! MAIF obviously maintains its refusal, but this time motivates it with a completely different reason! The m"&amp;"ateriality of the facts is no longer questioned, but the claim would not take the accidental nature necessary for care!
I have of course formulated a new complaint, which remains to this day unanswered.
I invite you to ask you. Who would like such "&amp;"""insurance""?
An ""insurance"" which offers contemptuous interlocutors, probably commissioned to the numbers of disaster members, at each stage, which they manage to discourage.
An ""insurance"" which subjects her contractors to a real obstacle course,"&amp;" knowingly strewn with pitfalls and in bad faith which she raises to the rank of institution.
An ""insurance"" which deploys great efforts, not to help its victims, but to emerge from its contractual obligations, even if it means being ridiculed by chang"&amp;"ing the pretext along the way.
Who would like it?
Isn't the offer for home insurance so vast, aren't the various players so many to stop your choice on Maif?")</f>
        <v>I write this return of experience to the attention of anyone who would consider subscribing to home insurance at MAIF. The countless opinions present on this site also confirm that this experience is far from an isolated case.
Last year, I note an unjustified consumption of water and contacts the Maif so that it tells me the good step to follow. In accordance with their indications, I contact a plumber who is looking for a leak, locates and repairs it.
Once the work is completed, I ask MAIF for the care of the claim. It was almost 7 months ago!
Maif mandates an expert. This one, sympathetic and objective, intervened at home and was able to see the materiality of the repair work carried out. However, it is on the grounds that this materiality is not proven that the MAIF refuses to compensate me.
I then make a complaint.
3 months flow.
I finally receive an answer. And there, surprise! MAIF obviously maintains its refusal, but this time motivates it with a completely different reason! The materiality of the facts is no longer questioned, but the claim would not take the accidental nature necessary for care!
I have of course formulated a new complaint, which remains to this day unanswered.
I invite you to ask you. Who would like such "insurance"?
An "insurance" which offers contemptuous interlocutors, probably commissioned to the numbers of disaster members, at each stage, which they manage to discourage.
An "insurance" which subjects her contractors to a real obstacle course, knowingly strewn with pitfalls and in bad faith which she raises to the rank of institution.
An "insurance" which deploys great efforts, not to help its victims, but to emerge from its contractual obligations, even if it means being ridiculed by changing the pretext along the way.
Who would like it?
Isn't the offer for home insurance so vast, aren't the various players so many to stop your choice on Maif?</v>
      </c>
    </row>
    <row r="512" ht="15.75" customHeight="1">
      <c r="A512" s="2">
        <v>1.0</v>
      </c>
      <c r="B512" s="2" t="s">
        <v>1517</v>
      </c>
      <c r="C512" s="2" t="s">
        <v>1518</v>
      </c>
      <c r="D512" s="2" t="s">
        <v>303</v>
      </c>
      <c r="E512" s="2" t="s">
        <v>33</v>
      </c>
      <c r="F512" s="2" t="s">
        <v>15</v>
      </c>
      <c r="G512" s="2" t="s">
        <v>1519</v>
      </c>
      <c r="H512" s="2" t="s">
        <v>74</v>
      </c>
      <c r="I512" s="2" t="str">
        <f>IFERROR(__xludf.DUMMYFUNCTION("GOOGLETRANSLATE(C512,""fr"",""en"")"),"The Macif makes dead and does not respond to my registered mail and continues to take the deadlines! ! This insurer should review its communication and be more respectful of customers")</f>
        <v>The Macif makes dead and does not respond to my registered mail and continues to take the deadlines! ! This insurer should review its communication and be more respectful of customers</v>
      </c>
    </row>
    <row r="513" ht="15.75" customHeight="1">
      <c r="A513" s="2">
        <v>5.0</v>
      </c>
      <c r="B513" s="2" t="s">
        <v>1520</v>
      </c>
      <c r="C513" s="2" t="s">
        <v>1521</v>
      </c>
      <c r="D513" s="2" t="s">
        <v>65</v>
      </c>
      <c r="E513" s="2" t="s">
        <v>60</v>
      </c>
      <c r="F513" s="2" t="s">
        <v>15</v>
      </c>
      <c r="G513" s="2" t="s">
        <v>1133</v>
      </c>
      <c r="H513" s="2" t="s">
        <v>29</v>
      </c>
      <c r="I513" s="2" t="str">
        <f>IFERROR(__xludf.DUMMYFUNCTION("GOOGLETRANSLATE(C513,""fr"",""en"")"),"I am satisfied with the service. Assurance that I already know and who I trust. The prices are super affordable and the follow -up. I will recommend to my friends")</f>
        <v>I am satisfied with the service. Assurance that I already know and who I trust. The prices are super affordable and the follow -up. I will recommend to my friends</v>
      </c>
    </row>
    <row r="514" ht="15.75" customHeight="1">
      <c r="A514" s="2">
        <v>3.0</v>
      </c>
      <c r="B514" s="2" t="s">
        <v>1522</v>
      </c>
      <c r="C514" s="2" t="s">
        <v>1523</v>
      </c>
      <c r="D514" s="2" t="s">
        <v>32</v>
      </c>
      <c r="E514" s="2" t="s">
        <v>21</v>
      </c>
      <c r="F514" s="2" t="s">
        <v>15</v>
      </c>
      <c r="G514" s="2" t="s">
        <v>1524</v>
      </c>
      <c r="H514" s="2" t="s">
        <v>126</v>
      </c>
      <c r="I514" s="2" t="str">
        <f>IFERROR(__xludf.DUMMYFUNCTION("GOOGLETRANSLATE(C514,""fr"",""en"")"),"The price is correct, however we can expect a little more personalized care as a customer at Direct Insurance.
........................
........")</f>
        <v>The price is correct, however we can expect a little more personalized care as a customer at Direct Insurance.
........................
........</v>
      </c>
    </row>
    <row r="515" ht="15.75" customHeight="1">
      <c r="A515" s="2">
        <v>1.0</v>
      </c>
      <c r="B515" s="2" t="s">
        <v>1525</v>
      </c>
      <c r="C515" s="2" t="s">
        <v>1526</v>
      </c>
      <c r="D515" s="2" t="s">
        <v>839</v>
      </c>
      <c r="E515" s="2" t="s">
        <v>157</v>
      </c>
      <c r="F515" s="2" t="s">
        <v>15</v>
      </c>
      <c r="G515" s="2" t="s">
        <v>1527</v>
      </c>
      <c r="H515" s="2" t="s">
        <v>17</v>
      </c>
      <c r="I515" s="2" t="str">
        <f>IFERROR(__xludf.DUMMYFUNCTION("GOOGLETRANSLATE(C515,""fr"",""en"")"),"For three months, Generali responded with requests for documents followed by silence.
The last part requested to finalize the file was provided on August 11, since, total silence.
")</f>
        <v>For three months, Generali responded with requests for documents followed by silence.
The last part requested to finalize the file was provided on August 11, since, total silence.
</v>
      </c>
    </row>
    <row r="516" ht="15.75" customHeight="1">
      <c r="A516" s="2">
        <v>2.0</v>
      </c>
      <c r="B516" s="2" t="s">
        <v>1528</v>
      </c>
      <c r="C516" s="2" t="s">
        <v>1529</v>
      </c>
      <c r="D516" s="2" t="s">
        <v>129</v>
      </c>
      <c r="E516" s="2" t="s">
        <v>33</v>
      </c>
      <c r="F516" s="2" t="s">
        <v>15</v>
      </c>
      <c r="G516" s="2" t="s">
        <v>1530</v>
      </c>
      <c r="H516" s="2" t="s">
        <v>159</v>
      </c>
      <c r="I516" s="2" t="str">
        <f>IFERROR(__xludf.DUMMYFUNCTION("GOOGLETRANSLATE(C516,""fr"",""en"")"),"Do not take out insurance at GMF The price is enticing but the guarantees no. I was stolen my pocket in my coat pocket, he found my keychain, as well as my cni and my all new airpods, you know what I am told, ""well no madam we don't take in Load the chan"&amp;"ge of your lock because you have not been attacked, it is a simple flight (pickpocket) so to make it short and the 2 advisor I have on the phone confirmed to me that I had to have my portrait redone Refunded me. It is stupidity, or wait to be robbed. And "&amp;"that is said to be assurance of PFFF officials. It is sad to wait to get your figure to be reimbursed, but corporal damage will be higher than a lock at € 1086.
Fortunately, I was not attacked especially with a pregnancy in progress.
 ")</f>
        <v>Do not take out insurance at GMF The price is enticing but the guarantees no. I was stolen my pocket in my coat pocket, he found my keychain, as well as my cni and my all new airpods, you know what I am told, "well no madam we don't take in Load the change of your lock because you have not been attacked, it is a simple flight (pickpocket) so to make it short and the 2 advisor I have on the phone confirmed to me that I had to have my portrait redone Refunded me. It is stupidity, or wait to be robbed. And that is said to be assurance of PFFF officials. It is sad to wait to get your figure to be reimbursed, but corporal damage will be higher than a lock at € 1086.
Fortunately, I was not attacked especially with a pregnancy in progress.
 </v>
      </c>
    </row>
    <row r="517" ht="15.75" customHeight="1">
      <c r="A517" s="2">
        <v>4.0</v>
      </c>
      <c r="B517" s="2" t="s">
        <v>1531</v>
      </c>
      <c r="C517" s="2" t="s">
        <v>1532</v>
      </c>
      <c r="D517" s="2" t="s">
        <v>26</v>
      </c>
      <c r="E517" s="2" t="s">
        <v>27</v>
      </c>
      <c r="F517" s="2" t="s">
        <v>15</v>
      </c>
      <c r="G517" s="2" t="s">
        <v>1533</v>
      </c>
      <c r="H517" s="2" t="s">
        <v>52</v>
      </c>
      <c r="I517" s="2" t="str">
        <f>IFERROR(__xludf.DUMMYFUNCTION("GOOGLETRANSLATE(C517,""fr"",""en"")"),"The interlocutor who followed the file showed great kindness, good availability and followed the file well
Reactivity
Listening skills")</f>
        <v>The interlocutor who followed the file showed great kindness, good availability and followed the file well
Reactivity
Listening skills</v>
      </c>
    </row>
    <row r="518" ht="15.75" customHeight="1">
      <c r="A518" s="2">
        <v>1.0</v>
      </c>
      <c r="B518" s="2" t="s">
        <v>1534</v>
      </c>
      <c r="C518" s="2" t="s">
        <v>1535</v>
      </c>
      <c r="D518" s="2" t="s">
        <v>425</v>
      </c>
      <c r="E518" s="2" t="s">
        <v>220</v>
      </c>
      <c r="F518" s="2" t="s">
        <v>15</v>
      </c>
      <c r="G518" s="2" t="s">
        <v>1536</v>
      </c>
      <c r="H518" s="2" t="s">
        <v>305</v>
      </c>
      <c r="I518" s="2" t="str">
        <f>IFERROR(__xludf.DUMMYFUNCTION("GOOGLETRANSLATE(C518,""fr"",""en"")"),"In 2003, I are subscribed to a Madelin retirement plan, to date to recover the small amount of money is the obstacle course! Some clause obliges the BNP Paribas Assurance Cardif to unlock the funds to you, the first time that I was called to their service"&amp;", the request for a part was limited to the copy of the identity document and a simple letter, I post my mail and it is Returned within 28 days response! They tell me that under certain conditions he reimburses and transmitted me a list of clause eligible"&amp;" for reimbursement, everything is well established! For them not for us! So I send another mail with Ar this time! And with all the pieces! And another 2nd time return! So I provide for the 3rd time a letter with a copy of my situation and which respects "&amp;"the clauses of unlocking funds! Just to tell you! The BNP Paribas played its role well! A advice before committing to a contract Read well and take your time!")</f>
        <v>In 2003, I are subscribed to a Madelin retirement plan, to date to recover the small amount of money is the obstacle course! Some clause obliges the BNP Paribas Assurance Cardif to unlock the funds to you, the first time that I was called to their service, the request for a part was limited to the copy of the identity document and a simple letter, I post my mail and it is Returned within 28 days response! They tell me that under certain conditions he reimburses and transmitted me a list of clause eligible for reimbursement, everything is well established! For them not for us! So I send another mail with Ar this time! And with all the pieces! And another 2nd time return! So I provide for the 3rd time a letter with a copy of my situation and which respects the clauses of unlocking funds! Just to tell you! The BNP Paribas played its role well! A advice before committing to a contract Read well and take your time!</v>
      </c>
    </row>
    <row r="519" ht="15.75" customHeight="1">
      <c r="A519" s="2">
        <v>1.0</v>
      </c>
      <c r="B519" s="2" t="s">
        <v>1537</v>
      </c>
      <c r="C519" s="2" t="s">
        <v>1538</v>
      </c>
      <c r="D519" s="2" t="s">
        <v>451</v>
      </c>
      <c r="E519" s="2" t="s">
        <v>82</v>
      </c>
      <c r="F519" s="2" t="s">
        <v>15</v>
      </c>
      <c r="G519" s="2" t="s">
        <v>1539</v>
      </c>
      <c r="H519" s="2" t="s">
        <v>395</v>
      </c>
      <c r="I519" s="2" t="str">
        <f>IFERROR(__xludf.DUMMYFUNCTION("GOOGLETRANSLATE(C519,""fr"",""en"")"),"1Hoo to reach them by phone.
Sending a hospital quote, no care response.
There is no trace, on the site, of your request for care so no evidence.
Do not have the documents sent")</f>
        <v>1Hoo to reach them by phone.
Sending a hospital quote, no care response.
There is no trace, on the site, of your request for care so no evidence.
Do not have the documents sent</v>
      </c>
    </row>
    <row r="520" ht="15.75" customHeight="1">
      <c r="A520" s="2">
        <v>2.0</v>
      </c>
      <c r="B520" s="2" t="s">
        <v>1540</v>
      </c>
      <c r="C520" s="2" t="s">
        <v>1541</v>
      </c>
      <c r="D520" s="2" t="s">
        <v>42</v>
      </c>
      <c r="E520" s="2" t="s">
        <v>21</v>
      </c>
      <c r="F520" s="2" t="s">
        <v>15</v>
      </c>
      <c r="G520" s="2" t="s">
        <v>1542</v>
      </c>
      <c r="H520" s="2" t="s">
        <v>474</v>
      </c>
      <c r="I520" s="2" t="str">
        <f>IFERROR(__xludf.DUMMYFUNCTION("GOOGLETRANSLATE(C520,""fr"",""en"")"),"Very bad experience with advisers from the time of subscription. The ""welcome"" email asked me for documents different from those appearing on the specific provisions that I had to sign and initial. Error on their part and for which I wanted to priced me"&amp;" 15 euros for writing an amendment.")</f>
        <v>Very bad experience with advisers from the time of subscription. The "welcome" email asked me for documents different from those appearing on the specific provisions that I had to sign and initial. Error on their part and for which I wanted to priced me 15 euros for writing an amendment.</v>
      </c>
    </row>
    <row r="521" ht="15.75" customHeight="1">
      <c r="A521" s="2">
        <v>1.0</v>
      </c>
      <c r="B521" s="2" t="s">
        <v>1543</v>
      </c>
      <c r="C521" s="2" t="s">
        <v>1544</v>
      </c>
      <c r="D521" s="2" t="s">
        <v>656</v>
      </c>
      <c r="E521" s="2" t="s">
        <v>14</v>
      </c>
      <c r="F521" s="2" t="s">
        <v>15</v>
      </c>
      <c r="G521" s="2" t="s">
        <v>114</v>
      </c>
      <c r="H521" s="2" t="s">
        <v>115</v>
      </c>
      <c r="I521" s="2" t="str">
        <f>IFERROR(__xludf.DUMMYFUNCTION("GOOGLETRANSLATE(C521,""fr"",""en"")"),"A company that is forcing to make you subscribe by phone and does not give you time to read the contract ... really unacceptable to be treated in this way!")</f>
        <v>A company that is forcing to make you subscribe by phone and does not give you time to read the contract ... really unacceptable to be treated in this way!</v>
      </c>
    </row>
    <row r="522" ht="15.75" customHeight="1">
      <c r="A522" s="2">
        <v>5.0</v>
      </c>
      <c r="B522" s="2" t="s">
        <v>1545</v>
      </c>
      <c r="C522" s="2" t="s">
        <v>1546</v>
      </c>
      <c r="D522" s="2" t="s">
        <v>42</v>
      </c>
      <c r="E522" s="2" t="s">
        <v>21</v>
      </c>
      <c r="F522" s="2" t="s">
        <v>15</v>
      </c>
      <c r="G522" s="2" t="s">
        <v>1026</v>
      </c>
      <c r="H522" s="2" t="s">
        <v>56</v>
      </c>
      <c r="I522" s="2" t="str">
        <f>IFERROR(__xludf.DUMMYFUNCTION("GOOGLETRANSLATE(C522,""fr"",""en"")"),"Very effective and we plan to ensure other vehicles. Competitive price. Professionalism and kindness of contacts by phone that listen to you.")</f>
        <v>Very effective and we plan to ensure other vehicles. Competitive price. Professionalism and kindness of contacts by phone that listen to you.</v>
      </c>
    </row>
    <row r="523" ht="15.75" customHeight="1">
      <c r="A523" s="2">
        <v>3.0</v>
      </c>
      <c r="B523" s="2" t="s">
        <v>1547</v>
      </c>
      <c r="C523" s="2" t="s">
        <v>1548</v>
      </c>
      <c r="D523" s="2" t="s">
        <v>72</v>
      </c>
      <c r="E523" s="2" t="s">
        <v>33</v>
      </c>
      <c r="F523" s="2" t="s">
        <v>15</v>
      </c>
      <c r="G523" s="2" t="s">
        <v>1549</v>
      </c>
      <c r="H523" s="2" t="s">
        <v>474</v>
      </c>
      <c r="I523" s="2" t="str">
        <f>IFERROR(__xludf.DUMMYFUNCTION("GOOGLETRANSLATE(C523,""fr"",""en"")"),"I was robbed by the cunning on 09/28/2018 without violence without violence on my person or an occupant in my accommodation.
According to article 17 the conditions for putting the flight guarantee into play were therefore not met.
The expert estimated t"&amp;"he residual value of stolen goods on 11/10/2018.
However considering the confidence that I have shown since 1985 as a member.
I was compensated in full of this claim on 01/24/2019.
I sincerely thank for the care of this burglary.")</f>
        <v>I was robbed by the cunning on 09/28/2018 without violence without violence on my person or an occupant in my accommodation.
According to article 17 the conditions for putting the flight guarantee into play were therefore not met.
The expert estimated the residual value of stolen goods on 11/10/2018.
However considering the confidence that I have shown since 1985 as a member.
I was compensated in full of this claim on 01/24/2019.
I sincerely thank for the care of this burglary.</v>
      </c>
    </row>
    <row r="524" ht="15.75" customHeight="1">
      <c r="A524" s="2">
        <v>2.0</v>
      </c>
      <c r="B524" s="2" t="s">
        <v>1550</v>
      </c>
      <c r="C524" s="2" t="s">
        <v>1551</v>
      </c>
      <c r="D524" s="2" t="s">
        <v>32</v>
      </c>
      <c r="E524" s="2" t="s">
        <v>21</v>
      </c>
      <c r="F524" s="2" t="s">
        <v>15</v>
      </c>
      <c r="G524" s="2" t="s">
        <v>111</v>
      </c>
      <c r="H524" s="2" t="s">
        <v>52</v>
      </c>
      <c r="I524" s="2" t="str">
        <f>IFERROR(__xludf.DUMMYFUNCTION("GOOGLETRANSLATE(C524,""fr"",""en"")"),"Very disappointed with this insurance. They refused to assure me years ago simply because my spouse of the moment had alcohol problems. Result, I had to find insurance in 24 hours and they only reimbursed me half of what I had paid for 1 week of insurance"&amp;" !! A shame this insurance !!!")</f>
        <v>Very disappointed with this insurance. They refused to assure me years ago simply because my spouse of the moment had alcohol problems. Result, I had to find insurance in 24 hours and they only reimbursed me half of what I had paid for 1 week of insurance !! A shame this insurance !!!</v>
      </c>
    </row>
    <row r="525" ht="15.75" customHeight="1">
      <c r="A525" s="2">
        <v>4.0</v>
      </c>
      <c r="B525" s="2" t="s">
        <v>1552</v>
      </c>
      <c r="C525" s="2" t="s">
        <v>1553</v>
      </c>
      <c r="D525" s="2" t="s">
        <v>42</v>
      </c>
      <c r="E525" s="2" t="s">
        <v>21</v>
      </c>
      <c r="F525" s="2" t="s">
        <v>15</v>
      </c>
      <c r="G525" s="2" t="s">
        <v>1338</v>
      </c>
      <c r="H525" s="2" t="s">
        <v>464</v>
      </c>
      <c r="I525" s="2" t="str">
        <f>IFERROR(__xludf.DUMMYFUNCTION("GOOGLETRANSLATE(C525,""fr"",""en"")"),"I am satisfied with the service and good listening to customer service. The prices are advantaged and that's why I chose this car insurance.")</f>
        <v>I am satisfied with the service and good listening to customer service. The prices are advantaged and that's why I chose this car insurance.</v>
      </c>
    </row>
    <row r="526" ht="15.75" customHeight="1">
      <c r="A526" s="2">
        <v>1.0</v>
      </c>
      <c r="B526" s="2" t="s">
        <v>1554</v>
      </c>
      <c r="C526" s="2" t="s">
        <v>1555</v>
      </c>
      <c r="D526" s="2" t="s">
        <v>196</v>
      </c>
      <c r="E526" s="2" t="s">
        <v>82</v>
      </c>
      <c r="F526" s="2" t="s">
        <v>15</v>
      </c>
      <c r="G526" s="2" t="s">
        <v>1169</v>
      </c>
      <c r="H526" s="2" t="s">
        <v>464</v>
      </c>
      <c r="I526" s="2" t="str">
        <f>IFERROR(__xludf.DUMMYFUNCTION("GOOGLETRANSLATE(C526,""fr"",""en"")"),"Despite frequent remarks on this site, harassment by continuous brokers with the same aggressive behaviors. Neoliane apologizes every time but nothing changes. So I deduce that they are an accomplice of this unacceptable procedure. It is just that they he"&amp;"ar that I am already assured elsewhere it is exhausting.")</f>
        <v>Despite frequent remarks on this site, harassment by continuous brokers with the same aggressive behaviors. Neoliane apologizes every time but nothing changes. So I deduce that they are an accomplice of this unacceptable procedure. It is just that they hear that I am already assured elsewhere it is exhausting.</v>
      </c>
    </row>
    <row r="527" ht="15.75" customHeight="1">
      <c r="A527" s="2">
        <v>2.0</v>
      </c>
      <c r="B527" s="2" t="s">
        <v>1556</v>
      </c>
      <c r="C527" s="2" t="s">
        <v>1557</v>
      </c>
      <c r="D527" s="2" t="s">
        <v>32</v>
      </c>
      <c r="E527" s="2" t="s">
        <v>21</v>
      </c>
      <c r="F527" s="2" t="s">
        <v>15</v>
      </c>
      <c r="G527" s="2" t="s">
        <v>1558</v>
      </c>
      <c r="H527" s="2" t="s">
        <v>126</v>
      </c>
      <c r="I527" s="2" t="str">
        <f>IFERROR(__xludf.DUMMYFUNCTION("GOOGLETRANSLATE(C527,""fr"",""en"")"),"It's a bit expensive, how old the car is already old. I am a safe driver, and I hope that the Youdrive system will quickly make the price reductions.")</f>
        <v>It's a bit expensive, how old the car is already old. I am a safe driver, and I hope that the Youdrive system will quickly make the price reductions.</v>
      </c>
    </row>
    <row r="528" ht="15.75" customHeight="1">
      <c r="A528" s="2">
        <v>5.0</v>
      </c>
      <c r="B528" s="2" t="s">
        <v>1559</v>
      </c>
      <c r="C528" s="2" t="s">
        <v>1560</v>
      </c>
      <c r="D528" s="2" t="s">
        <v>135</v>
      </c>
      <c r="E528" s="2" t="s">
        <v>60</v>
      </c>
      <c r="F528" s="2" t="s">
        <v>15</v>
      </c>
      <c r="G528" s="2" t="s">
        <v>55</v>
      </c>
      <c r="H528" s="2" t="s">
        <v>56</v>
      </c>
      <c r="I528" s="2" t="str">
        <f>IFERROR(__xludf.DUMMYFUNCTION("GOOGLETRANSLATE(C528,""fr"",""en"")"),"Simple, fast, clear and above all cheap ... I highly recommend AMV Assurance. Will my car also be assured at AMV? So good road with AMV.")</f>
        <v>Simple, fast, clear and above all cheap ... I highly recommend AMV Assurance. Will my car also be assured at AMV? So good road with AMV.</v>
      </c>
    </row>
    <row r="529" ht="15.75" customHeight="1">
      <c r="A529" s="2">
        <v>5.0</v>
      </c>
      <c r="B529" s="2" t="s">
        <v>1561</v>
      </c>
      <c r="C529" s="2" t="s">
        <v>1562</v>
      </c>
      <c r="D529" s="2" t="s">
        <v>26</v>
      </c>
      <c r="E529" s="2" t="s">
        <v>27</v>
      </c>
      <c r="F529" s="2" t="s">
        <v>15</v>
      </c>
      <c r="G529" s="2" t="s">
        <v>1480</v>
      </c>
      <c r="H529" s="2" t="s">
        <v>48</v>
      </c>
      <c r="I529" s="2" t="str">
        <f>IFERROR(__xludf.DUMMYFUNCTION("GOOGLETRANSLATE(C529,""fr"",""en"")"),"Interesting price
Conditions fulfilling that of most banks
Pleasant welcome and note a very good commercial follow -up by Seraphin (calm, understanding, speech placed ...)")</f>
        <v>Interesting price
Conditions fulfilling that of most banks
Pleasant welcome and note a very good commercial follow -up by Seraphin (calm, understanding, speech placed ...)</v>
      </c>
    </row>
    <row r="530" ht="15.75" customHeight="1">
      <c r="A530" s="2">
        <v>5.0</v>
      </c>
      <c r="B530" s="2" t="s">
        <v>1563</v>
      </c>
      <c r="C530" s="2" t="s">
        <v>1564</v>
      </c>
      <c r="D530" s="2" t="s">
        <v>42</v>
      </c>
      <c r="E530" s="2" t="s">
        <v>21</v>
      </c>
      <c r="F530" s="2" t="s">
        <v>15</v>
      </c>
      <c r="G530" s="2" t="s">
        <v>1565</v>
      </c>
      <c r="H530" s="2" t="s">
        <v>29</v>
      </c>
      <c r="I530" s="2" t="str">
        <f>IFERROR(__xludf.DUMMYFUNCTION("GOOGLETRANSLATE(C530,""fr"",""en"")"),"Very satisfied with the services, unbeatable prices.
The advisers are available and accommodating.
Online platform very easy to use.
I recommend.")</f>
        <v>Very satisfied with the services, unbeatable prices.
The advisers are available and accommodating.
Online platform very easy to use.
I recommend.</v>
      </c>
    </row>
    <row r="531" ht="15.75" customHeight="1">
      <c r="A531" s="2">
        <v>4.0</v>
      </c>
      <c r="B531" s="2" t="s">
        <v>1566</v>
      </c>
      <c r="C531" s="2" t="s">
        <v>1567</v>
      </c>
      <c r="D531" s="2" t="s">
        <v>81</v>
      </c>
      <c r="E531" s="2" t="s">
        <v>82</v>
      </c>
      <c r="F531" s="2" t="s">
        <v>15</v>
      </c>
      <c r="G531" s="2" t="s">
        <v>609</v>
      </c>
      <c r="H531" s="2" t="s">
        <v>166</v>
      </c>
      <c r="I531" s="2" t="str">
        <f>IFERROR(__xludf.DUMMYFUNCTION("GOOGLETRANSLATE(C531,""fr"",""en"")"),"This is a few years old that we are working with you we are very satisfied thank you")</f>
        <v>This is a few years old that we are working with you we are very satisfied thank you</v>
      </c>
    </row>
    <row r="532" ht="15.75" customHeight="1">
      <c r="A532" s="2">
        <v>5.0</v>
      </c>
      <c r="B532" s="2" t="s">
        <v>1568</v>
      </c>
      <c r="C532" s="2" t="s">
        <v>1569</v>
      </c>
      <c r="D532" s="2" t="s">
        <v>42</v>
      </c>
      <c r="E532" s="2" t="s">
        <v>21</v>
      </c>
      <c r="F532" s="2" t="s">
        <v>15</v>
      </c>
      <c r="G532" s="2" t="s">
        <v>1570</v>
      </c>
      <c r="H532" s="2" t="s">
        <v>48</v>
      </c>
      <c r="I532" s="2" t="str">
        <f>IFERROR(__xludf.DUMMYFUNCTION("GOOGLETRANSLATE(C532,""fr"",""en"")"),"I am satisfied with your service I would recommend it to my friends it is fast and easy to understand and easy to fill
I could in the future sponsor my family")</f>
        <v>I am satisfied with your service I would recommend it to my friends it is fast and easy to understand and easy to fill
I could in the future sponsor my family</v>
      </c>
    </row>
    <row r="533" ht="15.75" customHeight="1">
      <c r="A533" s="2">
        <v>3.0</v>
      </c>
      <c r="B533" s="2" t="s">
        <v>1571</v>
      </c>
      <c r="C533" s="2" t="s">
        <v>1572</v>
      </c>
      <c r="D533" s="2" t="s">
        <v>32</v>
      </c>
      <c r="E533" s="2" t="s">
        <v>21</v>
      </c>
      <c r="F533" s="2" t="s">
        <v>15</v>
      </c>
      <c r="G533" s="2" t="s">
        <v>854</v>
      </c>
      <c r="H533" s="2" t="s">
        <v>56</v>
      </c>
      <c r="I533" s="2" t="str">
        <f>IFERROR(__xludf.DUMMYFUNCTION("GOOGLETRANSLATE(C533,""fr"",""en"")"),"I am satisfied with the service, I am satisfied with the price, I am satisfied with the process, I am satisfied with the conditions, I am satisfied with the site")</f>
        <v>I am satisfied with the service, I am satisfied with the price, I am satisfied with the process, I am satisfied with the conditions, I am satisfied with the site</v>
      </c>
    </row>
    <row r="534" ht="15.75" customHeight="1">
      <c r="A534" s="2">
        <v>5.0</v>
      </c>
      <c r="B534" s="2" t="s">
        <v>1573</v>
      </c>
      <c r="C534" s="2" t="s">
        <v>1574</v>
      </c>
      <c r="D534" s="2" t="s">
        <v>196</v>
      </c>
      <c r="E534" s="2" t="s">
        <v>82</v>
      </c>
      <c r="F534" s="2" t="s">
        <v>15</v>
      </c>
      <c r="G534" s="2" t="s">
        <v>1575</v>
      </c>
      <c r="H534" s="2" t="s">
        <v>74</v>
      </c>
      <c r="I534" s="2" t="str">
        <f>IFERROR(__xludf.DUMMYFUNCTION("GOOGLETRANSLATE(C534,""fr"",""en"")"),"No very competitive concern and price for 3 years retired and in ALD price studied and listening advisor and available at any time hospitalized 2 months in clinic I have not spent anything")</f>
        <v>No very competitive concern and price for 3 years retired and in ALD price studied and listening advisor and available at any time hospitalized 2 months in clinic I have not spent anything</v>
      </c>
    </row>
    <row r="535" ht="15.75" customHeight="1">
      <c r="A535" s="2">
        <v>1.0</v>
      </c>
      <c r="B535" s="2" t="s">
        <v>1576</v>
      </c>
      <c r="C535" s="2" t="s">
        <v>1577</v>
      </c>
      <c r="D535" s="2" t="s">
        <v>518</v>
      </c>
      <c r="E535" s="2" t="s">
        <v>60</v>
      </c>
      <c r="F535" s="2" t="s">
        <v>15</v>
      </c>
      <c r="G535" s="2" t="s">
        <v>1578</v>
      </c>
      <c r="H535" s="2" t="s">
        <v>598</v>
      </c>
      <c r="I535" s="2" t="str">
        <f>IFERROR(__xludf.DUMMYFUNCTION("GOOGLETRANSLATE(C535,""fr"",""en"")"),"sinister or I have no wrong expertise and expert in the balance and not in its place motorcycle transalpt in very good condition but from 98 I am former Mecano Moto to retire Right to filling up on value except that the same model on the right corner is 1"&amp;"700th and in addition in Isere I have expressed it to this so -called expert who does not want to hear and since the 3 -Out I have been waiting for my reimbursement and I do not would regain more here")</f>
        <v>sinister or I have no wrong expertise and expert in the balance and not in its place motorcycle transalpt in very good condition but from 98 I am former Mecano Moto to retire Right to filling up on value except that the same model on the right corner is 1700th and in addition in Isere I have expressed it to this so -called expert who does not want to hear and since the 3 -Out I have been waiting for my reimbursement and I do not would regain more here</v>
      </c>
    </row>
    <row r="536" ht="15.75" customHeight="1">
      <c r="A536" s="2">
        <v>4.0</v>
      </c>
      <c r="B536" s="2" t="s">
        <v>1579</v>
      </c>
      <c r="C536" s="2" t="s">
        <v>1580</v>
      </c>
      <c r="D536" s="2" t="s">
        <v>1107</v>
      </c>
      <c r="E536" s="2" t="s">
        <v>14</v>
      </c>
      <c r="F536" s="2" t="s">
        <v>15</v>
      </c>
      <c r="G536" s="2" t="s">
        <v>1581</v>
      </c>
      <c r="H536" s="2" t="s">
        <v>278</v>
      </c>
      <c r="I536" s="2" t="str">
        <f>IFERROR(__xludf.DUMMYFUNCTION("GOOGLETRANSLATE(C536,""fr"",""en"")"),"Top sales service
For reimbursement is really fast, a very low deductible
Very fast subscription and not too much paperwork .......")</f>
        <v>Top sales service
For reimbursement is really fast, a very low deductible
Very fast subscription and not too much paperwork .......</v>
      </c>
    </row>
    <row r="537" ht="15.75" customHeight="1">
      <c r="A537" s="2">
        <v>1.0</v>
      </c>
      <c r="B537" s="2" t="s">
        <v>1582</v>
      </c>
      <c r="C537" s="2" t="s">
        <v>1583</v>
      </c>
      <c r="D537" s="2" t="s">
        <v>477</v>
      </c>
      <c r="E537" s="2" t="s">
        <v>14</v>
      </c>
      <c r="F537" s="2" t="s">
        <v>15</v>
      </c>
      <c r="G537" s="2" t="s">
        <v>1584</v>
      </c>
      <c r="H537" s="2" t="s">
        <v>240</v>
      </c>
      <c r="I537" s="2" t="str">
        <f>IFERROR(__xludf.DUMMYFUNCTION("GOOGLETRANSLATE(C537,""fr"",""en"")"),"Find all the tips not to reimburse")</f>
        <v>Find all the tips not to reimburse</v>
      </c>
    </row>
    <row r="538" ht="15.75" customHeight="1">
      <c r="A538" s="2">
        <v>3.0</v>
      </c>
      <c r="B538" s="2" t="s">
        <v>1585</v>
      </c>
      <c r="C538" s="2" t="s">
        <v>1586</v>
      </c>
      <c r="D538" s="2" t="s">
        <v>1587</v>
      </c>
      <c r="E538" s="2" t="s">
        <v>60</v>
      </c>
      <c r="F538" s="2" t="s">
        <v>15</v>
      </c>
      <c r="G538" s="2" t="s">
        <v>173</v>
      </c>
      <c r="H538" s="2" t="s">
        <v>78</v>
      </c>
      <c r="I538" s="2" t="str">
        <f>IFERROR(__xludf.DUMMYFUNCTION("GOOGLETRANSLATE(C538,""fr"",""en"")"),"After obtaining by the advisor of a so-called derogation, I decide to sign, and my bonus disappears as if by magic, and as soon as we call we come across arrogant people who tell you that it is normal. In short I then decide to terminate this insurance """&amp;"without commitment"" too bad for the loss of 30 euros for termination costs, and I make as requested on the phone by the advisersn a simple email is enough and well not after more than 5 days, I am told to do a recommended. About twenty euros in registrat"&amp;"ion fees, 30 euros in termination, the cost of the registered mail all following the lie of a counselor whose sole purpose is to have you signed.
With Euro Insurance Welcome to the Galère")</f>
        <v>After obtaining by the advisor of a so-called derogation, I decide to sign, and my bonus disappears as if by magic, and as soon as we call we come across arrogant people who tell you that it is normal. In short I then decide to terminate this insurance "without commitment" too bad for the loss of 30 euros for termination costs, and I make as requested on the phone by the advisersn a simple email is enough and well not after more than 5 days, I am told to do a recommended. About twenty euros in registration fees, 30 euros in termination, the cost of the registered mail all following the lie of a counselor whose sole purpose is to have you signed.
With Euro Insurance Welcome to the Galère</v>
      </c>
    </row>
    <row r="539" ht="15.75" customHeight="1">
      <c r="A539" s="2">
        <v>1.0</v>
      </c>
      <c r="B539" s="2" t="s">
        <v>1588</v>
      </c>
      <c r="C539" s="2" t="s">
        <v>1589</v>
      </c>
      <c r="D539" s="2" t="s">
        <v>129</v>
      </c>
      <c r="E539" s="2" t="s">
        <v>33</v>
      </c>
      <c r="F539" s="2" t="s">
        <v>15</v>
      </c>
      <c r="G539" s="2" t="s">
        <v>321</v>
      </c>
      <c r="H539" s="2" t="s">
        <v>104</v>
      </c>
      <c r="I539" s="2" t="str">
        <f>IFERROR(__xludf.DUMMYFUNCTION("GOOGLETRANSLATE(C539,""fr"",""en"")")," Frankly ... Avoid or even flee
+30 years never an incident and I have a blow of the Grele. Pretextent the covid to delay the file and after one year ... the expert passes ..5 min chrono (does not care. .Negligant or even Malohnete).
Of course with tall"&amp;" parties, breakage and leaks .. I was not going to wait 2 years to repair!
 So as on the main residence (house) there is no obligation ""as much as not to ensure"" and especially not at home.
 In 15 years with the economies of all the contracts that I a"&amp;"m terminating I would have recovered what it cost me.
and them .. I am at 6 colleagues of convinced, including fifteen contracts which will be called into question and I hope that it will make snowball")</f>
        <v> Frankly ... Avoid or even flee
+30 years never an incident and I have a blow of the Grele. Pretextent the covid to delay the file and after one year ... the expert passes ..5 min chrono (does not care. .Negligant or even Malohnete).
Of course with tall parties, breakage and leaks .. I was not going to wait 2 years to repair!
 So as on the main residence (house) there is no obligation "as much as not to ensure" and especially not at home.
 In 15 years with the economies of all the contracts that I am terminating I would have recovered what it cost me.
and them .. I am at 6 colleagues of convinced, including fifteen contracts which will be called into question and I hope that it will make snowball</v>
      </c>
    </row>
    <row r="540" ht="15.75" customHeight="1">
      <c r="A540" s="2">
        <v>3.0</v>
      </c>
      <c r="B540" s="2" t="s">
        <v>1590</v>
      </c>
      <c r="C540" s="2" t="s">
        <v>1591</v>
      </c>
      <c r="D540" s="2" t="s">
        <v>32</v>
      </c>
      <c r="E540" s="2" t="s">
        <v>21</v>
      </c>
      <c r="F540" s="2" t="s">
        <v>15</v>
      </c>
      <c r="G540" s="2" t="s">
        <v>1592</v>
      </c>
      <c r="H540" s="2" t="s">
        <v>287</v>
      </c>
      <c r="I540" s="2" t="str">
        <f>IFERROR(__xludf.DUMMYFUNCTION("GOOGLETRANSLATE(C540,""fr"",""en"")"),"The price suits me
I am Sataisfit with Direct Insurance as a price and service
In addition they have an application to follow my insurance contracts
I recommend direct insurance")</f>
        <v>The price suits me
I am Sataisfit with Direct Insurance as a price and service
In addition they have an application to follow my insurance contracts
I recommend direct insurance</v>
      </c>
    </row>
    <row r="541" ht="15.75" customHeight="1">
      <c r="A541" s="2">
        <v>4.0</v>
      </c>
      <c r="B541" s="2" t="s">
        <v>1593</v>
      </c>
      <c r="C541" s="2" t="s">
        <v>1594</v>
      </c>
      <c r="D541" s="2" t="s">
        <v>32</v>
      </c>
      <c r="E541" s="2" t="s">
        <v>21</v>
      </c>
      <c r="F541" s="2" t="s">
        <v>15</v>
      </c>
      <c r="G541" s="2" t="s">
        <v>162</v>
      </c>
      <c r="H541" s="2" t="s">
        <v>62</v>
      </c>
      <c r="I541" s="2" t="str">
        <f>IFERROR(__xludf.DUMMYFUNCTION("GOOGLETRANSLATE(C541,""fr"",""en"")"),"The price is correct and I am above all satisfied to benefit from two free months for my home insurance being already a customer for my car.")</f>
        <v>The price is correct and I am above all satisfied to benefit from two free months for my home insurance being already a customer for my car.</v>
      </c>
    </row>
    <row r="542" ht="15.75" customHeight="1">
      <c r="A542" s="2">
        <v>5.0</v>
      </c>
      <c r="B542" s="2" t="s">
        <v>1595</v>
      </c>
      <c r="C542" s="2" t="s">
        <v>1596</v>
      </c>
      <c r="D542" s="2" t="s">
        <v>129</v>
      </c>
      <c r="E542" s="2" t="s">
        <v>21</v>
      </c>
      <c r="F542" s="2" t="s">
        <v>15</v>
      </c>
      <c r="G542" s="2" t="s">
        <v>62</v>
      </c>
      <c r="H542" s="2" t="s">
        <v>62</v>
      </c>
      <c r="I542" s="2" t="str">
        <f>IFERROR(__xludf.DUMMYFUNCTION("GOOGLETRANSLATE(C542,""fr"",""en"")"),"I am satisfied with the services rendered
Correct insurance price.
Competent and attentive staff.
I would recommend GMF to my friends and acquaintances.
")</f>
        <v>I am satisfied with the services rendered
Correct insurance price.
Competent and attentive staff.
I would recommend GMF to my friends and acquaintances.
</v>
      </c>
    </row>
    <row r="543" ht="15.75" customHeight="1">
      <c r="A543" s="2">
        <v>5.0</v>
      </c>
      <c r="B543" s="2" t="s">
        <v>1597</v>
      </c>
      <c r="C543" s="2" t="s">
        <v>1598</v>
      </c>
      <c r="D543" s="2" t="s">
        <v>42</v>
      </c>
      <c r="E543" s="2" t="s">
        <v>21</v>
      </c>
      <c r="F543" s="2" t="s">
        <v>15</v>
      </c>
      <c r="G543" s="2" t="s">
        <v>1599</v>
      </c>
      <c r="H543" s="2" t="s">
        <v>48</v>
      </c>
      <c r="I543" s="2" t="str">
        <f>IFERROR(__xludf.DUMMYFUNCTION("GOOGLETRANSLATE(C543,""fr"",""en"")"),"The prices are accessible and the site is well done. My car becoming quite old I was looking for insurance with a minimum of correct guarantees for a reasonable price.")</f>
        <v>The prices are accessible and the site is well done. My car becoming quite old I was looking for insurance with a minimum of correct guarantees for a reasonable price.</v>
      </c>
    </row>
    <row r="544" ht="15.75" customHeight="1">
      <c r="A544" s="2">
        <v>1.0</v>
      </c>
      <c r="B544" s="2" t="s">
        <v>1600</v>
      </c>
      <c r="C544" s="2" t="s">
        <v>1601</v>
      </c>
      <c r="D544" s="2" t="s">
        <v>267</v>
      </c>
      <c r="E544" s="2" t="s">
        <v>21</v>
      </c>
      <c r="F544" s="2" t="s">
        <v>15</v>
      </c>
      <c r="G544" s="2" t="s">
        <v>1175</v>
      </c>
      <c r="H544" s="2" t="s">
        <v>1091</v>
      </c>
      <c r="I544" s="2" t="str">
        <f>IFERROR(__xludf.DUMMYFUNCTION("GOOGLETRANSLATE(C544,""fr"",""en"")"),"To simply avoid if you subscribe to a car contract it does not cover you on all my current damage is 25,000euro and I am not reimbursed on their part you have to fight with them before having accused answers")</f>
        <v>To simply avoid if you subscribe to a car contract it does not cover you on all my current damage is 25,000euro and I am not reimbursed on their part you have to fight with them before having accused answers</v>
      </c>
    </row>
    <row r="545" ht="15.75" customHeight="1">
      <c r="A545" s="2">
        <v>1.0</v>
      </c>
      <c r="B545" s="2" t="s">
        <v>1602</v>
      </c>
      <c r="C545" s="2" t="s">
        <v>1603</v>
      </c>
      <c r="D545" s="2" t="s">
        <v>20</v>
      </c>
      <c r="E545" s="2" t="s">
        <v>21</v>
      </c>
      <c r="F545" s="2" t="s">
        <v>15</v>
      </c>
      <c r="G545" s="2" t="s">
        <v>1604</v>
      </c>
      <c r="H545" s="2" t="s">
        <v>315</v>
      </c>
      <c r="I545" s="2" t="str">
        <f>IFERROR(__xludf.DUMMYFUNCTION("GOOGLETRANSLATE(C545,""fr"",""en"")"),"Disappointed and reassembled, after my first car accident accompanied by my son, we passed for a check, we have no bodily damage. The insurer tells me that the simple fact of going to the emergency room was considered proof of bodily injury, in fact he su"&amp;"bmits me a penalty. Is this normal, when there is no bodily damage?")</f>
        <v>Disappointed and reassembled, after my first car accident accompanied by my son, we passed for a check, we have no bodily damage. The insurer tells me that the simple fact of going to the emergency room was considered proof of bodily injury, in fact he submits me a penalty. Is this normal, when there is no bodily damage?</v>
      </c>
    </row>
    <row r="546" ht="15.75" customHeight="1">
      <c r="A546" s="2">
        <v>1.0</v>
      </c>
      <c r="B546" s="2" t="s">
        <v>1605</v>
      </c>
      <c r="C546" s="2" t="s">
        <v>1606</v>
      </c>
      <c r="D546" s="2" t="s">
        <v>20</v>
      </c>
      <c r="E546" s="2" t="s">
        <v>21</v>
      </c>
      <c r="F546" s="2" t="s">
        <v>15</v>
      </c>
      <c r="G546" s="2" t="s">
        <v>1607</v>
      </c>
      <c r="H546" s="2" t="s">
        <v>177</v>
      </c>
      <c r="I546" s="2" t="str">
        <f>IFERROR(__xludf.DUMMYFUNCTION("GOOGLETRANSLATE(C546,""fr"",""en"")"),"MAIF claims to be militant militant and united insurance.
False and Archi False.
A kind of sect managed ....
It's worse than everything.
We refuse to make sure on the phone, without having the courage to write it officially by mail.
")</f>
        <v>MAIF claims to be militant militant and united insurance.
False and Archi False.
A kind of sect managed ....
It's worse than everything.
We refuse to make sure on the phone, without having the courage to write it officially by mail.
</v>
      </c>
    </row>
    <row r="547" ht="15.75" customHeight="1">
      <c r="A547" s="2">
        <v>1.0</v>
      </c>
      <c r="B547" s="2" t="s">
        <v>1608</v>
      </c>
      <c r="C547" s="2" t="s">
        <v>1609</v>
      </c>
      <c r="D547" s="2" t="s">
        <v>42</v>
      </c>
      <c r="E547" s="2" t="s">
        <v>21</v>
      </c>
      <c r="F547" s="2" t="s">
        <v>15</v>
      </c>
      <c r="G547" s="2" t="s">
        <v>1610</v>
      </c>
      <c r="H547" s="2" t="s">
        <v>95</v>
      </c>
      <c r="I547" s="2" t="str">
        <f>IFERROR(__xludf.DUMMYFUNCTION("GOOGLETRANSLATE(C547,""fr"",""en"")"),"I have been insured to a third party for 5 months at the Olivier Insurance. On the road to Paris, I find my vehicle with the small broken front window. Following my Ice Broke, I wanted to see if I was insured so I tried to declare a disaster. Before the e"&amp;"nd of the form, it even put me that I was not insured. I contact the Olivier Insurance to change formula, to spend third parties at any risk. The advisor answers yes, here is the quote, ok. Make pictures of the car. I do it, answer 2 days later: impossibl"&amp;"e to change the formula, you made a declaration of a claim! I answer that I do not understand, an advisor reminds me 10 days later to explain to me that if we declare a disaster, it is impossible to increase your formula afterwards. Neither now, nor the n"&amp;"ext month, nor next year, nor never in fact. Maybe if I change my vehicle or if I take a new one ... and as a bonus, since it's my first year, I can't stop. It's just beautiful! What a bunch of Guignol !!
So impossible for me to be insured any risk today"&amp;" !! The olive assurance, I am not saying thank you")</f>
        <v>I have been insured to a third party for 5 months at the Olivier Insurance. On the road to Paris, I find my vehicle with the small broken front window. Following my Ice Broke, I wanted to see if I was insured so I tried to declare a disaster. Before the end of the form, it even put me that I was not insured. I contact the Olivier Insurance to change formula, to spend third parties at any risk. The advisor answers yes, here is the quote, ok. Make pictures of the car. I do it, answer 2 days later: impossible to change the formula, you made a declaration of a claim! I answer that I do not understand, an advisor reminds me 10 days later to explain to me that if we declare a disaster, it is impossible to increase your formula afterwards. Neither now, nor the next month, nor next year, nor never in fact. Maybe if I change my vehicle or if I take a new one ... and as a bonus, since it's my first year, I can't stop. It's just beautiful! What a bunch of Guignol !!
So impossible for me to be insured any risk today !! The olive assurance, I am not saying thank you</v>
      </c>
    </row>
    <row r="548" ht="15.75" customHeight="1">
      <c r="A548" s="2">
        <v>5.0</v>
      </c>
      <c r="B548" s="2" t="s">
        <v>1611</v>
      </c>
      <c r="C548" s="2" t="s">
        <v>1612</v>
      </c>
      <c r="D548" s="2" t="s">
        <v>42</v>
      </c>
      <c r="E548" s="2" t="s">
        <v>21</v>
      </c>
      <c r="F548" s="2" t="s">
        <v>15</v>
      </c>
      <c r="G548" s="2" t="s">
        <v>1104</v>
      </c>
      <c r="H548" s="2" t="s">
        <v>104</v>
      </c>
      <c r="I548" s="2" t="str">
        <f>IFERROR(__xludf.DUMMYFUNCTION("GOOGLETRANSLATE(C548,""fr"",""en"")"),"The sponsorship also proposed by the advisor is just top thank you very much. Very attractive price. It’s been an insurance for years not to do so much.")</f>
        <v>The sponsorship also proposed by the advisor is just top thank you very much. Very attractive price. It’s been an insurance for years not to do so much.</v>
      </c>
    </row>
    <row r="549" ht="15.75" customHeight="1">
      <c r="A549" s="2">
        <v>4.0</v>
      </c>
      <c r="B549" s="2" t="s">
        <v>1613</v>
      </c>
      <c r="C549" s="2" t="s">
        <v>1614</v>
      </c>
      <c r="D549" s="2" t="s">
        <v>196</v>
      </c>
      <c r="E549" s="2" t="s">
        <v>82</v>
      </c>
      <c r="F549" s="2" t="s">
        <v>15</v>
      </c>
      <c r="G549" s="2" t="s">
        <v>1615</v>
      </c>
      <c r="H549" s="2" t="s">
        <v>464</v>
      </c>
      <c r="I549" s="2" t="str">
        <f>IFERROR(__xludf.DUMMYFUNCTION("GOOGLETRANSLATE(C549,""fr"",""en"")"),"The person I had in order to help me in my efforts, Mr Pope, informed me and guided me in my efforts. He was reactive and clear in his explanations.")</f>
        <v>The person I had in order to help me in my efforts, Mr Pope, informed me and guided me in my efforts. He was reactive and clear in his explanations.</v>
      </c>
    </row>
    <row r="550" ht="15.75" customHeight="1">
      <c r="A550" s="2">
        <v>1.0</v>
      </c>
      <c r="B550" s="2" t="s">
        <v>1616</v>
      </c>
      <c r="C550" s="2" t="s">
        <v>1617</v>
      </c>
      <c r="D550" s="2" t="s">
        <v>72</v>
      </c>
      <c r="E550" s="2" t="s">
        <v>21</v>
      </c>
      <c r="F550" s="2" t="s">
        <v>15</v>
      </c>
      <c r="G550" s="2" t="s">
        <v>1618</v>
      </c>
      <c r="H550" s="2" t="s">
        <v>177</v>
      </c>
      <c r="I550" s="2" t="str">
        <f>IFERROR(__xludf.DUMMYFUNCTION("GOOGLETRANSLATE(C550,""fr"",""en"")"),"Good evening,
I agree with you, I too have concerns with the Matmut I have also been insured for 10 years in tourism, I recently had a shine on my windshield that I had replaced a garage no Approved (in the precipitation), it cost me € 896, a week spen"&amp;"ds two weeks, I got back in touch with my insurance which tells me that the file and in progress (for the reimbursement of the invoice) I receive a Mail of a mandated cabinet which must check the windshield, if it has really been replaced, no problem, the"&amp;" expert explains to me that there is a lot of fraud on repairs or change of windshields, in What concerns me mine has been changed, the expert tells me ok it is good for me that he checks the bill and that he validates, the next day I receive a new Matmut"&amp;" email that wants me to present him Banking proof with my account statement which proves that I have paid the mechanic well.
The invoice was presented, the mandated expert found that the windshield has been changed and there I am asked for my account sta"&amp;"tement ... what is what is ????
I went back against insurance that uses all means so that it will reimburse as late as possible.
Clearly strongly the end of the year that your competitors are part of your competitors who will be clearly more reactive an"&amp;"d less intrusive.
")</f>
        <v>Good evening,
I agree with you, I too have concerns with the Matmut I have also been insured for 10 years in tourism, I recently had a shine on my windshield that I had replaced a garage no Approved (in the precipitation), it cost me € 896, a week spends two weeks, I got back in touch with my insurance which tells me that the file and in progress (for the reimbursement of the invoice) I receive a Mail of a mandated cabinet which must check the windshield, if it has really been replaced, no problem, the expert explains to me that there is a lot of fraud on repairs or change of windshields, in What concerns me mine has been changed, the expert tells me ok it is good for me that he checks the bill and that he validates, the next day I receive a new Matmut email that wants me to present him Banking proof with my account statement which proves that I have paid the mechanic well.
The invoice was presented, the mandated expert found that the windshield has been changed and there I am asked for my account statement ... what is what is ????
I went back against insurance that uses all means so that it will reimburse as late as possible.
Clearly strongly the end of the year that your competitors are part of your competitors who will be clearly more reactive and less intrusive.
</v>
      </c>
    </row>
    <row r="551" ht="15.75" customHeight="1">
      <c r="A551" s="2">
        <v>5.0</v>
      </c>
      <c r="B551" s="2" t="s">
        <v>1619</v>
      </c>
      <c r="C551" s="2" t="s">
        <v>1620</v>
      </c>
      <c r="D551" s="2" t="s">
        <v>42</v>
      </c>
      <c r="E551" s="2" t="s">
        <v>21</v>
      </c>
      <c r="F551" s="2" t="s">
        <v>15</v>
      </c>
      <c r="G551" s="2" t="s">
        <v>1621</v>
      </c>
      <c r="H551" s="2" t="s">
        <v>52</v>
      </c>
      <c r="I551" s="2" t="str">
        <f>IFERROR(__xludf.DUMMYFUNCTION("GOOGLETRANSLATE(C551,""fr"",""en"")"),"I am very happy. I am very happy. I am very happy. I am very happy. I am very happy. I am very happy. I am very happy.")</f>
        <v>I am very happy. I am very happy. I am very happy. I am very happy. I am very happy. I am very happy. I am very happy.</v>
      </c>
    </row>
    <row r="552" ht="15.75" customHeight="1">
      <c r="A552" s="2">
        <v>5.0</v>
      </c>
      <c r="B552" s="2" t="s">
        <v>1622</v>
      </c>
      <c r="C552" s="2" t="s">
        <v>1623</v>
      </c>
      <c r="D552" s="2" t="s">
        <v>135</v>
      </c>
      <c r="E552" s="2" t="s">
        <v>60</v>
      </c>
      <c r="F552" s="2" t="s">
        <v>15</v>
      </c>
      <c r="G552" s="2" t="s">
        <v>1624</v>
      </c>
      <c r="H552" s="2" t="s">
        <v>56</v>
      </c>
      <c r="I552" s="2" t="str">
        <f>IFERROR(__xludf.DUMMYFUNCTION("GOOGLETRANSLATE(C552,""fr"",""en"")"),"Impeccable, fast and efficient service. I recommend this insurer.
In two stages, three movements you are easily assured.
Nickel site. Good value for money")</f>
        <v>Impeccable, fast and efficient service. I recommend this insurer.
In two stages, three movements you are easily assured.
Nickel site. Good value for money</v>
      </c>
    </row>
    <row r="553" ht="15.75" customHeight="1">
      <c r="A553" s="2">
        <v>4.0</v>
      </c>
      <c r="B553" s="2" t="s">
        <v>1625</v>
      </c>
      <c r="C553" s="2" t="s">
        <v>1626</v>
      </c>
      <c r="D553" s="2" t="s">
        <v>32</v>
      </c>
      <c r="E553" s="2" t="s">
        <v>21</v>
      </c>
      <c r="F553" s="2" t="s">
        <v>15</v>
      </c>
      <c r="G553" s="2" t="s">
        <v>443</v>
      </c>
      <c r="H553" s="2" t="s">
        <v>39</v>
      </c>
      <c r="I553" s="2" t="str">
        <f>IFERROR(__xludf.DUMMYFUNCTION("GOOGLETRANSLATE(C553,""fr"",""en"")"),"I am more than satisfied with the Direct Insurance service. I have been a customer for a long time and do not regret it at the moment. I strongly recommend to all those who are looking for insurance, direct could suit you with more attractive prices.")</f>
        <v>I am more than satisfied with the Direct Insurance service. I have been a customer for a long time and do not regret it at the moment. I strongly recommend to all those who are looking for insurance, direct could suit you with more attractive prices.</v>
      </c>
    </row>
    <row r="554" ht="15.75" customHeight="1">
      <c r="A554" s="2">
        <v>4.0</v>
      </c>
      <c r="B554" s="2" t="s">
        <v>1627</v>
      </c>
      <c r="C554" s="2" t="s">
        <v>1628</v>
      </c>
      <c r="D554" s="2" t="s">
        <v>26</v>
      </c>
      <c r="E554" s="2" t="s">
        <v>27</v>
      </c>
      <c r="F554" s="2" t="s">
        <v>15</v>
      </c>
      <c r="G554" s="2" t="s">
        <v>1225</v>
      </c>
      <c r="H554" s="2" t="s">
        <v>39</v>
      </c>
      <c r="I554" s="2" t="str">
        <f>IFERROR(__xludf.DUMMYFUNCTION("GOOGLETRANSLATE(C554,""fr"",""en"")"),"We really know the insurance service only when we benefit from its guarantees. To see therefore ... As for the price, customer relations and subscription, RAS for the moment. It's even very good :)")</f>
        <v>We really know the insurance service only when we benefit from its guarantees. To see therefore ... As for the price, customer relations and subscription, RAS for the moment. It's even very good :)</v>
      </c>
    </row>
    <row r="555" ht="15.75" customHeight="1">
      <c r="A555" s="2">
        <v>4.0</v>
      </c>
      <c r="B555" s="2" t="s">
        <v>1629</v>
      </c>
      <c r="C555" s="2" t="s">
        <v>1630</v>
      </c>
      <c r="D555" s="2" t="s">
        <v>196</v>
      </c>
      <c r="E555" s="2" t="s">
        <v>82</v>
      </c>
      <c r="F555" s="2" t="s">
        <v>15</v>
      </c>
      <c r="G555" s="2" t="s">
        <v>1631</v>
      </c>
      <c r="H555" s="2" t="s">
        <v>359</v>
      </c>
      <c r="I555" s="2" t="str">
        <f>IFERROR(__xludf.DUMMYFUNCTION("GOOGLETRANSLATE(C555,""fr"",""en"")"),"MS Gwendal Insurer very friendly which very well explained and solved my problem
Thank you very much Ms. Bion Maria")</f>
        <v>MS Gwendal Insurer very friendly which very well explained and solved my problem
Thank you very much Ms. Bion Maria</v>
      </c>
    </row>
    <row r="556" ht="15.75" customHeight="1">
      <c r="A556" s="2">
        <v>2.0</v>
      </c>
      <c r="B556" s="2" t="s">
        <v>1632</v>
      </c>
      <c r="C556" s="2" t="s">
        <v>1633</v>
      </c>
      <c r="D556" s="2" t="s">
        <v>98</v>
      </c>
      <c r="E556" s="2" t="s">
        <v>21</v>
      </c>
      <c r="F556" s="2" t="s">
        <v>15</v>
      </c>
      <c r="G556" s="2" t="s">
        <v>1634</v>
      </c>
      <c r="H556" s="2" t="s">
        <v>260</v>
      </c>
      <c r="I556" s="2" t="str">
        <f>IFERROR(__xludf.DUMMYFUNCTION("GOOGLETRANSLATE(C556,""fr"",""en"")"),"Insurance subscribed yesterday 11 10 2019 at noon and this night receipt of a postdated letter at 11 11 2019 M informing the end of my warranty for non -receipt of the requested documents while I have a month to send them. I sent these supporting document"&amp;"s to the site as well as by email in response to the postdated letter of one month. In view of the comments this error worries me a lot, I hope a quick return on their part. My client number 418305")</f>
        <v>Insurance subscribed yesterday 11 10 2019 at noon and this night receipt of a postdated letter at 11 11 2019 M informing the end of my warranty for non -receipt of the requested documents while I have a month to send them. I sent these supporting documents to the site as well as by email in response to the postdated letter of one month. In view of the comments this error worries me a lot, I hope a quick return on their part. My client number 418305</v>
      </c>
    </row>
    <row r="557" ht="15.75" customHeight="1">
      <c r="A557" s="2">
        <v>5.0</v>
      </c>
      <c r="B557" s="2" t="s">
        <v>1635</v>
      </c>
      <c r="C557" s="2" t="s">
        <v>1636</v>
      </c>
      <c r="D557" s="2" t="s">
        <v>65</v>
      </c>
      <c r="E557" s="2" t="s">
        <v>60</v>
      </c>
      <c r="F557" s="2" t="s">
        <v>15</v>
      </c>
      <c r="G557" s="2" t="s">
        <v>882</v>
      </c>
      <c r="H557" s="2" t="s">
        <v>39</v>
      </c>
      <c r="I557" s="2" t="str">
        <f>IFERROR(__xludf.DUMMYFUNCTION("GOOGLETRANSLATE(C557,""fr"",""en"")"),"Perfect arrives very interesting value for money perfect quick availability very very good insurer I highly recommend it for all 2 wheels users")</f>
        <v>Perfect arrives very interesting value for money perfect quick availability very very good insurer I highly recommend it for all 2 wheels users</v>
      </c>
    </row>
    <row r="558" ht="15.75" customHeight="1">
      <c r="A558" s="2">
        <v>4.0</v>
      </c>
      <c r="B558" s="2" t="s">
        <v>1637</v>
      </c>
      <c r="C558" s="2" t="s">
        <v>1638</v>
      </c>
      <c r="D558" s="2" t="s">
        <v>42</v>
      </c>
      <c r="E558" s="2" t="s">
        <v>21</v>
      </c>
      <c r="F558" s="2" t="s">
        <v>15</v>
      </c>
      <c r="G558" s="2" t="s">
        <v>150</v>
      </c>
      <c r="H558" s="2" t="s">
        <v>151</v>
      </c>
      <c r="I558" s="2" t="str">
        <f>IFERROR(__xludf.DUMMYFUNCTION("GOOGLETRANSLATE(C558,""fr"",""en"")"),"A little disappointed to have been forced to give everything back to my personal information when I had already done it for my previous vehicle. I find it quite tedious")</f>
        <v>A little disappointed to have been forced to give everything back to my personal information when I had already done it for my previous vehicle. I find it quite tedious</v>
      </c>
    </row>
    <row r="559" ht="15.75" customHeight="1">
      <c r="A559" s="2">
        <v>2.0</v>
      </c>
      <c r="B559" s="2" t="s">
        <v>1639</v>
      </c>
      <c r="C559" s="2" t="s">
        <v>1640</v>
      </c>
      <c r="D559" s="2" t="s">
        <v>20</v>
      </c>
      <c r="E559" s="2" t="s">
        <v>33</v>
      </c>
      <c r="F559" s="2" t="s">
        <v>15</v>
      </c>
      <c r="G559" s="2" t="s">
        <v>1641</v>
      </c>
      <c r="H559" s="2" t="s">
        <v>315</v>
      </c>
      <c r="I559" s="2" t="str">
        <f>IFERROR(__xludf.DUMMYFUNCTION("GOOGLETRANSLATE(C559,""fr"",""en"")"),"Excellent customer relations with the metropolis regarding advice, availability, reimbursements, and warm human relations: but as soon as it is a matter of the Guadeloupe agency: communication has proven impossible: a feast position allowable allowable fo"&amp;"r any Discussion, customer relations, interpretation of the facts: you are still wrong: they pass you as liars, limit of crooks. Proven facts out of three people around me. There is no possible dialogue even with the support of the gendarmerie proving my "&amp;"good faith, and for any response Filia-Maif denounces the contract ""due to the alteration of our commercial relationship"".")</f>
        <v>Excellent customer relations with the metropolis regarding advice, availability, reimbursements, and warm human relations: but as soon as it is a matter of the Guadeloupe agency: communication has proven impossible: a feast position allowable allowable for any Discussion, customer relations, interpretation of the facts: you are still wrong: they pass you as liars, limit of crooks. Proven facts out of three people around me. There is no possible dialogue even with the support of the gendarmerie proving my good faith, and for any response Filia-Maif denounces the contract "due to the alteration of our commercial relationship".</v>
      </c>
    </row>
    <row r="560" ht="15.75" customHeight="1">
      <c r="A560" s="2">
        <v>3.0</v>
      </c>
      <c r="B560" s="2" t="s">
        <v>1642</v>
      </c>
      <c r="C560" s="2" t="s">
        <v>1643</v>
      </c>
      <c r="D560" s="2" t="s">
        <v>32</v>
      </c>
      <c r="E560" s="2" t="s">
        <v>21</v>
      </c>
      <c r="F560" s="2" t="s">
        <v>15</v>
      </c>
      <c r="G560" s="2" t="s">
        <v>1592</v>
      </c>
      <c r="H560" s="2" t="s">
        <v>287</v>
      </c>
      <c r="I560" s="2" t="str">
        <f>IFERROR(__xludf.DUMMYFUNCTION("GOOGLETRANSLATE(C560,""fr"",""en"")"),"Easy to use application and clear questions
As for the price one is in comparison in progress but it seems to me reasonable
Case to follow.
")</f>
        <v>Easy to use application and clear questions
As for the price one is in comparison in progress but it seems to me reasonable
Case to follow.
</v>
      </c>
    </row>
    <row r="561" ht="15.75" customHeight="1">
      <c r="A561" s="2">
        <v>4.0</v>
      </c>
      <c r="B561" s="2" t="s">
        <v>1644</v>
      </c>
      <c r="C561" s="2" t="s">
        <v>1645</v>
      </c>
      <c r="D561" s="2" t="s">
        <v>32</v>
      </c>
      <c r="E561" s="2" t="s">
        <v>21</v>
      </c>
      <c r="F561" s="2" t="s">
        <v>15</v>
      </c>
      <c r="G561" s="2" t="s">
        <v>162</v>
      </c>
      <c r="H561" s="2" t="s">
        <v>62</v>
      </c>
      <c r="I561" s="2" t="str">
        <f>IFERROR(__xludf.DUMMYFUNCTION("GOOGLETRANSLATE(C561,""fr"",""en"")"),"I am satisfied and efficient. Easy to do .... I recommend ... we will see in the future I hope you are well ..")</f>
        <v>I am satisfied and efficient. Easy to do .... I recommend ... we will see in the future I hope you are well ..</v>
      </c>
    </row>
    <row r="562" ht="15.75" customHeight="1">
      <c r="A562" s="2">
        <v>4.0</v>
      </c>
      <c r="B562" s="2" t="s">
        <v>1646</v>
      </c>
      <c r="C562" s="2" t="s">
        <v>1647</v>
      </c>
      <c r="D562" s="2" t="s">
        <v>42</v>
      </c>
      <c r="E562" s="2" t="s">
        <v>21</v>
      </c>
      <c r="F562" s="2" t="s">
        <v>15</v>
      </c>
      <c r="G562" s="2" t="s">
        <v>1023</v>
      </c>
      <c r="H562" s="2" t="s">
        <v>56</v>
      </c>
      <c r="I562" s="2" t="str">
        <f>IFERROR(__xludf.DUMMYFUNCTION("GOOGLETRANSLATE(C562,""fr"",""en"")"),"The people I had on the phone before my membership were all very good advice and very friendly.
I find the franchises a little high, I hope I don't need them.")</f>
        <v>The people I had on the phone before my membership were all very good advice and very friendly.
I find the franchises a little high, I hope I don't need them.</v>
      </c>
    </row>
    <row r="563" ht="15.75" customHeight="1">
      <c r="A563" s="2">
        <v>5.0</v>
      </c>
      <c r="B563" s="2" t="s">
        <v>1648</v>
      </c>
      <c r="C563" s="2" t="s">
        <v>1649</v>
      </c>
      <c r="D563" s="2" t="s">
        <v>32</v>
      </c>
      <c r="E563" s="2" t="s">
        <v>21</v>
      </c>
      <c r="F563" s="2" t="s">
        <v>15</v>
      </c>
      <c r="G563" s="2" t="s">
        <v>1650</v>
      </c>
      <c r="H563" s="2" t="s">
        <v>29</v>
      </c>
      <c r="I563" s="2" t="str">
        <f>IFERROR(__xludf.DUMMYFUNCTION("GOOGLETRANSLATE(C563,""fr"",""en"")"),"I am satisfied with the service The prices are very attractive unlike my other insurance
I am delighted with my choice
I hope I will not be disappointed")</f>
        <v>I am satisfied with the service The prices are very attractive unlike my other insurance
I am delighted with my choice
I hope I will not be disappointed</v>
      </c>
    </row>
    <row r="564" ht="15.75" customHeight="1">
      <c r="A564" s="2">
        <v>3.0</v>
      </c>
      <c r="B564" s="2" t="s">
        <v>1651</v>
      </c>
      <c r="C564" s="2" t="s">
        <v>1652</v>
      </c>
      <c r="D564" s="2" t="s">
        <v>32</v>
      </c>
      <c r="E564" s="2" t="s">
        <v>21</v>
      </c>
      <c r="F564" s="2" t="s">
        <v>15</v>
      </c>
      <c r="G564" s="2" t="s">
        <v>1653</v>
      </c>
      <c r="H564" s="2" t="s">
        <v>126</v>
      </c>
      <c r="I564" s="2" t="str">
        <f>IFERROR(__xludf.DUMMYFUNCTION("GOOGLETRANSLATE(C564,""fr"",""en"")"),"Satisfied by the effectiveness of the site and the speed of the quote. To be compared according to the other insurances and the guarantees offered by them. Thanking you.")</f>
        <v>Satisfied by the effectiveness of the site and the speed of the quote. To be compared according to the other insurances and the guarantees offered by them. Thanking you.</v>
      </c>
    </row>
    <row r="565" ht="15.75" customHeight="1">
      <c r="A565" s="2">
        <v>2.0</v>
      </c>
      <c r="B565" s="2" t="s">
        <v>1654</v>
      </c>
      <c r="C565" s="2" t="s">
        <v>1655</v>
      </c>
      <c r="D565" s="2" t="s">
        <v>451</v>
      </c>
      <c r="E565" s="2" t="s">
        <v>82</v>
      </c>
      <c r="F565" s="2" t="s">
        <v>15</v>
      </c>
      <c r="G565" s="2" t="s">
        <v>1656</v>
      </c>
      <c r="H565" s="2" t="s">
        <v>1091</v>
      </c>
      <c r="I565" s="2" t="str">
        <f>IFERROR(__xludf.DUMMYFUNCTION("GOOGLETRANSLATE(C565,""fr"",""en"")"),"to flee !!!!!!! Divorced recently, they omitted to send me a letter, but on the other hand they validated a quote and a care bill, but they freeze the reimbursements of my ex -partner; A solution worthy of the mafia !!!!!!! and in fact ; There is a small "&amp;"detail punishable by law which is called the duty of advice; obviously they do not know; mutual to flee given the mafia methods of this mutual.")</f>
        <v>to flee !!!!!!! Divorced recently, they omitted to send me a letter, but on the other hand they validated a quote and a care bill, but they freeze the reimbursements of my ex -partner; A solution worthy of the mafia !!!!!!! and in fact ; There is a small detail punishable by law which is called the duty of advice; obviously they do not know; mutual to flee given the mafia methods of this mutual.</v>
      </c>
    </row>
    <row r="566" ht="15.75" customHeight="1">
      <c r="A566" s="2">
        <v>2.0</v>
      </c>
      <c r="B566" s="2" t="s">
        <v>1657</v>
      </c>
      <c r="C566" s="2" t="s">
        <v>1658</v>
      </c>
      <c r="D566" s="2" t="s">
        <v>129</v>
      </c>
      <c r="E566" s="2" t="s">
        <v>21</v>
      </c>
      <c r="F566" s="2" t="s">
        <v>15</v>
      </c>
      <c r="G566" s="2" t="s">
        <v>1659</v>
      </c>
      <c r="H566" s="2" t="s">
        <v>866</v>
      </c>
      <c r="I566" s="2" t="str">
        <f>IFERROR(__xludf.DUMMYFUNCTION("GOOGLETRANSLATE(C566,""fr"",""en"")"),"I don't know what to do anymore, it's been 4 times that I call the platforms, (for a refund of too perceived), each time I am told that this time will be good but since January I have still seen nothing Trop-vis.")</f>
        <v>I don't know what to do anymore, it's been 4 times that I call the platforms, (for a refund of too perceived), each time I am told that this time will be good but since January I have still seen nothing Trop-vis.</v>
      </c>
    </row>
    <row r="567" ht="15.75" customHeight="1">
      <c r="A567" s="2">
        <v>4.0</v>
      </c>
      <c r="B567" s="2" t="s">
        <v>1660</v>
      </c>
      <c r="C567" s="2" t="s">
        <v>1661</v>
      </c>
      <c r="D567" s="2" t="s">
        <v>42</v>
      </c>
      <c r="E567" s="2" t="s">
        <v>21</v>
      </c>
      <c r="F567" s="2" t="s">
        <v>15</v>
      </c>
      <c r="G567" s="2" t="s">
        <v>1234</v>
      </c>
      <c r="H567" s="2" t="s">
        <v>39</v>
      </c>
      <c r="I567" s="2" t="str">
        <f>IFERROR(__xludf.DUMMYFUNCTION("GOOGLETRANSLATE(C567,""fr"",""en"")"),"Ras easy to subscribe and very attractive prices a possibility of choosing guarantees and now hope not to solicit the guarantees and that everything goes well, if ever ....")</f>
        <v>Ras easy to subscribe and very attractive prices a possibility of choosing guarantees and now hope not to solicit the guarantees and that everything goes well, if ever ....</v>
      </c>
    </row>
    <row r="568" ht="15.75" customHeight="1">
      <c r="A568" s="2">
        <v>4.0</v>
      </c>
      <c r="B568" s="2" t="s">
        <v>1662</v>
      </c>
      <c r="C568" s="2" t="s">
        <v>1663</v>
      </c>
      <c r="D568" s="2" t="s">
        <v>379</v>
      </c>
      <c r="E568" s="2" t="s">
        <v>82</v>
      </c>
      <c r="F568" s="2" t="s">
        <v>15</v>
      </c>
      <c r="G568" s="2" t="s">
        <v>1664</v>
      </c>
      <c r="H568" s="2" t="s">
        <v>95</v>
      </c>
      <c r="I568" s="2" t="str">
        <f>IFERROR(__xludf.DUMMYFUNCTION("GOOGLETRANSLATE(C568,""fr"",""en"")"),"I have just been put in touch with an operator who has been of great efficiency and attentive it is very appreciable it was very good advice.")</f>
        <v>I have just been put in touch with an operator who has been of great efficiency and attentive it is very appreciable it was very good advice.</v>
      </c>
    </row>
    <row r="569" ht="15.75" customHeight="1">
      <c r="A569" s="2">
        <v>5.0</v>
      </c>
      <c r="B569" s="2" t="s">
        <v>1665</v>
      </c>
      <c r="C569" s="2" t="s">
        <v>1666</v>
      </c>
      <c r="D569" s="2" t="s">
        <v>65</v>
      </c>
      <c r="E569" s="2" t="s">
        <v>60</v>
      </c>
      <c r="F569" s="2" t="s">
        <v>15</v>
      </c>
      <c r="G569" s="2" t="s">
        <v>48</v>
      </c>
      <c r="H569" s="2" t="s">
        <v>48</v>
      </c>
      <c r="I569" s="2" t="str">
        <f>IFERROR(__xludf.DUMMYFUNCTION("GOOGLETRANSLATE(C569,""fr"",""en"")"),"Simple and quick subscription, competitive price.
I am satisfied with the service and recommend this online insurance, at least for the moment, first contract with them.")</f>
        <v>Simple and quick subscription, competitive price.
I am satisfied with the service and recommend this online insurance, at least for the moment, first contract with them.</v>
      </c>
    </row>
    <row r="570" ht="15.75" customHeight="1">
      <c r="A570" s="2">
        <v>1.0</v>
      </c>
      <c r="B570" s="2" t="s">
        <v>1667</v>
      </c>
      <c r="C570" s="2" t="s">
        <v>1668</v>
      </c>
      <c r="D570" s="2" t="s">
        <v>313</v>
      </c>
      <c r="E570" s="2" t="s">
        <v>82</v>
      </c>
      <c r="F570" s="2" t="s">
        <v>15</v>
      </c>
      <c r="G570" s="2" t="s">
        <v>1669</v>
      </c>
      <c r="H570" s="2" t="s">
        <v>104</v>
      </c>
      <c r="I570" s="2" t="str">
        <f>IFERROR(__xludf.DUMMYFUNCTION("GOOGLETRANSLATE(C570,""fr"",""en"")"),"Mutual dear to others, we expect better service. Since 4-01-2021, several calls for customer service and complaints, still nothing, portability has been made in February when I have been registered since December 2020. I have the choice only to seize the "&amp;"mediator. 3 months is the response time. Of course, the samples continue. Too bad, I have to put a star, it will rather be zero.")</f>
        <v>Mutual dear to others, we expect better service. Since 4-01-2021, several calls for customer service and complaints, still nothing, portability has been made in February when I have been registered since December 2020. I have the choice only to seize the mediator. 3 months is the response time. Of course, the samples continue. Too bad, I have to put a star, it will rather be zero.</v>
      </c>
    </row>
    <row r="571" ht="15.75" customHeight="1">
      <c r="A571" s="2">
        <v>4.0</v>
      </c>
      <c r="B571" s="2" t="s">
        <v>1670</v>
      </c>
      <c r="C571" s="2" t="s">
        <v>1671</v>
      </c>
      <c r="D571" s="2" t="s">
        <v>32</v>
      </c>
      <c r="E571" s="2" t="s">
        <v>21</v>
      </c>
      <c r="F571" s="2" t="s">
        <v>15</v>
      </c>
      <c r="G571" s="2" t="s">
        <v>1650</v>
      </c>
      <c r="H571" s="2" t="s">
        <v>29</v>
      </c>
      <c r="I571" s="2" t="str">
        <f>IFERROR(__xludf.DUMMYFUNCTION("GOOGLETRANSLATE(C571,""fr"",""en"")"),"I am moderately satisfied with the prices given my student status. I expected a greater reduction. The service on the other hand is exceptional, we find ourselves easily and the information is clear.")</f>
        <v>I am moderately satisfied with the prices given my student status. I expected a greater reduction. The service on the other hand is exceptional, we find ourselves easily and the information is clear.</v>
      </c>
    </row>
    <row r="572" ht="15.75" customHeight="1">
      <c r="A572" s="2">
        <v>5.0</v>
      </c>
      <c r="B572" s="2" t="s">
        <v>1672</v>
      </c>
      <c r="C572" s="2" t="s">
        <v>1673</v>
      </c>
      <c r="D572" s="2" t="s">
        <v>42</v>
      </c>
      <c r="E572" s="2" t="s">
        <v>21</v>
      </c>
      <c r="F572" s="2" t="s">
        <v>15</v>
      </c>
      <c r="G572" s="2" t="s">
        <v>1674</v>
      </c>
      <c r="H572" s="2" t="s">
        <v>464</v>
      </c>
      <c r="I572" s="2" t="str">
        <f>IFERROR(__xludf.DUMMYFUNCTION("GOOGLETRANSLATE(C572,""fr"",""en"")"),"I am satisfied with the service. The site is intuitive and effective I am happy to have changed insurance The prices are honest The ergonomics of your site is perfect.")</f>
        <v>I am satisfied with the service. The site is intuitive and effective I am happy to have changed insurance The prices are honest The ergonomics of your site is perfect.</v>
      </c>
    </row>
    <row r="573" ht="15.75" customHeight="1">
      <c r="A573" s="2">
        <v>1.0</v>
      </c>
      <c r="B573" s="2" t="s">
        <v>1675</v>
      </c>
      <c r="C573" s="2" t="s">
        <v>1676</v>
      </c>
      <c r="D573" s="2" t="s">
        <v>32</v>
      </c>
      <c r="E573" s="2" t="s">
        <v>21</v>
      </c>
      <c r="F573" s="2" t="s">
        <v>15</v>
      </c>
      <c r="G573" s="2" t="s">
        <v>1677</v>
      </c>
      <c r="H573" s="2" t="s">
        <v>48</v>
      </c>
      <c r="I573" s="2" t="str">
        <f>IFERROR(__xludf.DUMMYFUNCTION("GOOGLETRANSLATE(C573,""fr"",""en"")"),"Very satisfied so far as to direct insurance for the service and the prices I see arriving this morning a price of 757 euros instead of 577 euros for the same guaranteed and with no claim since I have a -50% of bonuses for more than 10 years. I will call "&amp;"them to understand why my insurance increases by 180 euros is more than 31% because I find that it is abusing if there is no change of situation. I want direct insurance to answer me otherwise I will play the competition.")</f>
        <v>Very satisfied so far as to direct insurance for the service and the prices I see arriving this morning a price of 757 euros instead of 577 euros for the same guaranteed and with no claim since I have a -50% of bonuses for more than 10 years. I will call them to understand why my insurance increases by 180 euros is more than 31% because I find that it is abusing if there is no change of situation. I want direct insurance to answer me otherwise I will play the competition.</v>
      </c>
    </row>
    <row r="574" ht="15.75" customHeight="1">
      <c r="A574" s="2">
        <v>4.0</v>
      </c>
      <c r="B574" s="2" t="s">
        <v>1678</v>
      </c>
      <c r="C574" s="2" t="s">
        <v>1679</v>
      </c>
      <c r="D574" s="2" t="s">
        <v>451</v>
      </c>
      <c r="E574" s="2" t="s">
        <v>82</v>
      </c>
      <c r="F574" s="2" t="s">
        <v>15</v>
      </c>
      <c r="G574" s="2" t="s">
        <v>1323</v>
      </c>
      <c r="H574" s="2" t="s">
        <v>250</v>
      </c>
      <c r="I574" s="2" t="str">
        <f>IFERROR(__xludf.DUMMYFUNCTION("GOOGLETRANSLATE(C574,""fr"",""en"")"),"I'm satisfied.
The welcome is very good. The interlocutors respond immediately. Their answers are precise and adapted to the questions asked.
 I find that the reimbursements occur within very short deadlines, especially when going through the site.
"&amp;"
Reimbursements are quite correct, especially when you have taken over-completement and unfortunately have a health problem of a certain gravity. It is reassuring to know how to be properly insured. This is very important for morale.")</f>
        <v>I'm satisfied.
The welcome is very good. The interlocutors respond immediately. Their answers are precise and adapted to the questions asked.
 I find that the reimbursements occur within very short deadlines, especially when going through the site.
Reimbursements are quite correct, especially when you have taken over-completement and unfortunately have a health problem of a certain gravity. It is reassuring to know how to be properly insured. This is very important for morale.</v>
      </c>
    </row>
    <row r="575" ht="15.75" customHeight="1">
      <c r="A575" s="2">
        <v>3.0</v>
      </c>
      <c r="B575" s="2" t="s">
        <v>1680</v>
      </c>
      <c r="C575" s="2" t="s">
        <v>1681</v>
      </c>
      <c r="D575" s="2" t="s">
        <v>267</v>
      </c>
      <c r="E575" s="2" t="s">
        <v>33</v>
      </c>
      <c r="F575" s="2" t="s">
        <v>15</v>
      </c>
      <c r="G575" s="2" t="s">
        <v>1682</v>
      </c>
      <c r="H575" s="2" t="s">
        <v>432</v>
      </c>
      <c r="I575" s="2" t="str">
        <f>IFERROR(__xludf.DUMMYFUNCTION("GOOGLETRANSLATE(C575,""fr"",""en"")"),"Never to complain about them at the top what are the TOP HABITATION Thank you I continue with PACIFICA")</f>
        <v>Never to complain about them at the top what are the TOP HABITATION Thank you I continue with PACIFICA</v>
      </c>
    </row>
    <row r="576" ht="15.75" customHeight="1">
      <c r="A576" s="2">
        <v>4.0</v>
      </c>
      <c r="B576" s="2" t="s">
        <v>1683</v>
      </c>
      <c r="C576" s="2" t="s">
        <v>1684</v>
      </c>
      <c r="D576" s="2" t="s">
        <v>42</v>
      </c>
      <c r="E576" s="2" t="s">
        <v>21</v>
      </c>
      <c r="F576" s="2" t="s">
        <v>15</v>
      </c>
      <c r="G576" s="2" t="s">
        <v>1104</v>
      </c>
      <c r="H576" s="2" t="s">
        <v>104</v>
      </c>
      <c r="I576" s="2" t="str">
        <f>IFERROR(__xludf.DUMMYFUNCTION("GOOGLETRANSLATE(C576,""fr"",""en"")"),"Good telephone contact. Lots of patience in the explanations. The subscription procedure is fast. Only difficulty is my difficult management of computer document.")</f>
        <v>Good telephone contact. Lots of patience in the explanations. The subscription procedure is fast. Only difficulty is my difficult management of computer document.</v>
      </c>
    </row>
    <row r="577" ht="15.75" customHeight="1">
      <c r="A577" s="2">
        <v>1.0</v>
      </c>
      <c r="B577" s="2" t="s">
        <v>1685</v>
      </c>
      <c r="C577" s="2" t="s">
        <v>1686</v>
      </c>
      <c r="D577" s="2" t="s">
        <v>518</v>
      </c>
      <c r="E577" s="2" t="s">
        <v>60</v>
      </c>
      <c r="F577" s="2" t="s">
        <v>15</v>
      </c>
      <c r="G577" s="2" t="s">
        <v>1240</v>
      </c>
      <c r="H577" s="2" t="s">
        <v>95</v>
      </c>
      <c r="I577" s="2" t="str">
        <f>IFERROR(__xludf.DUMMYFUNCTION("GOOGLETRANSLATE(C577,""fr"",""en"")"),"He is uncomfortable because I did not send mas cards gray of the shabby because I rolled throughout the pendants 1 year old and las I sold the motorcycle and I had accident not able to say I disappoint you")</f>
        <v>He is uncomfortable because I did not send mas cards gray of the shabby because I rolled throughout the pendants 1 year old and las I sold the motorcycle and I had accident not able to say I disappoint you</v>
      </c>
    </row>
    <row r="578" ht="15.75" customHeight="1">
      <c r="A578" s="2">
        <v>4.0</v>
      </c>
      <c r="B578" s="2" t="s">
        <v>1687</v>
      </c>
      <c r="C578" s="2" t="s">
        <v>1688</v>
      </c>
      <c r="D578" s="2" t="s">
        <v>81</v>
      </c>
      <c r="E578" s="2" t="s">
        <v>82</v>
      </c>
      <c r="F578" s="2" t="s">
        <v>15</v>
      </c>
      <c r="G578" s="2" t="s">
        <v>1689</v>
      </c>
      <c r="H578" s="2" t="s">
        <v>419</v>
      </c>
      <c r="I578" s="2" t="str">
        <f>IFERROR(__xludf.DUMMYFUNCTION("GOOGLETRANSLATE(C578,""fr"",""en"")"),"Client since 2013 they have contacted me to review the prices and services. Good adaptation to my hospital care request")</f>
        <v>Client since 2013 they have contacted me to review the prices and services. Good adaptation to my hospital care request</v>
      </c>
    </row>
    <row r="579" ht="15.75" customHeight="1">
      <c r="A579" s="2">
        <v>2.0</v>
      </c>
      <c r="B579" s="2" t="s">
        <v>1690</v>
      </c>
      <c r="C579" s="2" t="s">
        <v>1691</v>
      </c>
      <c r="D579" s="2" t="s">
        <v>32</v>
      </c>
      <c r="E579" s="2" t="s">
        <v>21</v>
      </c>
      <c r="F579" s="2" t="s">
        <v>15</v>
      </c>
      <c r="G579" s="2" t="s">
        <v>1692</v>
      </c>
      <c r="H579" s="2" t="s">
        <v>315</v>
      </c>
      <c r="I579" s="2" t="str">
        <f>IFERROR(__xludf.DUMMYFUNCTION("GOOGLETRANSLATE(C579,""fr"",""en"")"),"I will be factual:
I moved and therefore changed his address
In the absence of me, not to have communicated and therefore not received a maturity notice
Result: termination without warning me by email or by phone
Litigation
Litigation payment as soon"&amp;" as I had the info
Insurer paid the next day
And 15 days after still no regularization
Treatment carried out after multiple reminders
And for info I was a customer for 15 years
So when I hear ""Best Customer Service of the Year 2020"" it makes me l"&amp;"augh slowly
Notice to all Internet users: you are only numbers and not customers !!!!!
Insurer to flee with great strides")</f>
        <v>I will be factual:
I moved and therefore changed his address
In the absence of me, not to have communicated and therefore not received a maturity notice
Result: termination without warning me by email or by phone
Litigation
Litigation payment as soon as I had the info
Insurer paid the next day
And 15 days after still no regularization
Treatment carried out after multiple reminders
And for info I was a customer for 15 years
So when I hear "Best Customer Service of the Year 2020" it makes me laugh slowly
Notice to all Internet users: you are only numbers and not customers !!!!!
Insurer to flee with great strides</v>
      </c>
    </row>
    <row r="580" ht="15.75" customHeight="1">
      <c r="A580" s="2">
        <v>3.0</v>
      </c>
      <c r="B580" s="2" t="s">
        <v>1693</v>
      </c>
      <c r="C580" s="2" t="s">
        <v>1694</v>
      </c>
      <c r="D580" s="2" t="s">
        <v>42</v>
      </c>
      <c r="E580" s="2" t="s">
        <v>21</v>
      </c>
      <c r="F580" s="2" t="s">
        <v>15</v>
      </c>
      <c r="G580" s="2" t="s">
        <v>708</v>
      </c>
      <c r="H580" s="2" t="s">
        <v>287</v>
      </c>
      <c r="I580" s="2" t="str">
        <f>IFERROR(__xludf.DUMMYFUNCTION("GOOGLETRANSLATE(C580,""fr"",""en"")"),"I am a new adherent at the Olivier - I register, I pay in cash and I am asked to sign a SEPA mandate - I ask why by email, no answer - I call this morning and I am answered with us c 'is obligatory
In short, this insurer wants to be able to take you with"&amp;"out reason. What is nothing regulatory
In short, given the debates before I even adhere, I dare not imagine the management of an accident
Next step for me: DGCCRF")</f>
        <v>I am a new adherent at the Olivier - I register, I pay in cash and I am asked to sign a SEPA mandate - I ask why by email, no answer - I call this morning and I am answered with us c 'is obligatory
In short, this insurer wants to be able to take you without reason. What is nothing regulatory
In short, given the debates before I even adhere, I dare not imagine the management of an accident
Next step for me: DGCCRF</v>
      </c>
    </row>
    <row r="581" ht="15.75" customHeight="1">
      <c r="A581" s="2">
        <v>1.0</v>
      </c>
      <c r="B581" s="2" t="s">
        <v>1695</v>
      </c>
      <c r="C581" s="2" t="s">
        <v>1696</v>
      </c>
      <c r="D581" s="2" t="s">
        <v>32</v>
      </c>
      <c r="E581" s="2" t="s">
        <v>21</v>
      </c>
      <c r="F581" s="2" t="s">
        <v>15</v>
      </c>
      <c r="G581" s="2" t="s">
        <v>1058</v>
      </c>
      <c r="H581" s="2" t="s">
        <v>62</v>
      </c>
      <c r="I581" s="2" t="str">
        <f>IFERROR(__xludf.DUMMYFUNCTION("GOOGLETRANSLATE(C581,""fr"",""en"")"),"Building service, does not offer anything in the event of troubleshooting.
We have a key to the key, we have no direct insurance assistance. And we are offered a locksmith that offers 60% higher than elsewhere.")</f>
        <v>Building service, does not offer anything in the event of troubleshooting.
We have a key to the key, we have no direct insurance assistance. And we are offered a locksmith that offers 60% higher than elsewhere.</v>
      </c>
    </row>
    <row r="582" ht="15.75" customHeight="1">
      <c r="A582" s="2">
        <v>2.0</v>
      </c>
      <c r="B582" s="2" t="s">
        <v>1697</v>
      </c>
      <c r="C582" s="2" t="s">
        <v>1698</v>
      </c>
      <c r="D582" s="2" t="s">
        <v>81</v>
      </c>
      <c r="E582" s="2" t="s">
        <v>82</v>
      </c>
      <c r="F582" s="2" t="s">
        <v>15</v>
      </c>
      <c r="G582" s="2" t="s">
        <v>614</v>
      </c>
      <c r="H582" s="2" t="s">
        <v>52</v>
      </c>
      <c r="I582" s="2" t="str">
        <f>IFERROR(__xludf.DUMMYFUNCTION("GOOGLETRANSLATE(C582,""fr"",""en"")"),"3 months for a termination problem still not resolved despite several email, telephone we answer you here is discourt. Continuous samples why not.")</f>
        <v>3 months for a termination problem still not resolved despite several email, telephone we answer you here is discourt. Continuous samples why not.</v>
      </c>
    </row>
    <row r="583" ht="15.75" customHeight="1">
      <c r="A583" s="2">
        <v>4.0</v>
      </c>
      <c r="B583" s="2" t="s">
        <v>1699</v>
      </c>
      <c r="C583" s="2" t="s">
        <v>1700</v>
      </c>
      <c r="D583" s="2" t="s">
        <v>42</v>
      </c>
      <c r="E583" s="2" t="s">
        <v>21</v>
      </c>
      <c r="F583" s="2" t="s">
        <v>15</v>
      </c>
      <c r="G583" s="2" t="s">
        <v>877</v>
      </c>
      <c r="H583" s="2" t="s">
        <v>464</v>
      </c>
      <c r="I583" s="2" t="str">
        <f>IFERROR(__xludf.DUMMYFUNCTION("GOOGLETRANSLATE(C583,""fr"",""en"")"),"Simple and practical. I will recommend this site to my comrades. I hope to have all my documents as quickly as possible to take advantage of my vehicle.")</f>
        <v>Simple and practical. I will recommend this site to my comrades. I hope to have all my documents as quickly as possible to take advantage of my vehicle.</v>
      </c>
    </row>
    <row r="584" ht="15.75" customHeight="1">
      <c r="A584" s="2">
        <v>1.0</v>
      </c>
      <c r="B584" s="2" t="s">
        <v>1701</v>
      </c>
      <c r="C584" s="2" t="s">
        <v>1702</v>
      </c>
      <c r="D584" s="2" t="s">
        <v>145</v>
      </c>
      <c r="E584" s="2" t="s">
        <v>33</v>
      </c>
      <c r="F584" s="2" t="s">
        <v>15</v>
      </c>
      <c r="G584" s="2" t="s">
        <v>1001</v>
      </c>
      <c r="H584" s="2" t="s">
        <v>330</v>
      </c>
      <c r="I584" s="2" t="str">
        <f>IFERROR(__xludf.DUMMYFUNCTION("GOOGLETRANSLATE(C584,""fr"",""en"")"),"Insured PDT + 30 years (car + house). I was robbed, Maaf no longer wanted to ensure my new accommodation (it's true I asked to be burgled)")</f>
        <v>Insured PDT + 30 years (car + house). I was robbed, Maaf no longer wanted to ensure my new accommodation (it's true I asked to be burgled)</v>
      </c>
    </row>
    <row r="585" ht="15.75" customHeight="1">
      <c r="A585" s="2">
        <v>2.0</v>
      </c>
      <c r="B585" s="2" t="s">
        <v>1703</v>
      </c>
      <c r="C585" s="2" t="s">
        <v>1704</v>
      </c>
      <c r="D585" s="2" t="s">
        <v>145</v>
      </c>
      <c r="E585" s="2" t="s">
        <v>33</v>
      </c>
      <c r="F585" s="2" t="s">
        <v>15</v>
      </c>
      <c r="G585" s="2" t="s">
        <v>1705</v>
      </c>
      <c r="H585" s="2" t="s">
        <v>23</v>
      </c>
      <c r="I585" s="2" t="str">
        <f>IFERROR(__xludf.DUMMYFUNCTION("GOOGLETRANSLATE(C585,""fr"",""en"")"),"Currently in litigation following a sinister water damage in 2015. The expert in bad faith refuses to honor his written commitments and find all the means not to settle the work executed according to his recommendations.")</f>
        <v>Currently in litigation following a sinister water damage in 2015. The expert in bad faith refuses to honor his written commitments and find all the means not to settle the work executed according to his recommendations.</v>
      </c>
    </row>
    <row r="586" ht="15.75" customHeight="1">
      <c r="A586" s="2">
        <v>1.0</v>
      </c>
      <c r="B586" s="2" t="s">
        <v>1706</v>
      </c>
      <c r="C586" s="2" t="s">
        <v>1707</v>
      </c>
      <c r="D586" s="2" t="s">
        <v>209</v>
      </c>
      <c r="E586" s="2" t="s">
        <v>82</v>
      </c>
      <c r="F586" s="2" t="s">
        <v>15</v>
      </c>
      <c r="G586" s="2" t="s">
        <v>1708</v>
      </c>
      <c r="H586" s="2" t="s">
        <v>439</v>
      </c>
      <c r="I586" s="2" t="str">
        <f>IFERROR(__xludf.DUMMYFUNCTION("GOOGLETRANSLATE(C586,""fr"",""en"")"),"Mutual that has lost all its values: loss of proximity to members, prohibitive prices, low reimbursements.
20 years ago the MGEN was a good mutual but in 2020 it is completely outdated.
More than 2 months for an osteo refund, dental quote sent 3 times b"&amp;"ecause no response and I am still waiting .......
Impossible to have someone on the phone and when you move in the section, employees can do nothing ..... they send an email that I think no one takes the trouble to read ...... ditto on Internet space. Ap"&amp;"art from the automatic message no answer.
I send a recommended to terminate because I'm tired of fighting with this administration. Even a simple refund becomes complicated ..... I dare not imagined people with more important problems .....
I have m"&amp;"ade the recommendation for the MGEN a very long time but now I do not recommend it very strongly.")</f>
        <v>Mutual that has lost all its values: loss of proximity to members, prohibitive prices, low reimbursements.
20 years ago the MGEN was a good mutual but in 2020 it is completely outdated.
More than 2 months for an osteo refund, dental quote sent 3 times because no response and I am still waiting .......
Impossible to have someone on the phone and when you move in the section, employees can do nothing ..... they send an email that I think no one takes the trouble to read ...... ditto on Internet space. Apart from the automatic message no answer.
I send a recommended to terminate because I'm tired of fighting with this administration. Even a simple refund becomes complicated ..... I dare not imagined people with more important problems .....
I have made the recommendation for the MGEN a very long time but now I do not recommend it very strongly.</v>
      </c>
    </row>
    <row r="587" ht="15.75" customHeight="1">
      <c r="A587" s="2">
        <v>2.0</v>
      </c>
      <c r="B587" s="2" t="s">
        <v>1709</v>
      </c>
      <c r="C587" s="2" t="s">
        <v>1710</v>
      </c>
      <c r="D587" s="2" t="s">
        <v>267</v>
      </c>
      <c r="E587" s="2" t="s">
        <v>21</v>
      </c>
      <c r="F587" s="2" t="s">
        <v>15</v>
      </c>
      <c r="G587" s="2" t="s">
        <v>1711</v>
      </c>
      <c r="H587" s="2" t="s">
        <v>1049</v>
      </c>
      <c r="I587" s="2" t="str">
        <f>IFERROR(__xludf.DUMMYFUNCTION("GOOGLETRANSLATE(C587,""fr"",""en"")"),"Because I cannot put 0 star unfortunately
I do not recommend this insurance
Insured the bottom for several years is a.oroblem for a car stolen there is no one left")</f>
        <v>Because I cannot put 0 star unfortunately
I do not recommend this insurance
Insured the bottom for several years is a.oroblem for a car stolen there is no one left</v>
      </c>
    </row>
    <row r="588" ht="15.75" customHeight="1">
      <c r="A588" s="2">
        <v>5.0</v>
      </c>
      <c r="B588" s="2" t="s">
        <v>1712</v>
      </c>
      <c r="C588" s="2" t="s">
        <v>1713</v>
      </c>
      <c r="D588" s="2" t="s">
        <v>196</v>
      </c>
      <c r="E588" s="2" t="s">
        <v>82</v>
      </c>
      <c r="F588" s="2" t="s">
        <v>15</v>
      </c>
      <c r="G588" s="2" t="s">
        <v>505</v>
      </c>
      <c r="H588" s="2" t="s">
        <v>56</v>
      </c>
      <c r="I588" s="2" t="str">
        <f>IFERROR(__xludf.DUMMYFUNCTION("GOOGLETRANSLATE(C588,""fr"",""en"")"),"I was pleasantly surprised by the quality of Emeline's welcome and by her competence to find the solution to the problem I had exhibited, indeed I was very disappointed by my previous mutual.
Cordially
Claude Pussot")</f>
        <v>I was pleasantly surprised by the quality of Emeline's welcome and by her competence to find the solution to the problem I had exhibited, indeed I was very disappointed by my previous mutual.
Cordially
Claude Pussot</v>
      </c>
    </row>
    <row r="589" ht="15.75" customHeight="1">
      <c r="A589" s="2">
        <v>2.0</v>
      </c>
      <c r="B589" s="2" t="s">
        <v>1714</v>
      </c>
      <c r="C589" s="2" t="s">
        <v>1715</v>
      </c>
      <c r="D589" s="2" t="s">
        <v>267</v>
      </c>
      <c r="E589" s="2" t="s">
        <v>21</v>
      </c>
      <c r="F589" s="2" t="s">
        <v>15</v>
      </c>
      <c r="G589" s="2" t="s">
        <v>1716</v>
      </c>
      <c r="H589" s="2" t="s">
        <v>95</v>
      </c>
      <c r="I589" s="2" t="str">
        <f>IFERROR(__xludf.DUMMYFUNCTION("GOOGLETRANSLATE(C589,""fr"",""en"")"),"I am not at all satisfied with the refund. I pay dearly and I am very badly reimbursed and in addition I do not have alternative medicines so I left")</f>
        <v>I am not at all satisfied with the refund. I pay dearly and I am very badly reimbursed and in addition I do not have alternative medicines so I left</v>
      </c>
    </row>
    <row r="590" ht="15.75" customHeight="1">
      <c r="A590" s="2">
        <v>2.0</v>
      </c>
      <c r="B590" s="2" t="s">
        <v>1717</v>
      </c>
      <c r="C590" s="2" t="s">
        <v>1718</v>
      </c>
      <c r="D590" s="2" t="s">
        <v>98</v>
      </c>
      <c r="E590" s="2" t="s">
        <v>21</v>
      </c>
      <c r="F590" s="2" t="s">
        <v>15</v>
      </c>
      <c r="G590" s="2" t="s">
        <v>1719</v>
      </c>
      <c r="H590" s="2" t="s">
        <v>39</v>
      </c>
      <c r="I590" s="2" t="str">
        <f>IFERROR(__xludf.DUMMYFUNCTION("GOOGLETRANSLATE(C590,""fr"",""en"")"),"Auto insurance that flies people, very complicated by the assets on the phone.
Their interlocutors barely speaks French therefore complicated to make it understood.
Insurance that gives you quotes and when paying the first two contributions changes amou"&amp;"nt and when you ask why, even the interlocutors do not understand and do nothing. It's up to you to pay the line.
I can't find it very respectful on their part.
So certainly their prices are attractive but the management service does not have it at all,"&amp;" I think that they must put a little more expensive in the subscriptions and be sure to be able to contact someone who will really understand you.
")</f>
        <v>Auto insurance that flies people, very complicated by the assets on the phone.
Their interlocutors barely speaks French therefore complicated to make it understood.
Insurance that gives you quotes and when paying the first two contributions changes amount and when you ask why, even the interlocutors do not understand and do nothing. It's up to you to pay the line.
I can't find it very respectful on their part.
So certainly their prices are attractive but the management service does not have it at all, I think that they must put a little more expensive in the subscriptions and be sure to be able to contact someone who will really understand you.
</v>
      </c>
    </row>
    <row r="591" ht="15.75" customHeight="1">
      <c r="A591" s="2">
        <v>1.0</v>
      </c>
      <c r="B591" s="2" t="s">
        <v>1720</v>
      </c>
      <c r="C591" s="2" t="s">
        <v>1721</v>
      </c>
      <c r="D591" s="2" t="s">
        <v>425</v>
      </c>
      <c r="E591" s="2" t="s">
        <v>27</v>
      </c>
      <c r="F591" s="2" t="s">
        <v>15</v>
      </c>
      <c r="G591" s="2" t="s">
        <v>1722</v>
      </c>
      <c r="H591" s="2" t="s">
        <v>359</v>
      </c>
      <c r="I591" s="2" t="str">
        <f>IFERROR(__xludf.DUMMYFUNCTION("GOOGLETRANSLATE(C591,""fr"",""en"")"),"I will put 0 by everything. We don't choose to get sick. One year that my file is lying down. Each cardif mail received there is always a certificate or other. My legal protection is on the way, I do not intend to stop there. I will even ask for additiona"&amp;"l compensation because it is my sickness stop that pays the deadlines. After there is nothing left")</f>
        <v>I will put 0 by everything. We don't choose to get sick. One year that my file is lying down. Each cardif mail received there is always a certificate or other. My legal protection is on the way, I do not intend to stop there. I will even ask for additional compensation because it is my sickness stop that pays the deadlines. After there is nothing left</v>
      </c>
    </row>
    <row r="592" ht="15.75" customHeight="1">
      <c r="A592" s="2">
        <v>1.0</v>
      </c>
      <c r="B592" s="2" t="s">
        <v>1723</v>
      </c>
      <c r="C592" s="2" t="s">
        <v>1724</v>
      </c>
      <c r="D592" s="2" t="s">
        <v>42</v>
      </c>
      <c r="E592" s="2" t="s">
        <v>21</v>
      </c>
      <c r="F592" s="2" t="s">
        <v>15</v>
      </c>
      <c r="G592" s="2" t="s">
        <v>542</v>
      </c>
      <c r="H592" s="2" t="s">
        <v>432</v>
      </c>
      <c r="I592" s="2" t="str">
        <f>IFERROR(__xludf.DUMMYFUNCTION("GOOGLETRANSLATE(C592,""fr"",""en"")"),"Good insurer, up to the 1st sinister!
I have them a non -responsible acid and it's been two months since I wait and I cannot use the car for long traject, I am very disappointed! With two cars ensure at Olivier, I think I will see the competition!")</f>
        <v>Good insurer, up to the 1st sinister!
I have them a non -responsible acid and it's been two months since I wait and I cannot use the car for long traject, I am very disappointed! With two cars ensure at Olivier, I think I will see the competition!</v>
      </c>
    </row>
    <row r="593" ht="15.75" customHeight="1">
      <c r="A593" s="2">
        <v>1.0</v>
      </c>
      <c r="B593" s="2" t="s">
        <v>1725</v>
      </c>
      <c r="C593" s="2" t="s">
        <v>1726</v>
      </c>
      <c r="D593" s="2" t="s">
        <v>124</v>
      </c>
      <c r="E593" s="2" t="s">
        <v>60</v>
      </c>
      <c r="F593" s="2" t="s">
        <v>15</v>
      </c>
      <c r="G593" s="2" t="s">
        <v>1727</v>
      </c>
      <c r="H593" s="2" t="s">
        <v>305</v>
      </c>
      <c r="I593" s="2" t="str">
        <f>IFERROR(__xludf.DUMMYFUNCTION("GOOGLETRANSLATE(C593,""fr"",""en"")"),"I do not recommend this insurance, after our disaster more than two months ago, she still did not contact us. We had a car in front of us on our voice, and no answer on the follow -up of the file, moreover the file he must send us, we still have not recei"&amp;"ved it.
Flee this insurance.")</f>
        <v>I do not recommend this insurance, after our disaster more than two months ago, she still did not contact us. We had a car in front of us on our voice, and no answer on the follow -up of the file, moreover the file he must send us, we still have not received it.
Flee this insurance.</v>
      </c>
    </row>
    <row r="594" ht="15.75" customHeight="1">
      <c r="A594" s="2">
        <v>4.0</v>
      </c>
      <c r="B594" s="2" t="s">
        <v>1728</v>
      </c>
      <c r="C594" s="2" t="s">
        <v>1729</v>
      </c>
      <c r="D594" s="2" t="s">
        <v>32</v>
      </c>
      <c r="E594" s="2" t="s">
        <v>21</v>
      </c>
      <c r="F594" s="2" t="s">
        <v>15</v>
      </c>
      <c r="G594" s="2" t="s">
        <v>1730</v>
      </c>
      <c r="H594" s="2" t="s">
        <v>39</v>
      </c>
      <c r="I594" s="2" t="str">
        <f>IFERROR(__xludf.DUMMYFUNCTION("GOOGLETRANSLATE(C594,""fr"",""en"")"),"Practical, fast and competitive bravo
I hope everything will be similar to the subscription which is really very easy to achieve, I am happy, my mother told me that it was good insurance because she is also insured at Direct Insurance but in Drive Connec"&amp;"t")</f>
        <v>Practical, fast and competitive bravo
I hope everything will be similar to the subscription which is really very easy to achieve, I am happy, my mother told me that it was good insurance because she is also insured at Direct Insurance but in Drive Connect</v>
      </c>
    </row>
    <row r="595" ht="15.75" customHeight="1">
      <c r="A595" s="2">
        <v>2.0</v>
      </c>
      <c r="B595" s="2" t="s">
        <v>1731</v>
      </c>
      <c r="C595" s="2" t="s">
        <v>1732</v>
      </c>
      <c r="D595" s="2" t="s">
        <v>59</v>
      </c>
      <c r="E595" s="2" t="s">
        <v>21</v>
      </c>
      <c r="F595" s="2" t="s">
        <v>15</v>
      </c>
      <c r="G595" s="2" t="s">
        <v>1733</v>
      </c>
      <c r="H595" s="2" t="s">
        <v>108</v>
      </c>
      <c r="I595" s="2" t="str">
        <f>IFERROR(__xludf.DUMMYFUNCTION("GOOGLETRANSLATE(C595,""fr"",""en"")"),"Having acquired a Peugeot 308, I chose in November 2016 to insure it at AXA. I opt for an online subscription (CLIC and GO contract) with the balance pack in order to have 0km assistance. I had no claim in 1 year, however, I needed assistance twice. On th"&amp;"is side, AXA Assistance advisers are serious and assistance is quality (fast, reliable). Customer service advisers are available and seem competent. Regarding the guarantees, it is a shame that anxa does not offer a replacement vehicle in the event of a b"&amp;"reakdown but only in the event of an accident. My termination decision is only a question of price, (having obtained an equivalent rate for more guarantees from a competitor). On the other hand, from my point of view, AXA remains a serious and reliable in"&amp;"surer.")</f>
        <v>Having acquired a Peugeot 308, I chose in November 2016 to insure it at AXA. I opt for an online subscription (CLIC and GO contract) with the balance pack in order to have 0km assistance. I had no claim in 1 year, however, I needed assistance twice. On this side, AXA Assistance advisers are serious and assistance is quality (fast, reliable). Customer service advisers are available and seem competent. Regarding the guarantees, it is a shame that anxa does not offer a replacement vehicle in the event of a breakdown but only in the event of an accident. My termination decision is only a question of price, (having obtained an equivalent rate for more guarantees from a competitor). On the other hand, from my point of view, AXA remains a serious and reliable insurer.</v>
      </c>
    </row>
    <row r="596" ht="15.75" customHeight="1">
      <c r="A596" s="2">
        <v>5.0</v>
      </c>
      <c r="B596" s="2" t="s">
        <v>1734</v>
      </c>
      <c r="C596" s="2" t="s">
        <v>1735</v>
      </c>
      <c r="D596" s="2" t="s">
        <v>135</v>
      </c>
      <c r="E596" s="2" t="s">
        <v>60</v>
      </c>
      <c r="F596" s="2" t="s">
        <v>15</v>
      </c>
      <c r="G596" s="2" t="s">
        <v>1196</v>
      </c>
      <c r="H596" s="2" t="s">
        <v>29</v>
      </c>
      <c r="I596" s="2" t="str">
        <f>IFERROR(__xludf.DUMMYFUNCTION("GOOGLETRANSLATE(C596,""fr"",""en"")"),"Super easy and fast. Very simple to be able to register. Prices are the best on the market. The sending of documents by email make us save a lot of time. I highly recommend.")</f>
        <v>Super easy and fast. Very simple to be able to register. Prices are the best on the market. The sending of documents by email make us save a lot of time. I highly recommend.</v>
      </c>
    </row>
    <row r="597" ht="15.75" customHeight="1">
      <c r="A597" s="2">
        <v>4.0</v>
      </c>
      <c r="B597" s="2" t="s">
        <v>1736</v>
      </c>
      <c r="C597" s="2" t="s">
        <v>1737</v>
      </c>
      <c r="D597" s="2" t="s">
        <v>196</v>
      </c>
      <c r="E597" s="2" t="s">
        <v>82</v>
      </c>
      <c r="F597" s="2" t="s">
        <v>15</v>
      </c>
      <c r="G597" s="2" t="s">
        <v>826</v>
      </c>
      <c r="H597" s="2" t="s">
        <v>56</v>
      </c>
      <c r="I597" s="2" t="str">
        <f>IFERROR(__xludf.DUMMYFUNCTION("GOOGLETRANSLATE(C597,""fr"",""en"")"),"I am very satisfied with Émeline at Neoliane Santé, she informed me very well about my very friendly, very friendly, pleasant request and gives very clear answers thank you")</f>
        <v>I am very satisfied with Émeline at Neoliane Santé, she informed me very well about my very friendly, very friendly, pleasant request and gives very clear answers thank you</v>
      </c>
    </row>
    <row r="598" ht="15.75" customHeight="1">
      <c r="A598" s="2">
        <v>1.0</v>
      </c>
      <c r="B598" s="2" t="s">
        <v>1738</v>
      </c>
      <c r="C598" s="2" t="s">
        <v>1739</v>
      </c>
      <c r="D598" s="2" t="s">
        <v>425</v>
      </c>
      <c r="E598" s="2" t="s">
        <v>27</v>
      </c>
      <c r="F598" s="2" t="s">
        <v>15</v>
      </c>
      <c r="G598" s="2" t="s">
        <v>467</v>
      </c>
      <c r="H598" s="2" t="s">
        <v>104</v>
      </c>
      <c r="I598" s="2" t="str">
        <f>IFERROR(__xludf.DUMMYFUNCTION("GOOGLETRANSLATE(C598,""fr"",""en"")"),"And here is cardif stop my refund without warning or letters so when you say you will be reimbursed until
June 2021 You will be summoned by an expert before stopping reimbursements J calls in telling me it is a forget you will be reimbursed within 48 hou"&amp;"rs RIENS no reimbursement
 I remind you of another versions coming to term you are more entitled to reimbursement since February 12 lol when I was told that I would be taken care of I used June 2021 and that I would be expertise before the reimbursement "&amp;"stop being Long -term illness
awaiting professional disability. But recognized AAH A 79 percent by the MDPH J hopes that the rest will be favorable for the care of disability")</f>
        <v>And here is cardif stop my refund without warning or letters so when you say you will be reimbursed until
June 2021 You will be summoned by an expert before stopping reimbursements J calls in telling me it is a forget you will be reimbursed within 48 hours RIENS no reimbursement
 I remind you of another versions coming to term you are more entitled to reimbursement since February 12 lol when I was told that I would be taken care of I used June 2021 and that I would be expertise before the reimbursement stop being Long -term illness
awaiting professional disability. But recognized AAH A 79 percent by the MDPH J hopes that the rest will be favorable for the care of disability</v>
      </c>
    </row>
    <row r="599" ht="15.75" customHeight="1">
      <c r="A599" s="2">
        <v>5.0</v>
      </c>
      <c r="B599" s="2" t="s">
        <v>1740</v>
      </c>
      <c r="C599" s="2" t="s">
        <v>1741</v>
      </c>
      <c r="D599" s="2" t="s">
        <v>42</v>
      </c>
      <c r="E599" s="2" t="s">
        <v>21</v>
      </c>
      <c r="F599" s="2" t="s">
        <v>15</v>
      </c>
      <c r="G599" s="2" t="s">
        <v>1742</v>
      </c>
      <c r="H599" s="2" t="s">
        <v>159</v>
      </c>
      <c r="I599" s="2" t="str">
        <f>IFERROR(__xludf.DUMMYFUNCTION("GOOGLETRANSLATE(C599,""fr"",""en"")"),"I was already very satisfied to find at the Olivier Insurance a very competitive price and moreover reimbursed without problem and quickly of a disaster that I had repaired in a non -partner garage of Olivier. I recommend.")</f>
        <v>I was already very satisfied to find at the Olivier Insurance a very competitive price and moreover reimbursed without problem and quickly of a disaster that I had repaired in a non -partner garage of Olivier. I recommend.</v>
      </c>
    </row>
    <row r="600" ht="15.75" customHeight="1">
      <c r="A600" s="2">
        <v>4.0</v>
      </c>
      <c r="B600" s="2" t="s">
        <v>1743</v>
      </c>
      <c r="C600" s="2" t="s">
        <v>1744</v>
      </c>
      <c r="D600" s="2" t="s">
        <v>42</v>
      </c>
      <c r="E600" s="2" t="s">
        <v>21</v>
      </c>
      <c r="F600" s="2" t="s">
        <v>15</v>
      </c>
      <c r="G600" s="2" t="s">
        <v>1493</v>
      </c>
      <c r="H600" s="2" t="s">
        <v>39</v>
      </c>
      <c r="I600" s="2" t="str">
        <f>IFERROR(__xludf.DUMMYFUNCTION("GOOGLETRANSLATE(C600,""fr"",""en"")"),"Satisfied with telephone customer service and my contract which covers my more needs and expectations I am satisfied with the price of my contract")</f>
        <v>Satisfied with telephone customer service and my contract which covers my more needs and expectations I am satisfied with the price of my contract</v>
      </c>
    </row>
    <row r="601" ht="15.75" customHeight="1">
      <c r="A601" s="2">
        <v>3.0</v>
      </c>
      <c r="B601" s="2" t="s">
        <v>1745</v>
      </c>
      <c r="C601" s="2" t="s">
        <v>1746</v>
      </c>
      <c r="D601" s="2" t="s">
        <v>42</v>
      </c>
      <c r="E601" s="2" t="s">
        <v>21</v>
      </c>
      <c r="F601" s="2" t="s">
        <v>15</v>
      </c>
      <c r="G601" s="2" t="s">
        <v>349</v>
      </c>
      <c r="H601" s="2" t="s">
        <v>56</v>
      </c>
      <c r="I601" s="2" t="str">
        <f>IFERROR(__xludf.DUMMYFUNCTION("GOOGLETRANSLATE(C601,""fr"",""en"")"),"The attractive price ....
Clear interlocutor and listening to the requests submitted so far ....
Fast service. I very much want it to stay like this ...")</f>
        <v>The attractive price ....
Clear interlocutor and listening to the requests submitted so far ....
Fast service. I very much want it to stay like this ...</v>
      </c>
    </row>
    <row r="602" ht="15.75" customHeight="1">
      <c r="A602" s="2">
        <v>1.0</v>
      </c>
      <c r="B602" s="2" t="s">
        <v>1747</v>
      </c>
      <c r="C602" s="2" t="s">
        <v>1748</v>
      </c>
      <c r="D602" s="2" t="s">
        <v>32</v>
      </c>
      <c r="E602" s="2" t="s">
        <v>21</v>
      </c>
      <c r="F602" s="2" t="s">
        <v>15</v>
      </c>
      <c r="G602" s="2" t="s">
        <v>491</v>
      </c>
      <c r="H602" s="2" t="s">
        <v>39</v>
      </c>
      <c r="I602" s="2" t="str">
        <f>IFERROR(__xludf.DUMMYFUNCTION("GOOGLETRANSLATE(C602,""fr"",""en"")"),"Aggressive price for the year, but then significant increase, while the value of the vehicle decreases.
Very difficult to terminate!
We feel stuck with Direct Insurance")</f>
        <v>Aggressive price for the year, but then significant increase, while the value of the vehicle decreases.
Very difficult to terminate!
We feel stuck with Direct Insurance</v>
      </c>
    </row>
    <row r="603" ht="15.75" customHeight="1">
      <c r="A603" s="2">
        <v>1.0</v>
      </c>
      <c r="B603" s="2" t="s">
        <v>1749</v>
      </c>
      <c r="C603" s="2" t="s">
        <v>1750</v>
      </c>
      <c r="D603" s="2" t="s">
        <v>32</v>
      </c>
      <c r="E603" s="2" t="s">
        <v>21</v>
      </c>
      <c r="F603" s="2" t="s">
        <v>15</v>
      </c>
      <c r="G603" s="2" t="s">
        <v>1751</v>
      </c>
      <c r="H603" s="2" t="s">
        <v>62</v>
      </c>
      <c r="I603" s="2" t="str">
        <f>IFERROR(__xludf.DUMMYFUNCTION("GOOGLETRANSLATE(C603,""fr"",""en"")"),"I find it complicated to transmit the identity photo because you ask for impossible formats. I am too disappointed and I regret having taken my insurance at home. You have been able to cash but after that is another story !!!")</f>
        <v>I find it complicated to transmit the identity photo because you ask for impossible formats. I am too disappointed and I regret having taken my insurance at home. You have been able to cash but after that is another story !!!</v>
      </c>
    </row>
    <row r="604" ht="15.75" customHeight="1">
      <c r="A604" s="2">
        <v>5.0</v>
      </c>
      <c r="B604" s="2" t="s">
        <v>1752</v>
      </c>
      <c r="C604" s="2" t="s">
        <v>1753</v>
      </c>
      <c r="D604" s="2" t="s">
        <v>124</v>
      </c>
      <c r="E604" s="2" t="s">
        <v>60</v>
      </c>
      <c r="F604" s="2" t="s">
        <v>15</v>
      </c>
      <c r="G604" s="2" t="s">
        <v>1754</v>
      </c>
      <c r="H604" s="2" t="s">
        <v>453</v>
      </c>
      <c r="I604" s="2" t="str">
        <f>IFERROR(__xludf.DUMMYFUNCTION("GOOGLETRANSLATE(C604,""fr"",""en"")"),"I assured with Romu my Harley 1200 I made 200 euros of economy per year. Recommend, simple easy effective.")</f>
        <v>I assured with Romu my Harley 1200 I made 200 euros of economy per year. Recommend, simple easy effective.</v>
      </c>
    </row>
    <row r="605" ht="15.75" customHeight="1">
      <c r="A605" s="2">
        <v>1.0</v>
      </c>
      <c r="B605" s="2" t="s">
        <v>1755</v>
      </c>
      <c r="C605" s="2" t="s">
        <v>1756</v>
      </c>
      <c r="D605" s="2" t="s">
        <v>135</v>
      </c>
      <c r="E605" s="2" t="s">
        <v>60</v>
      </c>
      <c r="F605" s="2" t="s">
        <v>15</v>
      </c>
      <c r="G605" s="2" t="s">
        <v>1254</v>
      </c>
      <c r="H605" s="2" t="s">
        <v>48</v>
      </c>
      <c r="I605" s="2" t="str">
        <f>IFERROR(__xludf.DUMMYFUNCTION("GOOGLETRANSLATE(C605,""fr"",""en"")"),"Disappointed, before making sure I like any other insurance I sent my information statement of the vehicle concerned and I find myself terminating for a disaster break of ice due to the blow that dates from 3 years by wholesale they never do Nothing decla"&amp;"red and they are surprised by insurance")</f>
        <v>Disappointed, before making sure I like any other insurance I sent my information statement of the vehicle concerned and I find myself terminating for a disaster break of ice due to the blow that dates from 3 years by wholesale they never do Nothing declared and they are surprised by insurance</v>
      </c>
    </row>
    <row r="606" ht="15.75" customHeight="1">
      <c r="A606" s="2">
        <v>3.0</v>
      </c>
      <c r="B606" s="2" t="s">
        <v>1757</v>
      </c>
      <c r="C606" s="2" t="s">
        <v>1758</v>
      </c>
      <c r="D606" s="2" t="s">
        <v>196</v>
      </c>
      <c r="E606" s="2" t="s">
        <v>82</v>
      </c>
      <c r="F606" s="2" t="s">
        <v>15</v>
      </c>
      <c r="G606" s="2" t="s">
        <v>1759</v>
      </c>
      <c r="H606" s="2" t="s">
        <v>395</v>
      </c>
      <c r="I606" s="2" t="str">
        <f>IFERROR(__xludf.DUMMYFUNCTION("GOOGLETRANSLATE(C606,""fr"",""en"")"),"RAS ..................................................... .................................................. .................................................. .................................................. .....................")</f>
        <v>RAS ..................................................... .................................................. .................................................. .................................................. .....................</v>
      </c>
    </row>
    <row r="607" ht="15.75" customHeight="1">
      <c r="A607" s="2">
        <v>1.0</v>
      </c>
      <c r="B607" s="2" t="s">
        <v>1760</v>
      </c>
      <c r="C607" s="2" t="s">
        <v>1761</v>
      </c>
      <c r="D607" s="2" t="s">
        <v>42</v>
      </c>
      <c r="E607" s="2" t="s">
        <v>21</v>
      </c>
      <c r="F607" s="2" t="s">
        <v>15</v>
      </c>
      <c r="G607" s="2" t="s">
        <v>1762</v>
      </c>
      <c r="H607" s="2" t="s">
        <v>177</v>
      </c>
      <c r="I607" s="2" t="str">
        <f>IFERROR(__xludf.DUMMYFUNCTION("GOOGLETRANSLATE(C607,""fr"",""en"")"),"To flee !
At first glance the prices are interesting ... Except that we quickly realize that it is better to pay a little more expensive but to be well insured.
I have been on “all risks” cover for over 8 years at the Olivier. After a flight of my 4 whe"&amp;"els, with break-in (broken rear window) because my wheels have an anti-theft nut; I am not told the closed of the contract when I declared my disaster that the wheels are not covered, even in ""all risks"".
Indeed, this closed is specified so it could be"&amp;" an error on my part; But this closed is only specified in the general contract. My interlocutor should not even be aware or in any case he was careful not to let me know!
I have my car repaid that my costs would be charged and finally I am only informed"&amp;" 4 days after my 4 wheels are my responsibility. So for an invoice of € 4,200 and once the deduction deducted, insurance reimburses only € 400.
Thank you Olivier Assurance!")</f>
        <v>To flee !
At first glance the prices are interesting ... Except that we quickly realize that it is better to pay a little more expensive but to be well insured.
I have been on “all risks” cover for over 8 years at the Olivier. After a flight of my 4 wheels, with break-in (broken rear window) because my wheels have an anti-theft nut; I am not told the closed of the contract when I declared my disaster that the wheels are not covered, even in "all risks".
Indeed, this closed is specified so it could be an error on my part; But this closed is only specified in the general contract. My interlocutor should not even be aware or in any case he was careful not to let me know!
I have my car repaid that my costs would be charged and finally I am only informed 4 days after my 4 wheels are my responsibility. So for an invoice of € 4,200 and once the deduction deducted, insurance reimburses only € 400.
Thank you Olivier Assurance!</v>
      </c>
    </row>
    <row r="608" ht="15.75" customHeight="1">
      <c r="A608" s="2">
        <v>1.0</v>
      </c>
      <c r="B608" s="2" t="s">
        <v>1763</v>
      </c>
      <c r="C608" s="2" t="s">
        <v>1764</v>
      </c>
      <c r="D608" s="2" t="s">
        <v>32</v>
      </c>
      <c r="E608" s="2" t="s">
        <v>21</v>
      </c>
      <c r="F608" s="2" t="s">
        <v>15</v>
      </c>
      <c r="G608" s="2" t="s">
        <v>1765</v>
      </c>
      <c r="H608" s="2" t="s">
        <v>104</v>
      </c>
      <c r="I608" s="2" t="str">
        <f>IFERROR(__xludf.DUMMYFUNCTION("GOOGLETRANSLATE(C608,""fr"",""en"")"),"I wanted to ensure a new vehicle, your quote via my personal space at € 549.86/year, the same quiston via the ferrets.com at 378.06 €/year or 172 € difference &gt;&gt; 30% !! I want to believe at a call price, but not of this order!")</f>
        <v>I wanted to ensure a new vehicle, your quote via my personal space at € 549.86/year, the same quiston via the ferrets.com at 378.06 €/year or 172 € difference &gt;&gt; 30% !! I want to believe at a call price, but not of this order!</v>
      </c>
    </row>
    <row r="609" ht="15.75" customHeight="1">
      <c r="A609" s="2">
        <v>4.0</v>
      </c>
      <c r="B609" s="2" t="s">
        <v>1766</v>
      </c>
      <c r="C609" s="2" t="s">
        <v>1767</v>
      </c>
      <c r="D609" s="2" t="s">
        <v>42</v>
      </c>
      <c r="E609" s="2" t="s">
        <v>21</v>
      </c>
      <c r="F609" s="2" t="s">
        <v>15</v>
      </c>
      <c r="G609" s="2" t="s">
        <v>184</v>
      </c>
      <c r="H609" s="2" t="s">
        <v>29</v>
      </c>
      <c r="I609" s="2" t="str">
        <f>IFERROR(__xludf.DUMMYFUNCTION("GOOGLETRANSLATE(C609,""fr"",""en"")"),"I am satisfied with what it is offered to me and I was very well received. The prices are much more interesting than in competitors with almost the same protections.")</f>
        <v>I am satisfied with what it is offered to me and I was very well received. The prices are much more interesting than in competitors with almost the same protections.</v>
      </c>
    </row>
    <row r="610" ht="15.75" customHeight="1">
      <c r="A610" s="2">
        <v>5.0</v>
      </c>
      <c r="B610" s="2" t="s">
        <v>1768</v>
      </c>
      <c r="C610" s="2" t="s">
        <v>1769</v>
      </c>
      <c r="D610" s="2" t="s">
        <v>32</v>
      </c>
      <c r="E610" s="2" t="s">
        <v>21</v>
      </c>
      <c r="F610" s="2" t="s">
        <v>15</v>
      </c>
      <c r="G610" s="2" t="s">
        <v>826</v>
      </c>
      <c r="H610" s="2" t="s">
        <v>56</v>
      </c>
      <c r="I610" s="2" t="str">
        <f>IFERROR(__xludf.DUMMYFUNCTION("GOOGLETRANSLATE(C610,""fr"",""en"")"),"I pay dearly at the Macif I will terminate now thank you for everything I hope to receive my sticker new collaboration is perfect ?? We will see what it gives")</f>
        <v>I pay dearly at the Macif I will terminate now thank you for everything I hope to receive my sticker new collaboration is perfect ?? We will see what it gives</v>
      </c>
    </row>
    <row r="611" ht="15.75" customHeight="1">
      <c r="A611" s="2">
        <v>1.0</v>
      </c>
      <c r="B611" s="2" t="s">
        <v>1770</v>
      </c>
      <c r="C611" s="2" t="s">
        <v>1771</v>
      </c>
      <c r="D611" s="2" t="s">
        <v>98</v>
      </c>
      <c r="E611" s="2" t="s">
        <v>21</v>
      </c>
      <c r="F611" s="2" t="s">
        <v>15</v>
      </c>
      <c r="G611" s="2" t="s">
        <v>585</v>
      </c>
      <c r="H611" s="2" t="s">
        <v>159</v>
      </c>
      <c r="I611" s="2" t="str">
        <f>IFERROR(__xludf.DUMMYFUNCTION("GOOGLETRANSLATE(C611,""fr"",""en"")"),"Flee Flee Flee, ... they attract people to their traps with attractive prices. They ask to pay 2 months of monthly payments to the subscription but in the end you pay every month. They wrongly write the information given after they ask you to pay modifica"&amp;"tion fees of € 50 and an increase of € 30 on the subscription because they have noted badly. It's really crazy !! You request a renunciation within 24 hours of the contract subscription, they tell you that you are not entitled and that you must make a ter"&amp;"mination thus not receive a refund.
A word of advice: pay more elsewhere you will be quiet. They really gave me a headache! RUN AWAY! RUN AWAY! RUN AWAY!")</f>
        <v>Flee Flee Flee, ... they attract people to their traps with attractive prices. They ask to pay 2 months of monthly payments to the subscription but in the end you pay every month. They wrongly write the information given after they ask you to pay modification fees of € 50 and an increase of € 30 on the subscription because they have noted badly. It's really crazy !! You request a renunciation within 24 hours of the contract subscription, they tell you that you are not entitled and that you must make a termination thus not receive a refund.
A word of advice: pay more elsewhere you will be quiet. They really gave me a headache! RUN AWAY! RUN AWAY! RUN AWAY!</v>
      </c>
    </row>
    <row r="612" ht="15.75" customHeight="1">
      <c r="A612" s="2">
        <v>1.0</v>
      </c>
      <c r="B612" s="2" t="s">
        <v>1772</v>
      </c>
      <c r="C612" s="2" t="s">
        <v>1773</v>
      </c>
      <c r="D612" s="2" t="s">
        <v>32</v>
      </c>
      <c r="E612" s="2" t="s">
        <v>21</v>
      </c>
      <c r="F612" s="2" t="s">
        <v>15</v>
      </c>
      <c r="G612" s="2" t="s">
        <v>1774</v>
      </c>
      <c r="H612" s="2" t="s">
        <v>108</v>
      </c>
      <c r="I612" s="2" t="str">
        <f>IFERROR(__xludf.DUMMYFUNCTION("GOOGLETRANSLATE(C612,""fr"",""en"")"),"My contract arriving at maturity I redo a simulation and I find cheaper at Direct Insurance. I call them but to avoid discussion I am told that we must first call the sales service then to the sales department I am told to reach my customer service which "&amp;"tells me the opposite")</f>
        <v>My contract arriving at maturity I redo a simulation and I find cheaper at Direct Insurance. I call them but to avoid discussion I am told that we must first call the sales service then to the sales department I am told to reach my customer service which tells me the opposite</v>
      </c>
    </row>
    <row r="613" ht="15.75" customHeight="1">
      <c r="A613" s="2">
        <v>5.0</v>
      </c>
      <c r="B613" s="2" t="s">
        <v>1775</v>
      </c>
      <c r="C613" s="2" t="s">
        <v>1776</v>
      </c>
      <c r="D613" s="2" t="s">
        <v>20</v>
      </c>
      <c r="E613" s="2" t="s">
        <v>21</v>
      </c>
      <c r="F613" s="2" t="s">
        <v>15</v>
      </c>
      <c r="G613" s="2" t="s">
        <v>1777</v>
      </c>
      <c r="H613" s="2" t="s">
        <v>166</v>
      </c>
      <c r="I613" s="2" t="str">
        <f>IFERROR(__xludf.DUMMYFUNCTION("GOOGLETRANSLATE(C613,""fr"",""en"")"),"Super insurance, they have always met my needs immediately for the car and the real estate! Nothing to say, I am very satisfied when I did not think of being!")</f>
        <v>Super insurance, they have always met my needs immediately for the car and the real estate! Nothing to say, I am very satisfied when I did not think of being!</v>
      </c>
    </row>
    <row r="614" ht="15.75" customHeight="1">
      <c r="A614" s="2">
        <v>3.0</v>
      </c>
      <c r="B614" s="2" t="s">
        <v>1778</v>
      </c>
      <c r="C614" s="2" t="s">
        <v>1779</v>
      </c>
      <c r="D614" s="2" t="s">
        <v>32</v>
      </c>
      <c r="E614" s="2" t="s">
        <v>21</v>
      </c>
      <c r="F614" s="2" t="s">
        <v>15</v>
      </c>
      <c r="G614" s="2" t="s">
        <v>843</v>
      </c>
      <c r="H614" s="2" t="s">
        <v>104</v>
      </c>
      <c r="I614" s="2" t="str">
        <f>IFERROR(__xludf.DUMMYFUNCTION("GOOGLETRANSLATE(C614,""fr"",""en"")"),"I am satisfied with direct insurance for the time I find that these somewhat expensive for a young driver who does not necessarily have the means
Cordially")</f>
        <v>I am satisfied with direct insurance for the time I find that these somewhat expensive for a young driver who does not necessarily have the means
Cordially</v>
      </c>
    </row>
    <row r="615" ht="15.75" customHeight="1">
      <c r="A615" s="2">
        <v>4.0</v>
      </c>
      <c r="B615" s="2" t="s">
        <v>1780</v>
      </c>
      <c r="C615" s="2" t="s">
        <v>1781</v>
      </c>
      <c r="D615" s="2" t="s">
        <v>32</v>
      </c>
      <c r="E615" s="2" t="s">
        <v>21</v>
      </c>
      <c r="F615" s="2" t="s">
        <v>15</v>
      </c>
      <c r="G615" s="2" t="s">
        <v>635</v>
      </c>
      <c r="H615" s="2" t="s">
        <v>62</v>
      </c>
      <c r="I615" s="2" t="str">
        <f>IFERROR(__xludf.DUMMYFUNCTION("GOOGLETRANSLATE(C615,""fr"",""en"")"),"I am satisfied but await a green card for 3 months and not 1 month as often, while waiting for my final gray card.
Thanks in advance,
Yves Meyer")</f>
        <v>I am satisfied but await a green card for 3 months and not 1 month as often, while waiting for my final gray card.
Thanks in advance,
Yves Meyer</v>
      </c>
    </row>
    <row r="616" ht="15.75" customHeight="1">
      <c r="A616" s="2">
        <v>4.0</v>
      </c>
      <c r="B616" s="2" t="s">
        <v>1782</v>
      </c>
      <c r="C616" s="2" t="s">
        <v>1783</v>
      </c>
      <c r="D616" s="2" t="s">
        <v>42</v>
      </c>
      <c r="E616" s="2" t="s">
        <v>21</v>
      </c>
      <c r="F616" s="2" t="s">
        <v>15</v>
      </c>
      <c r="G616" s="2" t="s">
        <v>1631</v>
      </c>
      <c r="H616" s="2" t="s">
        <v>359</v>
      </c>
      <c r="I616" s="2" t="str">
        <f>IFERROR(__xludf.DUMMYFUNCTION("GOOGLETRANSLATE(C616,""fr"",""en"")"),"Battled ""Malussé"" for the first time in 50 years of insurance, I found the Olivier a careful company and respectful of the ""risks"" of delicate situation of customers. By comparison, the rates are the best I have found. Since then, this insurer is avai"&amp;"lable and ""listening"" to the remarks made on the services and contract proposals. I am therefore very satisfied .. and I will see the use if other relationships have so good, especially in the event of a claim (speed and objectivity).
Just a remark tha"&amp;"t I made and which should be taken into account:
The proposals give way to a possible erroneous interpretation. The amount of the ""annual reference contribution"", without the initial subscription fees, does not appear clearly, because the 11 monthly pa"&amp;"yments after the first (incuse in the payment to the subscription) are reduced by an amount included in the payment to The subscription constituting an ""advance on annual premium"". As a result, the possible monthly payments for the years of renewal are "&amp;"confusing, and therefore to a false dispute.
Before subscribing, ask for a detailed quote!")</f>
        <v>Battled "Malussé" for the first time in 50 years of insurance, I found the Olivier a careful company and respectful of the "risks" of delicate situation of customers. By comparison, the rates are the best I have found. Since then, this insurer is available and "listening" to the remarks made on the services and contract proposals. I am therefore very satisfied .. and I will see the use if other relationships have so good, especially in the event of a claim (speed and objectivity).
Just a remark that I made and which should be taken into account:
The proposals give way to a possible erroneous interpretation. The amount of the "annual reference contribution", without the initial subscription fees, does not appear clearly, because the 11 monthly payments after the first (incuse in the payment to the subscription) are reduced by an amount included in the payment to The subscription constituting an "advance on annual premium". As a result, the possible monthly payments for the years of renewal are confusing, and therefore to a false dispute.
Before subscribing, ask for a detailed quote!</v>
      </c>
    </row>
    <row r="617" ht="15.75" customHeight="1">
      <c r="A617" s="2">
        <v>4.0</v>
      </c>
      <c r="B617" s="2" t="s">
        <v>1784</v>
      </c>
      <c r="C617" s="2" t="s">
        <v>1785</v>
      </c>
      <c r="D617" s="2" t="s">
        <v>430</v>
      </c>
      <c r="E617" s="2" t="s">
        <v>82</v>
      </c>
      <c r="F617" s="2" t="s">
        <v>15</v>
      </c>
      <c r="G617" s="2" t="s">
        <v>1786</v>
      </c>
      <c r="H617" s="2" t="s">
        <v>464</v>
      </c>
      <c r="I617" s="2" t="str">
        <f>IFERROR(__xludf.DUMMYFUNCTION("GOOGLETRANSLATE(C617,""fr"",""en"")"),"I am quite satisfied with the prices offered by the complementary health. I am also satisfied with the simplicity of reading and signing the online contract.")</f>
        <v>I am quite satisfied with the prices offered by the complementary health. I am also satisfied with the simplicity of reading and signing the online contract.</v>
      </c>
    </row>
    <row r="618" ht="15.75" customHeight="1">
      <c r="A618" s="2">
        <v>1.0</v>
      </c>
      <c r="B618" s="2" t="s">
        <v>1787</v>
      </c>
      <c r="C618" s="2" t="s">
        <v>1788</v>
      </c>
      <c r="D618" s="2" t="s">
        <v>72</v>
      </c>
      <c r="E618" s="2" t="s">
        <v>21</v>
      </c>
      <c r="F618" s="2" t="s">
        <v>15</v>
      </c>
      <c r="G618" s="2" t="s">
        <v>1273</v>
      </c>
      <c r="H618" s="2" t="s">
        <v>632</v>
      </c>
      <c r="I618" s="2" t="str">
        <f>IFERROR(__xludf.DUMMYFUNCTION("GOOGLETRANSLATE(C618,""fr"",""en"")"),"Since January 13, 2017, I have no follow -up of my file. Under the pretext of a striking error, namely 07/07/2017 instead of 01/13/2017 and the mention paid by ... The Matmut refuses to reimburse me all of the disaster. Everything that was asked for was s"&amp;"ent. To date, I do not know what it is from my file. Despite my multiple telephone calls, no one is able to point out to me what hinders the regulations. The advisers are mostly unpleasant and lesson donors. Having managed to know the phone number and the"&amp;" name of a manager, she is content to repeat to me that it takes his course. She certifies me that on March 15, a letter was sent to me or to date March 29, 2017, this allegedly sent letter has still not reached me. The manager with Ironie tells me that t"&amp;"he Matmut is in no way responsible. I strongly doubt his words. I pointed out to him that there were 2 other possibilities to send me a letter, through the site of the members or my email address. I do not receive any answer. I learned that 7 other people"&amp;" have seen their regulations blocked.")</f>
        <v>Since January 13, 2017, I have no follow -up of my file. Under the pretext of a striking error, namely 07/07/2017 instead of 01/13/2017 and the mention paid by ... The Matmut refuses to reimburse me all of the disaster. Everything that was asked for was sent. To date, I do not know what it is from my file. Despite my multiple telephone calls, no one is able to point out to me what hinders the regulations. The advisers are mostly unpleasant and lesson donors. Having managed to know the phone number and the name of a manager, she is content to repeat to me that it takes his course. She certifies me that on March 15, a letter was sent to me or to date March 29, 2017, this allegedly sent letter has still not reached me. The manager with Ironie tells me that the Matmut is in no way responsible. I strongly doubt his words. I pointed out to him that there were 2 other possibilities to send me a letter, through the site of the members or my email address. I do not receive any answer. I learned that 7 other people have seen their regulations blocked.</v>
      </c>
    </row>
    <row r="619" ht="15.75" customHeight="1">
      <c r="A619" s="2">
        <v>1.0</v>
      </c>
      <c r="B619" s="2" t="s">
        <v>1789</v>
      </c>
      <c r="C619" s="2" t="s">
        <v>1790</v>
      </c>
      <c r="D619" s="2" t="s">
        <v>313</v>
      </c>
      <c r="E619" s="2" t="s">
        <v>82</v>
      </c>
      <c r="F619" s="2" t="s">
        <v>15</v>
      </c>
      <c r="G619" s="2" t="s">
        <v>1791</v>
      </c>
      <c r="H619" s="2" t="s">
        <v>159</v>
      </c>
      <c r="I619" s="2" t="str">
        <f>IFERROR(__xludf.DUMMYFUNCTION("GOOGLETRANSLATE(C619,""fr"",""en"")"),"Catastrophic !!!
Lamentable service. More than a month of waiting for an optical refund which is currently not settled !!!!
More than 20 minutes of waiting to have someone online and never the same answer. Not to mention the emails that have remained un"&amp;"answered.
Mandatory mutual therefore what is the solution ???")</f>
        <v>Catastrophic !!!
Lamentable service. More than a month of waiting for an optical refund which is currently not settled !!!!
More than 20 minutes of waiting to have someone online and never the same answer. Not to mention the emails that have remained unanswered.
Mandatory mutual therefore what is the solution ???</v>
      </c>
    </row>
    <row r="620" ht="15.75" customHeight="1">
      <c r="A620" s="2">
        <v>4.0</v>
      </c>
      <c r="B620" s="2" t="s">
        <v>1792</v>
      </c>
      <c r="C620" s="2" t="s">
        <v>1793</v>
      </c>
      <c r="D620" s="2" t="s">
        <v>32</v>
      </c>
      <c r="E620" s="2" t="s">
        <v>21</v>
      </c>
      <c r="F620" s="2" t="s">
        <v>15</v>
      </c>
      <c r="G620" s="2" t="s">
        <v>467</v>
      </c>
      <c r="H620" s="2" t="s">
        <v>104</v>
      </c>
      <c r="I620" s="2" t="str">
        <f>IFERROR(__xludf.DUMMYFUNCTION("GOOGLETRANSLATE(C620,""fr"",""en"")"),"The prices are in line with expectations, well -placed compared to competition,
The reception is effective,
Access is very easily
The services meet expectations.")</f>
        <v>The prices are in line with expectations, well -placed compared to competition,
The reception is effective,
Access is very easily
The services meet expectations.</v>
      </c>
    </row>
    <row r="621" ht="15.75" customHeight="1">
      <c r="A621" s="2">
        <v>2.0</v>
      </c>
      <c r="B621" s="2" t="s">
        <v>1794</v>
      </c>
      <c r="C621" s="2" t="s">
        <v>1795</v>
      </c>
      <c r="D621" s="2" t="s">
        <v>32</v>
      </c>
      <c r="E621" s="2" t="s">
        <v>21</v>
      </c>
      <c r="F621" s="2" t="s">
        <v>15</v>
      </c>
      <c r="G621" s="2" t="s">
        <v>1796</v>
      </c>
      <c r="H621" s="2" t="s">
        <v>78</v>
      </c>
      <c r="I621" s="2" t="str">
        <f>IFERROR(__xludf.DUMMYFUNCTION("GOOGLETRANSLATE(C621,""fr"",""en"")"),"Attention attractive price to registration which for my part to increase the following year by 25% and the 3rd year still a similar increase, forced to call them to negotiate the price if not after 3 years, you pay the same thing at another insurer and al"&amp;"l with fewer guarantees")</f>
        <v>Attention attractive price to registration which for my part to increase the following year by 25% and the 3rd year still a similar increase, forced to call them to negotiate the price if not after 3 years, you pay the same thing at another insurer and all with fewer guarantees</v>
      </c>
    </row>
    <row r="622" ht="15.75" customHeight="1">
      <c r="A622" s="2">
        <v>3.0</v>
      </c>
      <c r="B622" s="2" t="s">
        <v>1797</v>
      </c>
      <c r="C622" s="2" t="s">
        <v>1798</v>
      </c>
      <c r="D622" s="2" t="s">
        <v>32</v>
      </c>
      <c r="E622" s="2" t="s">
        <v>21</v>
      </c>
      <c r="F622" s="2" t="s">
        <v>15</v>
      </c>
      <c r="G622" s="2" t="s">
        <v>126</v>
      </c>
      <c r="H622" s="2" t="s">
        <v>126</v>
      </c>
      <c r="I622" s="2" t="str">
        <f>IFERROR(__xludf.DUMMYFUNCTION("GOOGLETRANSLATE(C622,""fr"",""en"")"),"I wish to receive my detailed quote before deciding on the value for money of your car insurance while waiting, cordially")</f>
        <v>I wish to receive my detailed quote before deciding on the value for money of your car insurance while waiting, cordially</v>
      </c>
    </row>
    <row r="623" ht="15.75" customHeight="1">
      <c r="A623" s="2">
        <v>2.0</v>
      </c>
      <c r="B623" s="2" t="s">
        <v>1799</v>
      </c>
      <c r="C623" s="2" t="s">
        <v>1800</v>
      </c>
      <c r="D623" s="2" t="s">
        <v>129</v>
      </c>
      <c r="E623" s="2" t="s">
        <v>33</v>
      </c>
      <c r="F623" s="2" t="s">
        <v>15</v>
      </c>
      <c r="G623" s="2" t="s">
        <v>1801</v>
      </c>
      <c r="H623" s="2" t="s">
        <v>1347</v>
      </c>
      <c r="I623" s="2" t="str">
        <f>IFERROR(__xludf.DUMMYFUNCTION("GOOGLETRANSLATE(C623,""fr"",""en"")"),"Insured for 47 years without a claim, ras. But for 2 claims storms the problems accumulate. Unreachable claim service even by SCE Customer and Agency. No news since receipt of the favorable expertise report. On the other hand, increase in insurance 22%. I"&amp;" do not recommend GMF for their completely disastrous sinister management.")</f>
        <v>Insured for 47 years without a claim, ras. But for 2 claims storms the problems accumulate. Unreachable claim service even by SCE Customer and Agency. No news since receipt of the favorable expertise report. On the other hand, increase in insurance 22%. I do not recommend GMF for their completely disastrous sinister management.</v>
      </c>
    </row>
    <row r="624" ht="15.75" customHeight="1">
      <c r="A624" s="2">
        <v>3.0</v>
      </c>
      <c r="B624" s="2" t="s">
        <v>1802</v>
      </c>
      <c r="C624" s="2" t="s">
        <v>1803</v>
      </c>
      <c r="D624" s="2" t="s">
        <v>430</v>
      </c>
      <c r="E624" s="2" t="s">
        <v>82</v>
      </c>
      <c r="F624" s="2" t="s">
        <v>15</v>
      </c>
      <c r="G624" s="2" t="s">
        <v>1804</v>
      </c>
      <c r="H624" s="2" t="s">
        <v>632</v>
      </c>
      <c r="I624" s="2" t="str">
        <f>IFERROR(__xludf.DUMMYFUNCTION("GOOGLETRANSLATE(C624,""fr"",""en"")"),"ok very interesting as a proposal, I appreciate this offer at its fair value")</f>
        <v>ok very interesting as a proposal, I appreciate this offer at its fair value</v>
      </c>
    </row>
    <row r="625" ht="15.75" customHeight="1">
      <c r="A625" s="2">
        <v>5.0</v>
      </c>
      <c r="B625" s="2" t="s">
        <v>1805</v>
      </c>
      <c r="C625" s="2" t="s">
        <v>1806</v>
      </c>
      <c r="D625" s="2" t="s">
        <v>20</v>
      </c>
      <c r="E625" s="2" t="s">
        <v>21</v>
      </c>
      <c r="F625" s="2" t="s">
        <v>15</v>
      </c>
      <c r="G625" s="2" t="s">
        <v>1237</v>
      </c>
      <c r="H625" s="2" t="s">
        <v>159</v>
      </c>
      <c r="I625" s="2" t="str">
        <f>IFERROR(__xludf.DUMMYFUNCTION("GOOGLETRANSLATE(C625,""fr"",""en"")"),"Always responsive and customer service is very good. The price is not high I am as a young driver is I compared the prices with other insurer who are higher in terms of their price.")</f>
        <v>Always responsive and customer service is very good. The price is not high I am as a young driver is I compared the prices with other insurer who are higher in terms of their price.</v>
      </c>
    </row>
    <row r="626" ht="15.75" customHeight="1">
      <c r="A626" s="2">
        <v>2.0</v>
      </c>
      <c r="B626" s="2" t="s">
        <v>1807</v>
      </c>
      <c r="C626" s="2" t="s">
        <v>1808</v>
      </c>
      <c r="D626" s="2" t="s">
        <v>425</v>
      </c>
      <c r="E626" s="2" t="s">
        <v>220</v>
      </c>
      <c r="F626" s="2" t="s">
        <v>15</v>
      </c>
      <c r="G626" s="2" t="s">
        <v>1809</v>
      </c>
      <c r="H626" s="2" t="s">
        <v>419</v>
      </c>
      <c r="I626" s="2" t="str">
        <f>IFERROR(__xludf.DUMMYFUNCTION("GOOGLETRANSLATE(C626,""fr"",""en"")"),"Customer at BNP, I opened 4 life insurance contracts at Cortal. Once the amounts of the UCs and the Euros funds have been established, I realized that the amounts paid did not correspond to what was decided with the advisor. I asked to correct the amounts"&amp;", but instead I had two new samples from my account: this is the amount corrected, but the old amount was not reimbursed. This problem was reported on June 5. Today, on June 28, I have still not been reimbursed and I find myself with a big missing summon "&amp;"of my check account and I do not have the free availability of my money. More than 23 days to correct a cardif and/or BNP error and extremely long and causes me a major liquidity problem. Cardif promised to sew up the problem ""in some day"". 3 weeks have"&amp;" passed.")</f>
        <v>Customer at BNP, I opened 4 life insurance contracts at Cortal. Once the amounts of the UCs and the Euros funds have been established, I realized that the amounts paid did not correspond to what was decided with the advisor. I asked to correct the amounts, but instead I had two new samples from my account: this is the amount corrected, but the old amount was not reimbursed. This problem was reported on June 5. Today, on June 28, I have still not been reimbursed and I find myself with a big missing summon of my check account and I do not have the free availability of my money. More than 23 days to correct a cardif and/or BNP error and extremely long and causes me a major liquidity problem. Cardif promised to sew up the problem "in some day". 3 weeks have passed.</v>
      </c>
    </row>
    <row r="627" ht="15.75" customHeight="1">
      <c r="A627" s="2">
        <v>2.0</v>
      </c>
      <c r="B627" s="2" t="s">
        <v>1810</v>
      </c>
      <c r="C627" s="2" t="s">
        <v>1811</v>
      </c>
      <c r="D627" s="2" t="s">
        <v>98</v>
      </c>
      <c r="E627" s="2" t="s">
        <v>21</v>
      </c>
      <c r="F627" s="2" t="s">
        <v>15</v>
      </c>
      <c r="G627" s="2" t="s">
        <v>1812</v>
      </c>
      <c r="H627" s="2" t="s">
        <v>222</v>
      </c>
      <c r="I627" s="2" t="str">
        <f>IFERROR(__xludf.DUMMYFUNCTION("GOOGLETRANSLATE(C627,""fr"",""en"")"),"Hello, Client number 251634
I should never have ...
I signed a contract with Active Insurance on 04/13/2017 and since I have sent the requested documents every day: R.I.B, ​​copy of the quote signed and dated with Certificate on honor, driving license, "&amp;"gray card, cni ...
One day, they received the RIB, the next day no. They receive the documents half when it is in the same email ...!
If it continues I will terminate and even file a complaint if by Monday the problem is not resolved. In addition next w"&amp;"eek I am in Paris, I will kill two strokes with one stone.
Has anyone had this very bad experience with this company?")</f>
        <v>Hello, Client number 251634
I should never have ...
I signed a contract with Active Insurance on 04/13/2017 and since I have sent the requested documents every day: R.I.B, ​​copy of the quote signed and dated with Certificate on honor, driving license, gray card, cni ...
One day, they received the RIB, the next day no. They receive the documents half when it is in the same email ...!
If it continues I will terminate and even file a complaint if by Monday the problem is not resolved. In addition next week I am in Paris, I will kill two strokes with one stone.
Has anyone had this very bad experience with this company?</v>
      </c>
    </row>
    <row r="628" ht="15.75" customHeight="1">
      <c r="A628" s="2">
        <v>2.0</v>
      </c>
      <c r="B628" s="2" t="s">
        <v>1813</v>
      </c>
      <c r="C628" s="2" t="s">
        <v>1814</v>
      </c>
      <c r="D628" s="2" t="s">
        <v>72</v>
      </c>
      <c r="E628" s="2" t="s">
        <v>21</v>
      </c>
      <c r="F628" s="2" t="s">
        <v>15</v>
      </c>
      <c r="G628" s="2" t="s">
        <v>1815</v>
      </c>
      <c r="H628" s="2" t="s">
        <v>126</v>
      </c>
      <c r="I628" s="2" t="str">
        <f>IFERROR(__xludf.DUMMYFUNCTION("GOOGLETRANSLATE(C628,""fr"",""en"")"),"The matmut she does not ensure ...
Blow of geule against the matmut assurance of which I have been a member since 2006;
I never had a responsible accident, but in March 2020 I had the misfortune to have a non -responsible attach that the expertise o"&amp;"f the vehicle took place by their mandated expert and that the expert gave me his green lights for repairs.
Now that the repairs are made (more than a month after the expertise) all the excuses are good for dragging the payment of repairs to the garage"&amp;" and therefore blocking the vehicle to prevent me from going on vacation with.
It is apparently not normal to have a hybrid Cayenne Porsche, I wonder it is the problem? My origins or my age? I say that because now I am asked to prove the origin of the "&amp;"funds with which I bought the vehicle supposedly to fight against money laundering and against the financing of terrorism alor that I would not receive a euro of compensation Since I went to an approved garage so as not to have to advance the costs.
I "&amp;"must therefore provide a tax notice, a pay sheet, an account statement and so on ... What I did but the! As if by chance, the headquarters never receive my documents or cannot open the ALOR emails that I transmit them directly via a Matmut agency and to b"&amp;"e sure of the good reception it is up to me to check that they have been well received my documents at the fax.
Once the documents are received, I have been given a processing period of several weeks (the beautiful excuse of the COVIR19) and I am told "&amp;"that I will be kept informed by mail and that it is possible that I am asked to Another documents or how I also bought my previous vehicles.
(While my vehicle is still blocked in the garage in summer holiday periods).
All these documents that have nev"&amp;"er been claimed to subscribe to the contract or the previous ones.
I am not against monitoring money laundering and the financing of terrorism (even if I do not see how it is the role of insurance) but it is clearly excuses to drag the file and not to "&amp;"compensate.
I contacted a lawyer specializing in insurance law which is ready to take charge of the file because it is apparently a recurring behavior on the part of the Matmtut but it still engages a advance of costs for me in addition to having Take "&amp;"the train with my family and then rent a car on my vacation spot.
Now the garage announces that it closes for the month of August and that if the repairs are not paid before my vehicle will be blocked until September.
Matmut do you have any explanat"&amp;"ions to provide your members or future members on this kind of behavior?
N.D
File N/Ref: 20 0M 92018 E - 76P1 -G
")</f>
        <v>The matmut she does not ensure ...
Blow of geule against the matmut assurance of which I have been a member since 2006;
I never had a responsible accident, but in March 2020 I had the misfortune to have a non -responsible attach that the expertise of the vehicle took place by their mandated expert and that the expert gave me his green lights for repairs.
Now that the repairs are made (more than a month after the expertise) all the excuses are good for dragging the payment of repairs to the garage and therefore blocking the vehicle to prevent me from going on vacation with.
It is apparently not normal to have a hybrid Cayenne Porsche, I wonder it is the problem? My origins or my age? I say that because now I am asked to prove the origin of the funds with which I bought the vehicle supposedly to fight against money laundering and against the financing of terrorism alor that I would not receive a euro of compensation Since I went to an approved garage so as not to have to advance the costs.
I must therefore provide a tax notice, a pay sheet, an account statement and so on ... What I did but the! As if by chance, the headquarters never receive my documents or cannot open the ALOR emails that I transmit them directly via a Matmut agency and to be sure of the good reception it is up to me to check that they have been well received my documents at the fax.
Once the documents are received, I have been given a processing period of several weeks (the beautiful excuse of the COVIR19) and I am told that I will be kept informed by mail and that it is possible that I am asked to Another documents or how I also bought my previous vehicles.
(While my vehicle is still blocked in the garage in summer holiday periods).
All these documents that have never been claimed to subscribe to the contract or the previous ones.
I am not against monitoring money laundering and the financing of terrorism (even if I do not see how it is the role of insurance) but it is clearly excuses to drag the file and not to compensate.
I contacted a lawyer specializing in insurance law which is ready to take charge of the file because it is apparently a recurring behavior on the part of the Matmtut but it still engages a advance of costs for me in addition to having Take the train with my family and then rent a car on my vacation spot.
Now the garage announces that it closes for the month of August and that if the repairs are not paid before my vehicle will be blocked until September.
Matmut do you have any explanations to provide your members or future members on this kind of behavior?
N.D
File N/Ref: 20 0M 92018 E - 76P1 -G
</v>
      </c>
    </row>
    <row r="629" ht="15.75" customHeight="1">
      <c r="A629" s="2">
        <v>5.0</v>
      </c>
      <c r="B629" s="2" t="s">
        <v>1816</v>
      </c>
      <c r="C629" s="2" t="s">
        <v>1817</v>
      </c>
      <c r="D629" s="2" t="s">
        <v>32</v>
      </c>
      <c r="E629" s="2" t="s">
        <v>21</v>
      </c>
      <c r="F629" s="2" t="s">
        <v>15</v>
      </c>
      <c r="G629" s="2" t="s">
        <v>729</v>
      </c>
      <c r="H629" s="2" t="s">
        <v>104</v>
      </c>
      <c r="I629" s="2" t="str">
        <f>IFERROR(__xludf.DUMMYFUNCTION("GOOGLETRANSLATE(C629,""fr"",""en"")"),"Very good practical price easy to use I am happy that I am advised to make sure at home continue like that I like it and God keep you")</f>
        <v>Very good practical price easy to use I am happy that I am advised to make sure at home continue like that I like it and God keep you</v>
      </c>
    </row>
    <row r="630" ht="15.75" customHeight="1">
      <c r="A630" s="2">
        <v>2.0</v>
      </c>
      <c r="B630" s="2" t="s">
        <v>1818</v>
      </c>
      <c r="C630" s="2" t="s">
        <v>1819</v>
      </c>
      <c r="D630" s="2" t="s">
        <v>183</v>
      </c>
      <c r="E630" s="2" t="s">
        <v>21</v>
      </c>
      <c r="F630" s="2" t="s">
        <v>15</v>
      </c>
      <c r="G630" s="2" t="s">
        <v>1820</v>
      </c>
      <c r="H630" s="2" t="s">
        <v>177</v>
      </c>
      <c r="I630" s="2" t="str">
        <f>IFERROR(__xludf.DUMMYFUNCTION("GOOGLETRANSLATE(C630,""fr"",""en"")"),"Impossible to have a processing of requests by phone, waiting&gt; 25 minutes, to be hung on the nose then
4 calls on 20/11/2020 morning and 4 calls on 12/19/2020 afternoon !!!!
DEPLORABLE")</f>
        <v>Impossible to have a processing of requests by phone, waiting&gt; 25 minutes, to be hung on the nose then
4 calls on 20/11/2020 morning and 4 calls on 12/19/2020 afternoon !!!!
DEPLORABLE</v>
      </c>
    </row>
    <row r="631" ht="15.75" customHeight="1">
      <c r="A631" s="2">
        <v>2.0</v>
      </c>
      <c r="B631" s="2" t="s">
        <v>1821</v>
      </c>
      <c r="C631" s="2" t="s">
        <v>1822</v>
      </c>
      <c r="D631" s="2" t="s">
        <v>209</v>
      </c>
      <c r="E631" s="2" t="s">
        <v>82</v>
      </c>
      <c r="F631" s="2" t="s">
        <v>15</v>
      </c>
      <c r="G631" s="2" t="s">
        <v>1823</v>
      </c>
      <c r="H631" s="2" t="s">
        <v>561</v>
      </c>
      <c r="I631" s="2" t="str">
        <f>IFERROR(__xludf.DUMMYFUNCTION("GOOGLETRANSLATE(C631,""fr"",""en"")"),"Check your contributions calls:
2017 contribution call
The mentioned income is higher than that appearing in my tax notice. I do an email to customer service by indicating my overall gross income and the reference tax income all 2 of € 1000 to the refer"&amp;"ence amount appearing on the contribution call.
I expected an answer based on the information I communicated.
Answer: a simple repetition of the contribution call ""Your subscription is calculated on the sum of ... and a rate of ... thank you. No answer"&amp;" to my question on the difference of € 1000.
It is this mockery of the world.
I relaunched by asking for a serious response")</f>
        <v>Check your contributions calls:
2017 contribution call
The mentioned income is higher than that appearing in my tax notice. I do an email to customer service by indicating my overall gross income and the reference tax income all 2 of € 1000 to the reference amount appearing on the contribution call.
I expected an answer based on the information I communicated.
Answer: a simple repetition of the contribution call "Your subscription is calculated on the sum of ... and a rate of ... thank you. No answer to my question on the difference of € 1000.
It is this mockery of the world.
I relaunched by asking for a serious response</v>
      </c>
    </row>
    <row r="632" ht="15.75" customHeight="1">
      <c r="A632" s="2">
        <v>1.0</v>
      </c>
      <c r="B632" s="2" t="s">
        <v>1824</v>
      </c>
      <c r="C632" s="2" t="s">
        <v>1825</v>
      </c>
      <c r="D632" s="2" t="s">
        <v>98</v>
      </c>
      <c r="E632" s="2" t="s">
        <v>21</v>
      </c>
      <c r="F632" s="2" t="s">
        <v>15</v>
      </c>
      <c r="G632" s="2" t="s">
        <v>1826</v>
      </c>
      <c r="H632" s="2" t="s">
        <v>48</v>
      </c>
      <c r="I632" s="2" t="str">
        <f>IFERROR(__xludf.DUMMYFUNCTION("GOOGLETRANSLATE(C632,""fr"",""en"")"),"I only put 1 star because 0 is ...
I only put 1 star because 0 is possible. to flee !!!
They will do everything so as not to take care of you once paid or they will do everything to increase the subscription !!! Amateurs in insurance. lamentable and not"&amp;" serious service at all. I prefer to lose the money already paid and to spend a real insure .... I do not even imagine that it will give in the event of a disaster. Obviously, this insurance is in bad faith ... I will therefore contact a consumer service.")</f>
        <v>I only put 1 star because 0 is ...
I only put 1 star because 0 is possible. to flee !!!
They will do everything so as not to take care of you once paid or they will do everything to increase the subscription !!! Amateurs in insurance. lamentable and not serious service at all. I prefer to lose the money already paid and to spend a real insure .... I do not even imagine that it will give in the event of a disaster. Obviously, this insurance is in bad faith ... I will therefore contact a consumer service.</v>
      </c>
    </row>
    <row r="633" ht="15.75" customHeight="1">
      <c r="A633" s="2">
        <v>5.0</v>
      </c>
      <c r="B633" s="2" t="s">
        <v>1827</v>
      </c>
      <c r="C633" s="2" t="s">
        <v>1828</v>
      </c>
      <c r="D633" s="2" t="s">
        <v>135</v>
      </c>
      <c r="E633" s="2" t="s">
        <v>60</v>
      </c>
      <c r="F633" s="2" t="s">
        <v>15</v>
      </c>
      <c r="G633" s="2" t="s">
        <v>1157</v>
      </c>
      <c r="H633" s="2" t="s">
        <v>62</v>
      </c>
      <c r="I633" s="2" t="str">
        <f>IFERROR(__xludf.DUMMYFUNCTION("GOOGLETRANSLATE(C633,""fr"",""en"")"),"I am satisfied with the service and the person who calls me I am a new customer I hope to be satisfied during our collaboration thank you for everything")</f>
        <v>I am satisfied with the service and the person who calls me I am a new customer I hope to be satisfied during our collaboration thank you for everything</v>
      </c>
    </row>
    <row r="634" ht="15.75" customHeight="1">
      <c r="A634" s="2">
        <v>3.0</v>
      </c>
      <c r="B634" s="2" t="s">
        <v>1829</v>
      </c>
      <c r="C634" s="2" t="s">
        <v>1830</v>
      </c>
      <c r="D634" s="2" t="s">
        <v>196</v>
      </c>
      <c r="E634" s="2" t="s">
        <v>82</v>
      </c>
      <c r="F634" s="2" t="s">
        <v>15</v>
      </c>
      <c r="G634" s="2" t="s">
        <v>813</v>
      </c>
      <c r="H634" s="2" t="s">
        <v>250</v>
      </c>
      <c r="I634" s="2" t="str">
        <f>IFERROR(__xludf.DUMMYFUNCTION("GOOGLETRANSLATE(C634,""fr"",""en"")"),"I am very disappointed with this mutual health insurance which reimburses us our medical expenses after several months with a lot of problems to all the potential customers I tell them do not register you in Néoliane Santé is a disaster M h")</f>
        <v>I am very disappointed with this mutual health insurance which reimburses us our medical expenses after several months with a lot of problems to all the potential customers I tell them do not register you in Néoliane Santé is a disaster M h</v>
      </c>
    </row>
    <row r="635" ht="15.75" customHeight="1">
      <c r="A635" s="2">
        <v>3.0</v>
      </c>
      <c r="B635" s="2" t="s">
        <v>1831</v>
      </c>
      <c r="C635" s="2" t="s">
        <v>1832</v>
      </c>
      <c r="D635" s="2" t="s">
        <v>32</v>
      </c>
      <c r="E635" s="2" t="s">
        <v>21</v>
      </c>
      <c r="F635" s="2" t="s">
        <v>15</v>
      </c>
      <c r="G635" s="2" t="s">
        <v>1833</v>
      </c>
      <c r="H635" s="2" t="s">
        <v>62</v>
      </c>
      <c r="I635" s="2" t="str">
        <f>IFERROR(__xludf.DUMMYFUNCTION("GOOGLETRANSLATE(C635,""fr"",""en"")"),"The prices satisfy me on the other hand, it was impossible for me to change car on your site. I am from the past by lelynx.fr the modalities to change car are therefore not the simplest")</f>
        <v>The prices satisfy me on the other hand, it was impossible for me to change car on your site. I am from the past by lelynx.fr the modalities to change car are therefore not the simplest</v>
      </c>
    </row>
    <row r="636" ht="15.75" customHeight="1">
      <c r="A636" s="2">
        <v>4.0</v>
      </c>
      <c r="B636" s="2" t="s">
        <v>1834</v>
      </c>
      <c r="C636" s="2" t="s">
        <v>1835</v>
      </c>
      <c r="D636" s="2" t="s">
        <v>26</v>
      </c>
      <c r="E636" s="2" t="s">
        <v>27</v>
      </c>
      <c r="F636" s="2" t="s">
        <v>15</v>
      </c>
      <c r="G636" s="2" t="s">
        <v>505</v>
      </c>
      <c r="H636" s="2" t="s">
        <v>56</v>
      </c>
      <c r="I636" s="2" t="str">
        <f>IFERROR(__xludf.DUMMYFUNCTION("GOOGLETRANSLATE(C636,""fr"",""en"")"),"I am satisfied with the service and the price. Easy and quick with electronic signature. I recommend getting service without hesitation. fast simple and efficient.")</f>
        <v>I am satisfied with the service and the price. Easy and quick with electronic signature. I recommend getting service without hesitation. fast simple and efficient.</v>
      </c>
    </row>
    <row r="637" ht="15.75" customHeight="1">
      <c r="A637" s="2">
        <v>4.0</v>
      </c>
      <c r="B637" s="2" t="s">
        <v>1836</v>
      </c>
      <c r="C637" s="2" t="s">
        <v>1837</v>
      </c>
      <c r="D637" s="2" t="s">
        <v>477</v>
      </c>
      <c r="E637" s="2" t="s">
        <v>14</v>
      </c>
      <c r="F637" s="2" t="s">
        <v>15</v>
      </c>
      <c r="G637" s="2" t="s">
        <v>1838</v>
      </c>
      <c r="H637" s="2" t="s">
        <v>531</v>
      </c>
      <c r="I637" s="2" t="str">
        <f>IFERROR(__xludf.DUMMYFUNCTION("GOOGLETRANSLATE(C637,""fr"",""en"")"),"I have subscribed to the comfort + formula for my dwarf spitz Meiko.
I was surprised by the speed of reimbursement for vaccination costs.
To see in the future requests for reimbursement but I trust the insurer given their interest in satisfying their cu"&amp;"stomers.")</f>
        <v>I have subscribed to the comfort + formula for my dwarf spitz Meiko.
I was surprised by the speed of reimbursement for vaccination costs.
To see in the future requests for reimbursement but I trust the insurer given their interest in satisfying their customers.</v>
      </c>
    </row>
    <row r="638" ht="15.75" customHeight="1">
      <c r="A638" s="2">
        <v>1.0</v>
      </c>
      <c r="B638" s="2" t="s">
        <v>1839</v>
      </c>
      <c r="C638" s="2" t="s">
        <v>1840</v>
      </c>
      <c r="D638" s="2" t="s">
        <v>209</v>
      </c>
      <c r="E638" s="2" t="s">
        <v>82</v>
      </c>
      <c r="F638" s="2" t="s">
        <v>15</v>
      </c>
      <c r="G638" s="2" t="s">
        <v>1841</v>
      </c>
      <c r="H638" s="2" t="s">
        <v>632</v>
      </c>
      <c r="I638" s="2" t="str">
        <f>IFERROR(__xludf.DUMMYFUNCTION("GOOGLETRANSLATE(C638,""fr"",""en"")"),"This mutual is a horror! I spend my time fighting with them, for everything (for reimbursements, for a change in a deduction banking account whose RIB has been sent to them several times by registered mail for two years, for contributions deducted twice e"&amp;"ach month ... ). For months and months I have to contact them once or twice a month for the same concerns, which despite my many reminders by phone and by registered letter with acknowledgment of receipt persist ... and every month the advisor's response "&amp;"At the end of the phone is the same: it's good we have solved your problem, and every month I realize that this is not true. In short, I am very angry and a little discouraged but if I can do that a person does not fall into this hell as a member of the M"&amp;"gen it will make me a little morale ... To the goodness ... For my part I I am going to remind them on the field ...")</f>
        <v>This mutual is a horror! I spend my time fighting with them, for everything (for reimbursements, for a change in a deduction banking account whose RIB has been sent to them several times by registered mail for two years, for contributions deducted twice each month ... ). For months and months I have to contact them once or twice a month for the same concerns, which despite my many reminders by phone and by registered letter with acknowledgment of receipt persist ... and every month the advisor's response At the end of the phone is the same: it's good we have solved your problem, and every month I realize that this is not true. In short, I am very angry and a little discouraged but if I can do that a person does not fall into this hell as a member of the Mgen it will make me a little morale ... To the goodness ... For my part I I am going to remind them on the field ...</v>
      </c>
    </row>
    <row r="639" ht="15.75" customHeight="1">
      <c r="A639" s="2">
        <v>3.0</v>
      </c>
      <c r="B639" s="2" t="s">
        <v>1842</v>
      </c>
      <c r="C639" s="2" t="s">
        <v>1843</v>
      </c>
      <c r="D639" s="2" t="s">
        <v>98</v>
      </c>
      <c r="E639" s="2" t="s">
        <v>21</v>
      </c>
      <c r="F639" s="2" t="s">
        <v>15</v>
      </c>
      <c r="G639" s="2" t="s">
        <v>1844</v>
      </c>
      <c r="H639" s="2" t="s">
        <v>115</v>
      </c>
      <c r="I639" s="2" t="str">
        <f>IFERROR(__xludf.DUMMYFUNCTION("GOOGLETRANSLATE(C639,""fr"",""en"")"),"Hello customer at Active Insurance for over a year, I did not have to complain since the price was the cheapest on the market.
But since May I have been trying to take out a contract for another vehicle but also to this day nothing (3 months that I am wa"&amp;"iting), calls for customer service: nothing, emails: we will transmit, result: nothing. At the end, today I wait for them to give me my bonus coef to validate my subscription to a competitor because for 1 month I can no longer have access to my personal a"&amp;"ccount (Bizzare).
Avoid this insurance, as soon as I can I terminate the insurance of the insured vehicle already at home.")</f>
        <v>Hello customer at Active Insurance for over a year, I did not have to complain since the price was the cheapest on the market.
But since May I have been trying to take out a contract for another vehicle but also to this day nothing (3 months that I am waiting), calls for customer service: nothing, emails: we will transmit, result: nothing. At the end, today I wait for them to give me my bonus coef to validate my subscription to a competitor because for 1 month I can no longer have access to my personal account (Bizzare).
Avoid this insurance, as soon as I can I terminate the insurance of the insured vehicle already at home.</v>
      </c>
    </row>
    <row r="640" ht="15.75" customHeight="1">
      <c r="A640" s="2">
        <v>4.0</v>
      </c>
      <c r="B640" s="2" t="s">
        <v>1845</v>
      </c>
      <c r="C640" s="2" t="s">
        <v>1846</v>
      </c>
      <c r="D640" s="2" t="s">
        <v>65</v>
      </c>
      <c r="E640" s="2" t="s">
        <v>60</v>
      </c>
      <c r="F640" s="2" t="s">
        <v>15</v>
      </c>
      <c r="G640" s="2" t="s">
        <v>1847</v>
      </c>
      <c r="H640" s="2" t="s">
        <v>62</v>
      </c>
      <c r="I640" s="2" t="str">
        <f>IFERROR(__xludf.DUMMYFUNCTION("GOOGLETRANSLATE(C640,""fr"",""en"")"),"For the moment everything is fine, we will see over time what it gives because it is a first subscription for me.
In any case, price level I strongly advise.")</f>
        <v>For the moment everything is fine, we will see over time what it gives because it is a first subscription for me.
In any case, price level I strongly advise.</v>
      </c>
    </row>
    <row r="641" ht="15.75" customHeight="1">
      <c r="A641" s="2">
        <v>3.0</v>
      </c>
      <c r="B641" s="2" t="s">
        <v>1848</v>
      </c>
      <c r="C641" s="2" t="s">
        <v>1849</v>
      </c>
      <c r="D641" s="2" t="s">
        <v>560</v>
      </c>
      <c r="E641" s="2" t="s">
        <v>33</v>
      </c>
      <c r="F641" s="2" t="s">
        <v>15</v>
      </c>
      <c r="G641" s="2" t="s">
        <v>1850</v>
      </c>
      <c r="H641" s="2" t="s">
        <v>598</v>
      </c>
      <c r="I641" s="2" t="str">
        <f>IFERROR(__xludf.DUMMYFUNCTION("GOOGLETRANSLATE(C641,""fr"",""en"")"),"Hello. I changed all my insurances at home. Even my life insurance market salary account.
The only glitch I declare and I am taken for a milk cow and an idiot.
I am starting to understand the why people 'complaints on this site.
For a story of 2000 eur"&amp;"os we refuse to take into account by bad faith: all risks guaranteeing real estate. Except that you are inventing excuses not to pay. A non -gelif tile threshold is not immune to hidden shocks. What will be more important to take care of and up to 5 milli"&amp;"on in RC?
I would like to be explained because while waiting to go further.")</f>
        <v>Hello. I changed all my insurances at home. Even my life insurance market salary account.
The only glitch I declare and I am taken for a milk cow and an idiot.
I am starting to understand the why people 'complaints on this site.
For a story of 2000 euros we refuse to take into account by bad faith: all risks guaranteeing real estate. Except that you are inventing excuses not to pay. A non -gelif tile threshold is not immune to hidden shocks. What will be more important to take care of and up to 5 million in RC?
I would like to be explained because while waiting to go further.</v>
      </c>
    </row>
    <row r="642" ht="15.75" customHeight="1">
      <c r="A642" s="2">
        <v>2.0</v>
      </c>
      <c r="B642" s="2" t="s">
        <v>1851</v>
      </c>
      <c r="C642" s="2" t="s">
        <v>1852</v>
      </c>
      <c r="D642" s="2" t="s">
        <v>42</v>
      </c>
      <c r="E642" s="2" t="s">
        <v>21</v>
      </c>
      <c r="F642" s="2" t="s">
        <v>15</v>
      </c>
      <c r="G642" s="2" t="s">
        <v>1853</v>
      </c>
      <c r="H642" s="2" t="s">
        <v>1049</v>
      </c>
      <c r="I642" s="2" t="str">
        <f>IFERROR(__xludf.DUMMYFUNCTION("GOOGLETRANSLATE(C642,""fr"",""en"")"),"It has now been over 6 months (subscription in January) that I have subscribed to car insurance at home. After multiple exchanges by email with customer service, I finally received my green card more than 6 months after subscription and payment of the yea"&amp;"r of subscription. No one being able to make me a new provisional green card, I rolled over a month without being insured when the annual subscription has been paid since January a few days after the first exchanges and the documents sent by following! Pe"&amp;"ople invent each call that the necessary documents have not been sent, however, the shipments have been made repeatedly (emails and recommended in support). Oddly, during the subscription, no one bothered me when more than 1,000 euros in annual subscripti"&amp;"on were taken to me, it is unacceptable! In addition, the wait on the phone, no matter the hour, is endless, the people who answer wander you by making believe that you are faulty so that they never have an answer to bring you or repeat the same thing. Ma"&amp;"il processing times are horrible for online insurance! I have always been satisfied with online insurance but for nothing in the world I will not recommend you to those around me.")</f>
        <v>It has now been over 6 months (subscription in January) that I have subscribed to car insurance at home. After multiple exchanges by email with customer service, I finally received my green card more than 6 months after subscription and payment of the year of subscription. No one being able to make me a new provisional green card, I rolled over a month without being insured when the annual subscription has been paid since January a few days after the first exchanges and the documents sent by following! People invent each call that the necessary documents have not been sent, however, the shipments have been made repeatedly (emails and recommended in support). Oddly, during the subscription, no one bothered me when more than 1,000 euros in annual subscription were taken to me, it is unacceptable! In addition, the wait on the phone, no matter the hour, is endless, the people who answer wander you by making believe that you are faulty so that they never have an answer to bring you or repeat the same thing. Mail processing times are horrible for online insurance! I have always been satisfied with online insurance but for nothing in the world I will not recommend you to those around me.</v>
      </c>
    </row>
    <row r="643" ht="15.75" customHeight="1">
      <c r="A643" s="2">
        <v>2.0</v>
      </c>
      <c r="B643" s="2" t="s">
        <v>1854</v>
      </c>
      <c r="C643" s="2" t="s">
        <v>1855</v>
      </c>
      <c r="D643" s="2" t="s">
        <v>72</v>
      </c>
      <c r="E643" s="2" t="s">
        <v>21</v>
      </c>
      <c r="F643" s="2" t="s">
        <v>15</v>
      </c>
      <c r="G643" s="2" t="s">
        <v>1856</v>
      </c>
      <c r="H643" s="2" t="s">
        <v>359</v>
      </c>
      <c r="I643" s="2" t="str">
        <f>IFERROR(__xludf.DUMMYFUNCTION("GOOGLETRANSLATE(C643,""fr"",""en"")"),"Customer follow -up not enough not enough consideration of the customer t in that we pay it is that we have claims even non -responsible they do not renew the contracts it is a shame it is necessary to pay but especially not that they pay claims")</f>
        <v>Customer follow -up not enough not enough consideration of the customer t in that we pay it is that we have claims even non -responsible they do not renew the contracts it is a shame it is necessary to pay but especially not that they pay claims</v>
      </c>
    </row>
    <row r="644" ht="15.75" customHeight="1">
      <c r="A644" s="2">
        <v>4.0</v>
      </c>
      <c r="B644" s="2" t="s">
        <v>1857</v>
      </c>
      <c r="C644" s="2" t="s">
        <v>1858</v>
      </c>
      <c r="D644" s="2" t="s">
        <v>42</v>
      </c>
      <c r="E644" s="2" t="s">
        <v>21</v>
      </c>
      <c r="F644" s="2" t="s">
        <v>15</v>
      </c>
      <c r="G644" s="2" t="s">
        <v>1615</v>
      </c>
      <c r="H644" s="2" t="s">
        <v>464</v>
      </c>
      <c r="I644" s="2" t="str">
        <f>IFERROR(__xludf.DUMMYFUNCTION("GOOGLETRANSLATE(C644,""fr"",""en"")"),"I am satisfied with the services ... prices suit me ... simple and practical. Some difficulty in relation to the electronic signature. But good responsiveness of the intelligence service.")</f>
        <v>I am satisfied with the services ... prices suit me ... simple and practical. Some difficulty in relation to the electronic signature. But good responsiveness of the intelligence service.</v>
      </c>
    </row>
    <row r="645" ht="15.75" customHeight="1">
      <c r="A645" s="2">
        <v>3.0</v>
      </c>
      <c r="B645" s="2" t="s">
        <v>1859</v>
      </c>
      <c r="C645" s="2" t="s">
        <v>1860</v>
      </c>
      <c r="D645" s="2" t="s">
        <v>32</v>
      </c>
      <c r="E645" s="2" t="s">
        <v>21</v>
      </c>
      <c r="F645" s="2" t="s">
        <v>15</v>
      </c>
      <c r="G645" s="2" t="s">
        <v>1861</v>
      </c>
      <c r="H645" s="2" t="s">
        <v>48</v>
      </c>
      <c r="I645" s="2" t="str">
        <f>IFERROR(__xludf.DUMMYFUNCTION("GOOGLETRANSLATE(C645,""fr"",""en"")"),"I do not know yet, how your service takes place, but a plus for you! It was simple and quick the registration and the telephone relationship with the seller")</f>
        <v>I do not know yet, how your service takes place, but a plus for you! It was simple and quick the registration and the telephone relationship with the seller</v>
      </c>
    </row>
    <row r="646" ht="15.75" customHeight="1">
      <c r="A646" s="2">
        <v>2.0</v>
      </c>
      <c r="B646" s="2" t="s">
        <v>1862</v>
      </c>
      <c r="C646" s="2" t="s">
        <v>1863</v>
      </c>
      <c r="D646" s="2" t="s">
        <v>145</v>
      </c>
      <c r="E646" s="2" t="s">
        <v>33</v>
      </c>
      <c r="F646" s="2" t="s">
        <v>15</v>
      </c>
      <c r="G646" s="2" t="s">
        <v>1864</v>
      </c>
      <c r="H646" s="2" t="s">
        <v>287</v>
      </c>
      <c r="I646" s="2" t="str">
        <f>IFERROR(__xludf.DUMMYFUNCTION("GOOGLETRANSLATE(C646,""fr"",""en"")"),"Null customer service, my brother died 15 days ago, I discovered a check for € 605 not cashed in a loss of a disaster from December 2015. I ask for the remission of a check, categorical refusal of the maaf - null, my brother was sick for 7 years and fough"&amp;"t against cancer, he was not always at home; More often at the hospital, which explains an unseated check ...")</f>
        <v>Null customer service, my brother died 15 days ago, I discovered a check for € 605 not cashed in a loss of a disaster from December 2015. I ask for the remission of a check, categorical refusal of the maaf - null, my brother was sick for 7 years and fought against cancer, he was not always at home; More often at the hospital, which explains an unseated check ...</v>
      </c>
    </row>
    <row r="647" ht="15.75" customHeight="1">
      <c r="A647" s="2">
        <v>1.0</v>
      </c>
      <c r="B647" s="2" t="s">
        <v>1865</v>
      </c>
      <c r="C647" s="2" t="s">
        <v>1866</v>
      </c>
      <c r="D647" s="2" t="s">
        <v>13</v>
      </c>
      <c r="E647" s="2" t="s">
        <v>14</v>
      </c>
      <c r="F647" s="2" t="s">
        <v>15</v>
      </c>
      <c r="G647" s="2" t="s">
        <v>1867</v>
      </c>
      <c r="H647" s="2" t="s">
        <v>56</v>
      </c>
      <c r="I647" s="2" t="str">
        <f>IFERROR(__xludf.DUMMYFUNCTION("GOOGLETRANSLATE(C647,""fr"",""en"")"),"What would be good is that your advisers are talking to customers correctly by phone! And that there is a consideration .. when you are asked to recall at the end of September to review your subscription and your advisor sends us ballader because she is a"&amp;" file, there is no problem but that this lady is happy to this day to have a job because without our contributions it could point to Pôle Emploi !!! It is shameful")</f>
        <v>What would be good is that your advisers are talking to customers correctly by phone! And that there is a consideration .. when you are asked to recall at the end of September to review your subscription and your advisor sends us ballader because she is a file, there is no problem but that this lady is happy to this day to have a job because without our contributions it could point to Pôle Emploi !!! It is shameful</v>
      </c>
    </row>
    <row r="648" ht="15.75" customHeight="1">
      <c r="A648" s="2">
        <v>4.0</v>
      </c>
      <c r="B648" s="2" t="s">
        <v>1868</v>
      </c>
      <c r="C648" s="2" t="s">
        <v>1869</v>
      </c>
      <c r="D648" s="2" t="s">
        <v>196</v>
      </c>
      <c r="E648" s="2" t="s">
        <v>82</v>
      </c>
      <c r="F648" s="2" t="s">
        <v>15</v>
      </c>
      <c r="G648" s="2" t="s">
        <v>1870</v>
      </c>
      <c r="H648" s="2" t="s">
        <v>427</v>
      </c>
      <c r="I648" s="2" t="str">
        <f>IFERROR(__xludf.DUMMYFUNCTION("GOOGLETRANSLATE(C648,""fr"",""en"")"),"I am very satisfied with the telephone interview I had with Mr Gomez Diego, a very kind person and very good advice. He answered correctly to all my questions I hope that all the teams at Neoliane have the same professionalism they derige me to the right "&amp;"proposition Neoliane Inital level 3 I compared with what I have with my current mutual I found that for good Refund I will pay less. Still a big thank you to him. I give 10/10 to this gentleman")</f>
        <v>I am very satisfied with the telephone interview I had with Mr Gomez Diego, a very kind person and very good advice. He answered correctly to all my questions I hope that all the teams at Neoliane have the same professionalism they derige me to the right proposition Neoliane Inital level 3 I compared with what I have with my current mutual I found that for good Refund I will pay less. Still a big thank you to him. I give 10/10 to this gentleman</v>
      </c>
    </row>
    <row r="649" ht="15.75" customHeight="1">
      <c r="A649" s="2">
        <v>3.0</v>
      </c>
      <c r="B649" s="2" t="s">
        <v>1871</v>
      </c>
      <c r="C649" s="2" t="s">
        <v>1872</v>
      </c>
      <c r="D649" s="2" t="s">
        <v>81</v>
      </c>
      <c r="E649" s="2" t="s">
        <v>82</v>
      </c>
      <c r="F649" s="2" t="s">
        <v>15</v>
      </c>
      <c r="G649" s="2" t="s">
        <v>452</v>
      </c>
      <c r="H649" s="2" t="s">
        <v>453</v>
      </c>
      <c r="I649" s="2" t="str">
        <f>IFERROR(__xludf.DUMMYFUNCTION("GOOGLETRANSLATE(C649,""fr"",""en"")"),"Positive reactivitis, prices are negotiated regularly")</f>
        <v>Positive reactivitis, prices are negotiated regularly</v>
      </c>
    </row>
    <row r="650" ht="15.75" customHeight="1">
      <c r="A650" s="2">
        <v>4.0</v>
      </c>
      <c r="B650" s="2" t="s">
        <v>1873</v>
      </c>
      <c r="C650" s="2" t="s">
        <v>1874</v>
      </c>
      <c r="D650" s="2" t="s">
        <v>42</v>
      </c>
      <c r="E650" s="2" t="s">
        <v>21</v>
      </c>
      <c r="F650" s="2" t="s">
        <v>15</v>
      </c>
      <c r="G650" s="2" t="s">
        <v>882</v>
      </c>
      <c r="H650" s="2" t="s">
        <v>39</v>
      </c>
      <c r="I650" s="2" t="str">
        <f>IFERROR(__xludf.DUMMYFUNCTION("GOOGLETRANSLATE(C650,""fr"",""en"")"),"I am satisfied with the service, the quality of the people who informed me and carry out my contract and the level of the satisfied price. Thank you very much the olive assurance")</f>
        <v>I am satisfied with the service, the quality of the people who informed me and carry out my contract and the level of the satisfied price. Thank you very much the olive assurance</v>
      </c>
    </row>
    <row r="651" ht="15.75" customHeight="1">
      <c r="A651" s="2">
        <v>5.0</v>
      </c>
      <c r="B651" s="2" t="s">
        <v>1875</v>
      </c>
      <c r="C651" s="2" t="s">
        <v>1876</v>
      </c>
      <c r="D651" s="2" t="s">
        <v>196</v>
      </c>
      <c r="E651" s="2" t="s">
        <v>82</v>
      </c>
      <c r="F651" s="2" t="s">
        <v>15</v>
      </c>
      <c r="G651" s="2" t="s">
        <v>1877</v>
      </c>
      <c r="H651" s="2" t="s">
        <v>23</v>
      </c>
      <c r="I651" s="2" t="str">
        <f>IFERROR(__xludf.DUMMYFUNCTION("GOOGLETRANSLATE(C651,""fr"",""en"")"),"I joined this mutual insurance company at the start and I am satisfied because I am really well reimbursed, I go from the maaf to Neoliane and my care for my glasses for example is no longer the same !!")</f>
        <v>I joined this mutual insurance company at the start and I am satisfied because I am really well reimbursed, I go from the maaf to Neoliane and my care for my glasses for example is no longer the same !!</v>
      </c>
    </row>
    <row r="652" ht="15.75" customHeight="1">
      <c r="A652" s="2">
        <v>4.0</v>
      </c>
      <c r="B652" s="2" t="s">
        <v>1878</v>
      </c>
      <c r="C652" s="2" t="s">
        <v>1879</v>
      </c>
      <c r="D652" s="2" t="s">
        <v>81</v>
      </c>
      <c r="E652" s="2" t="s">
        <v>82</v>
      </c>
      <c r="F652" s="2" t="s">
        <v>15</v>
      </c>
      <c r="G652" s="2" t="s">
        <v>260</v>
      </c>
      <c r="H652" s="2" t="s">
        <v>260</v>
      </c>
      <c r="I652" s="2" t="str">
        <f>IFERROR(__xludf.DUMMYFUNCTION("GOOGLETRANSLATE(C652,""fr"",""en"")"),"Quick telephone contact. Professional, courteous, jovial and smiling customer service. Clear and rapid explanations and information from Laila.")</f>
        <v>Quick telephone contact. Professional, courteous, jovial and smiling customer service. Clear and rapid explanations and information from Laila.</v>
      </c>
    </row>
    <row r="653" ht="15.75" customHeight="1">
      <c r="A653" s="2">
        <v>2.0</v>
      </c>
      <c r="B653" s="2" t="s">
        <v>1880</v>
      </c>
      <c r="C653" s="2" t="s">
        <v>1881</v>
      </c>
      <c r="D653" s="2" t="s">
        <v>267</v>
      </c>
      <c r="E653" s="2" t="s">
        <v>21</v>
      </c>
      <c r="F653" s="2" t="s">
        <v>15</v>
      </c>
      <c r="G653" s="2" t="s">
        <v>1882</v>
      </c>
      <c r="H653" s="2" t="s">
        <v>74</v>
      </c>
      <c r="I653" s="2" t="str">
        <f>IFERROR(__xludf.DUMMYFUNCTION("GOOGLETRANSLATE(C653,""fr"",""en"")"),"Quite high insurance but which is absolutely shabby in the event of a disaster, following a claim (town hall agent who crossed our fence) the mandated expert to represent ourselves we have pressed the result we cannot even redo our fence despite the diffe"&amp;"rent Materials quote proving that the expert is wrong.
TO FLEE")</f>
        <v>Quite high insurance but which is absolutely shabby in the event of a disaster, following a claim (town hall agent who crossed our fence) the mandated expert to represent ourselves we have pressed the result we cannot even redo our fence despite the different Materials quote proving that the expert is wrong.
TO FLEE</v>
      </c>
    </row>
    <row r="654" ht="15.75" customHeight="1">
      <c r="A654" s="2">
        <v>3.0</v>
      </c>
      <c r="B654" s="2" t="s">
        <v>1883</v>
      </c>
      <c r="C654" s="2" t="s">
        <v>1884</v>
      </c>
      <c r="D654" s="2" t="s">
        <v>32</v>
      </c>
      <c r="E654" s="2" t="s">
        <v>21</v>
      </c>
      <c r="F654" s="2" t="s">
        <v>15</v>
      </c>
      <c r="G654" s="2" t="s">
        <v>1234</v>
      </c>
      <c r="H654" s="2" t="s">
        <v>39</v>
      </c>
      <c r="I654" s="2" t="str">
        <f>IFERROR(__xludf.DUMMYFUNCTION("GOOGLETRANSLATE(C654,""fr"",""en"")"),"I am satisfied with the service, fast, simple; very good telephonic correspondence.
To see for the future")</f>
        <v>I am satisfied with the service, fast, simple; very good telephonic correspondence.
To see for the future</v>
      </c>
    </row>
    <row r="655" ht="15.75" customHeight="1">
      <c r="A655" s="2">
        <v>2.0</v>
      </c>
      <c r="B655" s="2" t="s">
        <v>1885</v>
      </c>
      <c r="C655" s="2" t="s">
        <v>1886</v>
      </c>
      <c r="D655" s="2" t="s">
        <v>32</v>
      </c>
      <c r="E655" s="2" t="s">
        <v>21</v>
      </c>
      <c r="F655" s="2" t="s">
        <v>15</v>
      </c>
      <c r="G655" s="2" t="s">
        <v>1716</v>
      </c>
      <c r="H655" s="2" t="s">
        <v>95</v>
      </c>
      <c r="I655" s="2" t="str">
        <f>IFERROR(__xludf.DUMMYFUNCTION("GOOGLETRANSLATE(C655,""fr"",""en"")"),"I have been insured for years without any payment problem, no accident, nothing. Bonus 0.54.
I left a time abroad and my friend has resumed payment of contributions. During the covid, he found himself unemployed. Two contributions have not passed. He did"&amp;"n't say anything to me, I learned it by chance when we owed 110 euros. I called the insurance to make the payment, they told me that it was too late (it was the last day), that they terminated my contract.
They refused my payment of 110 euros by asking m"&amp;"e 600 euros, the entire remaining amount until the anniversary of the contract, without resuming the insurance of my vehicle of course.
If you are looking for heartless insurance that does not take into account an exceptional concern like this in the m"&amp;"idst of a health crisis, you have struck at the right door! Direct Insurance, it is the assurance of being treated as the drop -in butt if you are a good customer who has never had a problem.")</f>
        <v>I have been insured for years without any payment problem, no accident, nothing. Bonus 0.54.
I left a time abroad and my friend has resumed payment of contributions. During the covid, he found himself unemployed. Two contributions have not passed. He didn't say anything to me, I learned it by chance when we owed 110 euros. I called the insurance to make the payment, they told me that it was too late (it was the last day), that they terminated my contract.
They refused my payment of 110 euros by asking me 600 euros, the entire remaining amount until the anniversary of the contract, without resuming the insurance of my vehicle of course.
If you are looking for heartless insurance that does not take into account an exceptional concern like this in the midst of a health crisis, you have struck at the right door! Direct Insurance, it is the assurance of being treated as the drop -in butt if you are a good customer who has never had a problem.</v>
      </c>
    </row>
    <row r="656" ht="15.75" customHeight="1">
      <c r="A656" s="2">
        <v>5.0</v>
      </c>
      <c r="B656" s="2" t="s">
        <v>1887</v>
      </c>
      <c r="C656" s="2" t="s">
        <v>1888</v>
      </c>
      <c r="D656" s="2" t="s">
        <v>219</v>
      </c>
      <c r="E656" s="2" t="s">
        <v>220</v>
      </c>
      <c r="F656" s="2" t="s">
        <v>15</v>
      </c>
      <c r="G656" s="2" t="s">
        <v>1889</v>
      </c>
      <c r="H656" s="2" t="s">
        <v>202</v>
      </c>
      <c r="I656" s="2" t="str">
        <f>IFERROR(__xludf.DUMMYFUNCTION("GOOGLETRANSLATE(C656,""fr"",""en"")"),"Another great remuneration for my AFER contract! For 7 years I have only to delight for having been sponsored by my parents. Taken far ahead of his competitors once again with 2.65% net!
My booklet A .. It has long been closed.")</f>
        <v>Another great remuneration for my AFER contract! For 7 years I have only to delight for having been sponsored by my parents. Taken far ahead of his competitors once again with 2.65% net!
My booklet A .. It has long been closed.</v>
      </c>
    </row>
    <row r="657" ht="15.75" customHeight="1">
      <c r="A657" s="2">
        <v>2.0</v>
      </c>
      <c r="B657" s="2" t="s">
        <v>1890</v>
      </c>
      <c r="C657" s="2" t="s">
        <v>1891</v>
      </c>
      <c r="D657" s="2" t="s">
        <v>32</v>
      </c>
      <c r="E657" s="2" t="s">
        <v>21</v>
      </c>
      <c r="F657" s="2" t="s">
        <v>15</v>
      </c>
      <c r="G657" s="2" t="s">
        <v>1892</v>
      </c>
      <c r="H657" s="2" t="s">
        <v>23</v>
      </c>
      <c r="I657" s="2" t="str">
        <f>IFERROR(__xludf.DUMMYFUNCTION("GOOGLETRANSLATE(C657,""fr"",""en"")"),"Assured since 2009 a single disaster on 24.12.16 and until today knowing that I am in TT risk I am walking and my vehicle still not repaired a crazy franchise and no vehicle loan")</f>
        <v>Assured since 2009 a single disaster on 24.12.16 and until today knowing that I am in TT risk I am walking and my vehicle still not repaired a crazy franchise and no vehicle loan</v>
      </c>
    </row>
    <row r="658" ht="15.75" customHeight="1">
      <c r="A658" s="2">
        <v>4.0</v>
      </c>
      <c r="B658" s="2" t="s">
        <v>1893</v>
      </c>
      <c r="C658" s="2" t="s">
        <v>1894</v>
      </c>
      <c r="D658" s="2" t="s">
        <v>42</v>
      </c>
      <c r="E658" s="2" t="s">
        <v>21</v>
      </c>
      <c r="F658" s="2" t="s">
        <v>15</v>
      </c>
      <c r="G658" s="2" t="s">
        <v>197</v>
      </c>
      <c r="H658" s="2" t="s">
        <v>52</v>
      </c>
      <c r="I658" s="2" t="str">
        <f>IFERROR(__xludf.DUMMYFUNCTION("GOOGLETRANSLATE(C658,""fr"",""en"")"),"Super very good welcome telephone satisfied with the prices I will recommend without hesitation to my loved ones family friends good continuation to the whole team
")</f>
        <v>Super very good welcome telephone satisfied with the prices I will recommend without hesitation to my loved ones family friends good continuation to the whole team
</v>
      </c>
    </row>
    <row r="659" ht="15.75" customHeight="1">
      <c r="A659" s="2">
        <v>2.0</v>
      </c>
      <c r="B659" s="2" t="s">
        <v>1895</v>
      </c>
      <c r="C659" s="2" t="s">
        <v>1896</v>
      </c>
      <c r="D659" s="2" t="s">
        <v>32</v>
      </c>
      <c r="E659" s="2" t="s">
        <v>21</v>
      </c>
      <c r="F659" s="2" t="s">
        <v>15</v>
      </c>
      <c r="G659" s="2" t="s">
        <v>408</v>
      </c>
      <c r="H659" s="2" t="s">
        <v>104</v>
      </c>
      <c r="I659" s="2" t="str">
        <f>IFERROR(__xludf.DUMMYFUNCTION("GOOGLETRANSLATE(C659,""fr"",""en"")"),"We are satisfied after a well -repaired dispute
Those who cost you nothing how can they be satisfied?
It would be satisfied if the subscription was reajusted.*
")</f>
        <v>We are satisfied after a well -repaired dispute
Those who cost you nothing how can they be satisfied?
It would be satisfied if the subscription was reajusted.*
</v>
      </c>
    </row>
    <row r="660" ht="15.75" customHeight="1">
      <c r="A660" s="2">
        <v>1.0</v>
      </c>
      <c r="B660" s="2" t="s">
        <v>1897</v>
      </c>
      <c r="C660" s="2" t="s">
        <v>1898</v>
      </c>
      <c r="D660" s="2" t="s">
        <v>32</v>
      </c>
      <c r="E660" s="2" t="s">
        <v>21</v>
      </c>
      <c r="F660" s="2" t="s">
        <v>15</v>
      </c>
      <c r="G660" s="2" t="s">
        <v>1899</v>
      </c>
      <c r="H660" s="2" t="s">
        <v>561</v>
      </c>
      <c r="I660" s="2" t="str">
        <f>IFERROR(__xludf.DUMMYFUNCTION("GOOGLETRANSLATE(C660,""fr"",""en"")"),"deplorable service. Unreachable for almost a month. Excessive price when I am not even in all risks.")</f>
        <v>deplorable service. Unreachable for almost a month. Excessive price when I am not even in all risks.</v>
      </c>
    </row>
    <row r="661" ht="15.75" customHeight="1">
      <c r="A661" s="2">
        <v>4.0</v>
      </c>
      <c r="B661" s="2" t="s">
        <v>1900</v>
      </c>
      <c r="C661" s="2" t="s">
        <v>1901</v>
      </c>
      <c r="D661" s="2" t="s">
        <v>32</v>
      </c>
      <c r="E661" s="2" t="s">
        <v>21</v>
      </c>
      <c r="F661" s="2" t="s">
        <v>15</v>
      </c>
      <c r="G661" s="2" t="s">
        <v>548</v>
      </c>
      <c r="H661" s="2" t="s">
        <v>39</v>
      </c>
      <c r="I661" s="2" t="str">
        <f>IFERROR(__xludf.DUMMYFUNCTION("GOOGLETRANSLATE(C661,""fr"",""en"")"),"I am satisfied with the service and the ease of communication.
All my insurances are grouped together.
My family members are also insured at home
")</f>
        <v>I am satisfied with the service and the ease of communication.
All my insurances are grouped together.
My family members are also insured at home
</v>
      </c>
    </row>
    <row r="662" ht="15.75" customHeight="1">
      <c r="A662" s="2">
        <v>4.0</v>
      </c>
      <c r="B662" s="2" t="s">
        <v>1902</v>
      </c>
      <c r="C662" s="2" t="s">
        <v>1903</v>
      </c>
      <c r="D662" s="2" t="s">
        <v>65</v>
      </c>
      <c r="E662" s="2" t="s">
        <v>60</v>
      </c>
      <c r="F662" s="2" t="s">
        <v>15</v>
      </c>
      <c r="G662" s="2" t="s">
        <v>1904</v>
      </c>
      <c r="H662" s="2" t="s">
        <v>52</v>
      </c>
      <c r="I662" s="2" t="str">
        <f>IFERROR(__xludf.DUMMYFUNCTION("GOOGLETRANSLATE(C662,""fr"",""en"")"),"I am satisfied that is done very quickly, in the meantime I just hope not to have any surprise concerning my insurance request at April MOTO, otherwise good PIRX quality report")</f>
        <v>I am satisfied that is done very quickly, in the meantime I just hope not to have any surprise concerning my insurance request at April MOTO, otherwise good PIRX quality report</v>
      </c>
    </row>
    <row r="663" ht="15.75" customHeight="1">
      <c r="A663" s="2">
        <v>5.0</v>
      </c>
      <c r="B663" s="2" t="s">
        <v>1905</v>
      </c>
      <c r="C663" s="2" t="s">
        <v>1906</v>
      </c>
      <c r="D663" s="2" t="s">
        <v>32</v>
      </c>
      <c r="E663" s="2" t="s">
        <v>21</v>
      </c>
      <c r="F663" s="2" t="s">
        <v>15</v>
      </c>
      <c r="G663" s="2" t="s">
        <v>467</v>
      </c>
      <c r="H663" s="2" t="s">
        <v>104</v>
      </c>
      <c r="I663" s="2" t="str">
        <f>IFERROR(__xludf.DUMMYFUNCTION("GOOGLETRANSLATE(C663,""fr"",""en"")"),"Incredible customer service, I didn't say anything they are exceptional. Reactivity, respectful service just what I like. No fuss when I make a change in max 15 min")</f>
        <v>Incredible customer service, I didn't say anything they are exceptional. Reactivity, respectful service just what I like. No fuss when I make a change in max 15 min</v>
      </c>
    </row>
    <row r="664" ht="15.75" customHeight="1">
      <c r="A664" s="2">
        <v>1.0</v>
      </c>
      <c r="B664" s="2" t="s">
        <v>1907</v>
      </c>
      <c r="C664" s="2" t="s">
        <v>1908</v>
      </c>
      <c r="D664" s="2" t="s">
        <v>59</v>
      </c>
      <c r="E664" s="2" t="s">
        <v>33</v>
      </c>
      <c r="F664" s="2" t="s">
        <v>15</v>
      </c>
      <c r="G664" s="2" t="s">
        <v>1909</v>
      </c>
      <c r="H664" s="2" t="s">
        <v>405</v>
      </c>
      <c r="I664" s="2" t="str">
        <f>IFERROR(__xludf.DUMMYFUNCTION("GOOGLETRANSLATE(C664,""fr"",""en"")"),"My irritation with respect to Axa comes from the behavior of the Debourge agency in Canet en Roussillon with my neighbor during a burglary, she was 93 years old, Debourge and a secretary were odious.")</f>
        <v>My irritation with respect to Axa comes from the behavior of the Debourge agency in Canet en Roussillon with my neighbor during a burglary, she was 93 years old, Debourge and a secretary were odious.</v>
      </c>
    </row>
    <row r="665" ht="15.75" customHeight="1">
      <c r="A665" s="2">
        <v>4.0</v>
      </c>
      <c r="B665" s="2" t="s">
        <v>1910</v>
      </c>
      <c r="C665" s="2" t="s">
        <v>1911</v>
      </c>
      <c r="D665" s="2" t="s">
        <v>42</v>
      </c>
      <c r="E665" s="2" t="s">
        <v>21</v>
      </c>
      <c r="F665" s="2" t="s">
        <v>15</v>
      </c>
      <c r="G665" s="2" t="s">
        <v>77</v>
      </c>
      <c r="H665" s="2" t="s">
        <v>78</v>
      </c>
      <c r="I665" s="2" t="str">
        <f>IFERROR(__xludf.DUMMYFUNCTION("GOOGLETRANSLATE(C665,""fr"",""en"")"),"I am generally quite satisfied with my new car insurer!")</f>
        <v>I am generally quite satisfied with my new car insurer!</v>
      </c>
    </row>
    <row r="666" ht="15.75" customHeight="1">
      <c r="A666" s="2">
        <v>1.0</v>
      </c>
      <c r="B666" s="2" t="s">
        <v>1912</v>
      </c>
      <c r="C666" s="2" t="s">
        <v>1913</v>
      </c>
      <c r="D666" s="2" t="s">
        <v>1914</v>
      </c>
      <c r="E666" s="2" t="s">
        <v>27</v>
      </c>
      <c r="F666" s="2" t="s">
        <v>15</v>
      </c>
      <c r="G666" s="2" t="s">
        <v>1915</v>
      </c>
      <c r="H666" s="2" t="s">
        <v>159</v>
      </c>
      <c r="I666" s="2" t="str">
        <f>IFERROR(__xludf.DUMMYFUNCTION("GOOGLETRANSLATE(C666,""fr"",""en"")"),"I have been deducted for 3 years of € 60 on a sold property. A shame. Impossible to reach we must go through the LCL bank which made the necessary.
They are the ones who owe me money almost 2000 €")</f>
        <v>I have been deducted for 3 years of € 60 on a sold property. A shame. Impossible to reach we must go through the LCL bank which made the necessary.
They are the ones who owe me money almost 2000 €</v>
      </c>
    </row>
    <row r="667" ht="15.75" customHeight="1">
      <c r="A667" s="2">
        <v>1.0</v>
      </c>
      <c r="B667" s="2" t="s">
        <v>1916</v>
      </c>
      <c r="C667" s="2" t="s">
        <v>1917</v>
      </c>
      <c r="D667" s="2" t="s">
        <v>196</v>
      </c>
      <c r="E667" s="2" t="s">
        <v>82</v>
      </c>
      <c r="F667" s="2" t="s">
        <v>15</v>
      </c>
      <c r="G667" s="2" t="s">
        <v>1918</v>
      </c>
      <c r="H667" s="2" t="s">
        <v>305</v>
      </c>
      <c r="I667" s="2" t="str">
        <f>IFERROR(__xludf.DUMMYFUNCTION("GOOGLETRANSLATE(C667,""fr"",""en"")"),"CAUTION: False canvassing by phone. They make you believe in indemines that you are entitled to have a contract that has nothing to do with.")</f>
        <v>CAUTION: False canvassing by phone. They make you believe in indemines that you are entitled to have a contract that has nothing to do with.</v>
      </c>
    </row>
    <row r="668" ht="15.75" customHeight="1">
      <c r="A668" s="2">
        <v>1.0</v>
      </c>
      <c r="B668" s="2" t="s">
        <v>1919</v>
      </c>
      <c r="C668" s="2" t="s">
        <v>1920</v>
      </c>
      <c r="D668" s="2" t="s">
        <v>200</v>
      </c>
      <c r="E668" s="2" t="s">
        <v>21</v>
      </c>
      <c r="F668" s="2" t="s">
        <v>15</v>
      </c>
      <c r="G668" s="2" t="s">
        <v>1921</v>
      </c>
      <c r="H668" s="2" t="s">
        <v>866</v>
      </c>
      <c r="I668" s="2" t="str">
        <f>IFERROR(__xludf.DUMMYFUNCTION("GOOGLETRANSLATE(C668,""fr"",""en"")"),"Refuses to align yourself at the price displayed on quotes and refuses any negotiation even pushing to go to competition, incredible I have never seen a customer service with so much contempt for its longtime customers")</f>
        <v>Refuses to align yourself at the price displayed on quotes and refuses any negotiation even pushing to go to competition, incredible I have never seen a customer service with so much contempt for its longtime customers</v>
      </c>
    </row>
    <row r="669" ht="15.75" customHeight="1">
      <c r="A669" s="2">
        <v>1.0</v>
      </c>
      <c r="B669" s="2" t="s">
        <v>1922</v>
      </c>
      <c r="C669" s="2" t="s">
        <v>1923</v>
      </c>
      <c r="D669" s="2" t="s">
        <v>303</v>
      </c>
      <c r="E669" s="2" t="s">
        <v>21</v>
      </c>
      <c r="F669" s="2" t="s">
        <v>15</v>
      </c>
      <c r="G669" s="2" t="s">
        <v>1276</v>
      </c>
      <c r="H669" s="2" t="s">
        <v>531</v>
      </c>
      <c r="I669" s="2" t="str">
        <f>IFERROR(__xludf.DUMMYFUNCTION("GOOGLETRANSLATE(C669,""fr"",""en"")"),"For 27 years at Macif and when I wanted to insure my son with the car (penalty1.25) already assured at home, I even asked for advice for the new car at Macif in November so as not to have a surprise, he advises me a 75 CV Clio 4 maximum for the son ""What"&amp;" I buy"", but in February the car arrives and now he refuses to insure him.
Thank you Macif")</f>
        <v>For 27 years at Macif and when I wanted to insure my son with the car (penalty1.25) already assured at home, I even asked for advice for the new car at Macif in November so as not to have a surprise, he advises me a 75 CV Clio 4 maximum for the son "What I buy", but in February the car arrives and now he refuses to insure him.
Thank you Macif</v>
      </c>
    </row>
    <row r="670" ht="15.75" customHeight="1">
      <c r="A670" s="2">
        <v>5.0</v>
      </c>
      <c r="B670" s="2" t="s">
        <v>1924</v>
      </c>
      <c r="C670" s="2" t="s">
        <v>1925</v>
      </c>
      <c r="D670" s="2" t="s">
        <v>196</v>
      </c>
      <c r="E670" s="2" t="s">
        <v>82</v>
      </c>
      <c r="F670" s="2" t="s">
        <v>15</v>
      </c>
      <c r="G670" s="2" t="s">
        <v>1926</v>
      </c>
      <c r="H670" s="2" t="s">
        <v>166</v>
      </c>
      <c r="I670" s="2" t="str">
        <f>IFERROR(__xludf.DUMMYFUNCTION("GOOGLETRANSLATE(C670,""fr"",""en"")"),"Very satisfied with the return of the advisor")</f>
        <v>Very satisfied with the return of the advisor</v>
      </c>
    </row>
    <row r="671" ht="15.75" customHeight="1">
      <c r="A671" s="2">
        <v>4.0</v>
      </c>
      <c r="B671" s="2" t="s">
        <v>1927</v>
      </c>
      <c r="C671" s="2" t="s">
        <v>1928</v>
      </c>
      <c r="D671" s="2" t="s">
        <v>42</v>
      </c>
      <c r="E671" s="2" t="s">
        <v>21</v>
      </c>
      <c r="F671" s="2" t="s">
        <v>15</v>
      </c>
      <c r="G671" s="2" t="s">
        <v>914</v>
      </c>
      <c r="H671" s="2" t="s">
        <v>104</v>
      </c>
      <c r="I671" s="2" t="str">
        <f>IFERROR(__xludf.DUMMYFUNCTION("GOOGLETRANSLATE(C671,""fr"",""en"")"),"Lots of information on the phone -, very pleasant and patient operator.
Explanation of the sponsorship offer and multi -auto insurance as well as the 15% reduction on home insurance.")</f>
        <v>Lots of information on the phone -, very pleasant and patient operator.
Explanation of the sponsorship offer and multi -auto insurance as well as the 15% reduction on home insurance.</v>
      </c>
    </row>
    <row r="672" ht="15.75" customHeight="1">
      <c r="A672" s="2">
        <v>5.0</v>
      </c>
      <c r="B672" s="2" t="s">
        <v>1929</v>
      </c>
      <c r="C672" s="2" t="s">
        <v>1930</v>
      </c>
      <c r="D672" s="2" t="s">
        <v>1511</v>
      </c>
      <c r="E672" s="2" t="s">
        <v>60</v>
      </c>
      <c r="F672" s="2" t="s">
        <v>15</v>
      </c>
      <c r="G672" s="2" t="s">
        <v>1931</v>
      </c>
      <c r="H672" s="2" t="s">
        <v>676</v>
      </c>
      <c r="I672" s="2" t="str">
        <f>IFERROR(__xludf.DUMMYFUNCTION("GOOGLETRANSLATE(C672,""fr"",""en"")"),"I had the pleasure of contacting Peyrac Insurance to choose insurance for my motorcycle. I came across a charming young girl who took time to answer my questions. After comparing prices and guarantees with other insurances, my choice was quickly made.
Th"&amp;"e membership was ultra fast and I had the documents in the minute.")</f>
        <v>I had the pleasure of contacting Peyrac Insurance to choose insurance for my motorcycle. I came across a charming young girl who took time to answer my questions. After comparing prices and guarantees with other insurances, my choice was quickly made.
The membership was ultra fast and I had the documents in the minute.</v>
      </c>
    </row>
    <row r="673" ht="15.75" customHeight="1">
      <c r="A673" s="2">
        <v>4.0</v>
      </c>
      <c r="B673" s="2" t="s">
        <v>1932</v>
      </c>
      <c r="C673" s="2" t="s">
        <v>1933</v>
      </c>
      <c r="D673" s="2" t="s">
        <v>32</v>
      </c>
      <c r="E673" s="2" t="s">
        <v>21</v>
      </c>
      <c r="F673" s="2" t="s">
        <v>15</v>
      </c>
      <c r="G673" s="2" t="s">
        <v>39</v>
      </c>
      <c r="H673" s="2" t="s">
        <v>39</v>
      </c>
      <c r="I673" s="2" t="str">
        <f>IFERROR(__xludf.DUMMYFUNCTION("GOOGLETRANSLATE(C673,""fr"",""en"")"),"Clarity of quotes.
reactivity of operators.
The quotes are simple and quick.
The prices displayed are very reasonable.
The presentation of the site is clear and accessible.
")</f>
        <v>Clarity of quotes.
reactivity of operators.
The quotes are simple and quick.
The prices displayed are very reasonable.
The presentation of the site is clear and accessible.
</v>
      </c>
    </row>
    <row r="674" ht="15.75" customHeight="1">
      <c r="A674" s="2">
        <v>1.0</v>
      </c>
      <c r="B674" s="2" t="s">
        <v>1934</v>
      </c>
      <c r="C674" s="2" t="s">
        <v>1935</v>
      </c>
      <c r="D674" s="2" t="s">
        <v>20</v>
      </c>
      <c r="E674" s="2" t="s">
        <v>21</v>
      </c>
      <c r="F674" s="2" t="s">
        <v>15</v>
      </c>
      <c r="G674" s="2" t="s">
        <v>1936</v>
      </c>
      <c r="H674" s="2" t="s">
        <v>44</v>
      </c>
      <c r="I674" s="2" t="str">
        <f>IFERROR(__xludf.DUMMYFUNCTION("GOOGLETRANSLATE(C674,""fr"",""en"")"),"I have been insured for 24 years, until now I had never had a problem, or even a car accident and in addition I am sure any risk. In September a bus back in my car. And it's been 3 months since I expect a response from the mayf. The 1st concern and that t"&amp;"he mandated expert did not come to see the work and said ok except that I have to pay them because the maif did not do the necessary")</f>
        <v>I have been insured for 24 years, until now I had never had a problem, or even a car accident and in addition I am sure any risk. In September a bus back in my car. And it's been 3 months since I expect a response from the mayf. The 1st concern and that the mandated expert did not come to see the work and said ok except that I have to pay them because the maif did not do the necessary</v>
      </c>
    </row>
    <row r="675" ht="15.75" customHeight="1">
      <c r="A675" s="2">
        <v>1.0</v>
      </c>
      <c r="B675" s="2" t="s">
        <v>1937</v>
      </c>
      <c r="C675" s="2" t="s">
        <v>1938</v>
      </c>
      <c r="D675" s="2" t="s">
        <v>145</v>
      </c>
      <c r="E675" s="2" t="s">
        <v>33</v>
      </c>
      <c r="F675" s="2" t="s">
        <v>15</v>
      </c>
      <c r="G675" s="2" t="s">
        <v>1939</v>
      </c>
      <c r="H675" s="2" t="s">
        <v>300</v>
      </c>
      <c r="I675" s="2" t="str">
        <f>IFERROR(__xludf.DUMMYFUNCTION("GOOGLETRANSLATE(C675,""fr"",""en"")"),"Catastrophic customer service on the phone, the managers find it difficult to understand the very clear requests and when she does not understand she hang up on the nose. Obviously it annoys them to work on the phone. In this case if you have to change jo"&amp;"bs!")</f>
        <v>Catastrophic customer service on the phone, the managers find it difficult to understand the very clear requests and when she does not understand she hang up on the nose. Obviously it annoys them to work on the phone. In this case if you have to change jobs!</v>
      </c>
    </row>
    <row r="676" ht="15.75" customHeight="1">
      <c r="A676" s="2">
        <v>1.0</v>
      </c>
      <c r="B676" s="2" t="s">
        <v>1940</v>
      </c>
      <c r="C676" s="2" t="s">
        <v>1941</v>
      </c>
      <c r="D676" s="2" t="s">
        <v>98</v>
      </c>
      <c r="E676" s="2" t="s">
        <v>21</v>
      </c>
      <c r="F676" s="2" t="s">
        <v>15</v>
      </c>
      <c r="G676" s="2" t="s">
        <v>1942</v>
      </c>
      <c r="H676" s="2" t="s">
        <v>1091</v>
      </c>
      <c r="I676" s="2" t="str">
        <f>IFERROR(__xludf.DUMMYFUNCTION("GOOGLETRANSLATE(C676,""fr"",""en"")"),"Avoid at all costs, shit service, impolite transfer, in addition for each request for an info you have to pay their shit number, after sinister count on your pocket, no care, I am true")</f>
        <v>Avoid at all costs, shit service, impolite transfer, in addition for each request for an info you have to pay their shit number, after sinister count on your pocket, no care, I am true</v>
      </c>
    </row>
    <row r="677" ht="15.75" customHeight="1">
      <c r="A677" s="2">
        <v>5.0</v>
      </c>
      <c r="B677" s="2" t="s">
        <v>1943</v>
      </c>
      <c r="C677" s="2" t="s">
        <v>1944</v>
      </c>
      <c r="D677" s="2" t="s">
        <v>32</v>
      </c>
      <c r="E677" s="2" t="s">
        <v>21</v>
      </c>
      <c r="F677" s="2" t="s">
        <v>15</v>
      </c>
      <c r="G677" s="2" t="s">
        <v>1945</v>
      </c>
      <c r="H677" s="2" t="s">
        <v>29</v>
      </c>
      <c r="I677" s="2" t="str">
        <f>IFERROR(__xludf.DUMMYFUNCTION("GOOGLETRANSLATE(C677,""fr"",""en"")"),"I am satisfied simple and perfect practical, I go to roll serenement with direct insurance which assured me quickly thank you for you for your confidence")</f>
        <v>I am satisfied simple and perfect practical, I go to roll serenement with direct insurance which assured me quickly thank you for you for your confidence</v>
      </c>
    </row>
    <row r="678" ht="15.75" customHeight="1">
      <c r="A678" s="2">
        <v>4.0</v>
      </c>
      <c r="B678" s="2" t="s">
        <v>1946</v>
      </c>
      <c r="C678" s="2" t="s">
        <v>1947</v>
      </c>
      <c r="D678" s="2" t="s">
        <v>32</v>
      </c>
      <c r="E678" s="2" t="s">
        <v>21</v>
      </c>
      <c r="F678" s="2" t="s">
        <v>15</v>
      </c>
      <c r="G678" s="2" t="s">
        <v>885</v>
      </c>
      <c r="H678" s="2" t="s">
        <v>56</v>
      </c>
      <c r="I678" s="2" t="str">
        <f>IFERROR(__xludf.DUMMYFUNCTION("GOOGLETRANSLATE(C678,""fr"",""en"")"),"Not easy to subscribe by internet when you don't know much about it. But for my motorcycle insurance I came across a nice biker. Looking forward to exchanging with you for new assurance hoping that everything goes as well as the Maaf.")</f>
        <v>Not easy to subscribe by internet when you don't know much about it. But for my motorcycle insurance I came across a nice biker. Looking forward to exchanging with you for new assurance hoping that everything goes as well as the Maaf.</v>
      </c>
    </row>
    <row r="679" ht="15.75" customHeight="1">
      <c r="A679" s="2">
        <v>5.0</v>
      </c>
      <c r="B679" s="2" t="s">
        <v>1948</v>
      </c>
      <c r="C679" s="2" t="s">
        <v>1949</v>
      </c>
      <c r="D679" s="2" t="s">
        <v>430</v>
      </c>
      <c r="E679" s="2" t="s">
        <v>82</v>
      </c>
      <c r="F679" s="2" t="s">
        <v>15</v>
      </c>
      <c r="G679" s="2" t="s">
        <v>136</v>
      </c>
      <c r="H679" s="2" t="s">
        <v>56</v>
      </c>
      <c r="I679" s="2" t="str">
        <f>IFERROR(__xludf.DUMMYFUNCTION("GOOGLETRANSLATE(C679,""fr"",""en"")"),"Satisfied with the April Health Service recommends this mutual insurance company with all my entourage thank you for your health proposal it suits me very well my situation")</f>
        <v>Satisfied with the April Health Service recommends this mutual insurance company with all my entourage thank you for your health proposal it suits me very well my situation</v>
      </c>
    </row>
    <row r="680" ht="15.75" customHeight="1">
      <c r="A680" s="2">
        <v>5.0</v>
      </c>
      <c r="B680" s="2" t="s">
        <v>1950</v>
      </c>
      <c r="C680" s="2" t="s">
        <v>1951</v>
      </c>
      <c r="D680" s="2" t="s">
        <v>129</v>
      </c>
      <c r="E680" s="2" t="s">
        <v>21</v>
      </c>
      <c r="F680" s="2" t="s">
        <v>15</v>
      </c>
      <c r="G680" s="2" t="s">
        <v>1952</v>
      </c>
      <c r="H680" s="2" t="s">
        <v>62</v>
      </c>
      <c r="I680" s="2" t="str">
        <f>IFERROR(__xludf.DUMMYFUNCTION("GOOGLETRANSLATE(C680,""fr"",""en"")"),"I am completely satisfied with your service offer
your welcome
of your responsiveness
alerts that you make regularly us systematically with each deadline
")</f>
        <v>I am completely satisfied with your service offer
your welcome
of your responsiveness
alerts that you make regularly us systematically with each deadline
</v>
      </c>
    </row>
    <row r="681" ht="15.75" customHeight="1">
      <c r="A681" s="2">
        <v>4.0</v>
      </c>
      <c r="B681" s="2" t="s">
        <v>1953</v>
      </c>
      <c r="C681" s="2" t="s">
        <v>1954</v>
      </c>
      <c r="D681" s="2" t="s">
        <v>129</v>
      </c>
      <c r="E681" s="2" t="s">
        <v>21</v>
      </c>
      <c r="F681" s="2" t="s">
        <v>15</v>
      </c>
      <c r="G681" s="2" t="s">
        <v>606</v>
      </c>
      <c r="H681" s="2" t="s">
        <v>39</v>
      </c>
      <c r="I681" s="2" t="str">
        <f>IFERROR(__xludf.DUMMYFUNCTION("GOOGLETRANSLATE(C681,""fr"",""en"")"),"Happy with the services rendered
Good clear website always available
But the waiting time at the phone is far too long
Apart from that, everything's fine
")</f>
        <v>Happy with the services rendered
Good clear website always available
But the waiting time at the phone is far too long
Apart from that, everything's fine
</v>
      </c>
    </row>
    <row r="682" ht="15.75" customHeight="1">
      <c r="A682" s="2">
        <v>5.0</v>
      </c>
      <c r="B682" s="2" t="s">
        <v>1955</v>
      </c>
      <c r="C682" s="2" t="s">
        <v>1956</v>
      </c>
      <c r="D682" s="2" t="s">
        <v>267</v>
      </c>
      <c r="E682" s="2" t="s">
        <v>33</v>
      </c>
      <c r="F682" s="2" t="s">
        <v>15</v>
      </c>
      <c r="G682" s="2" t="s">
        <v>1957</v>
      </c>
      <c r="H682" s="2" t="s">
        <v>74</v>
      </c>
      <c r="I682" s="2" t="str">
        <f>IFERROR(__xludf.DUMMYFUNCTION("GOOGLETRANSLATE(C682,""fr"",""en"")"),"Open from the file very quickly. Damage quickly treated
 The refund was made within 3 days once the repairs have been made. At the top to recommend")</f>
        <v>Open from the file very quickly. Damage quickly treated
 The refund was made within 3 days once the repairs have been made. At the top to recommend</v>
      </c>
    </row>
    <row r="683" ht="15.75" customHeight="1">
      <c r="A683" s="2">
        <v>1.0</v>
      </c>
      <c r="B683" s="2" t="s">
        <v>1958</v>
      </c>
      <c r="C683" s="2" t="s">
        <v>1959</v>
      </c>
      <c r="D683" s="2" t="s">
        <v>303</v>
      </c>
      <c r="E683" s="2" t="s">
        <v>157</v>
      </c>
      <c r="F683" s="2" t="s">
        <v>15</v>
      </c>
      <c r="G683" s="2" t="s">
        <v>1960</v>
      </c>
      <c r="H683" s="2" t="s">
        <v>359</v>
      </c>
      <c r="I683" s="2" t="str">
        <f>IFERROR(__xludf.DUMMYFUNCTION("GOOGLETRANSLATE(C683,""fr"",""en"")"),"hello
My sister had taken out a guaranteed Obseques contract, on his death at the end of July 2019, we contacted the Macif, sent them all the required documents, finally decided to settle the funeral, before their inertia, and 5 months later, despite Fro"&amp;"m my reminders, they give us no answer.")</f>
        <v>hello
My sister had taken out a guaranteed Obseques contract, on his death at the end of July 2019, we contacted the Macif, sent them all the required documents, finally decided to settle the funeral, before their inertia, and 5 months later, despite From my reminders, they give us no answer.</v>
      </c>
    </row>
    <row r="684" ht="15.75" customHeight="1">
      <c r="A684" s="2">
        <v>4.0</v>
      </c>
      <c r="B684" s="2" t="s">
        <v>1961</v>
      </c>
      <c r="C684" s="2" t="s">
        <v>1962</v>
      </c>
      <c r="D684" s="2" t="s">
        <v>196</v>
      </c>
      <c r="E684" s="2" t="s">
        <v>82</v>
      </c>
      <c r="F684" s="2" t="s">
        <v>15</v>
      </c>
      <c r="G684" s="2" t="s">
        <v>1317</v>
      </c>
      <c r="H684" s="2" t="s">
        <v>56</v>
      </c>
      <c r="I684" s="2" t="str">
        <f>IFERROR(__xludf.DUMMYFUNCTION("GOOGLETRANSLATE(C684,""fr"",""en"")"),"I just received the agreement on the dental quote after a telephone interview with Mariama. Indeed the request had been made by email and I find it unfortunate that we have to call because the information does not follow.")</f>
        <v>I just received the agreement on the dental quote after a telephone interview with Mariama. Indeed the request had been made by email and I find it unfortunate that we have to call because the information does not follow.</v>
      </c>
    </row>
    <row r="685" ht="15.75" customHeight="1">
      <c r="A685" s="2">
        <v>1.0</v>
      </c>
      <c r="B685" s="2" t="s">
        <v>1963</v>
      </c>
      <c r="C685" s="2" t="s">
        <v>1964</v>
      </c>
      <c r="D685" s="2" t="s">
        <v>32</v>
      </c>
      <c r="E685" s="2" t="s">
        <v>21</v>
      </c>
      <c r="F685" s="2" t="s">
        <v>15</v>
      </c>
      <c r="G685" s="2" t="s">
        <v>1965</v>
      </c>
      <c r="H685" s="2" t="s">
        <v>108</v>
      </c>
      <c r="I685" s="2" t="str">
        <f>IFERROR(__xludf.DUMMYFUNCTION("GOOGLETRANSLATE(C685,""fr"",""en"")"),"The facts speak for themselves: attempted theft on my vehicle, the convenience store took more than 2 hours to arrive (first commitment not respected), my vehicle was brought to a Sunday and the advisor told me that they had 48 hours to find a partner gar"&amp;"age. FAKE ! They did not find a partner garage for 1 month (second commitment not respected), transferred my vehicle to a breakage to do the expertise (which they call center of expertise) against my will (my vehicle was stored In the midst of vehicles st"&amp;"ored for demolition for weeks), they then transferred my vehicle to a partner garage 1 month later with an incomplete expert report (need to apply for additional expertise for the damaged door), So another 1 month of waiting for repairs, 2 months without "&amp;"vehicle and without a vehicle loan (despite the vehicle loan option paid during the 2 months of waiting) for 1.5 days of work on the vehicle. Their response to my dissatisfaction for the deadline: I only had to choose my garage (when I was announced 10 da"&amp;"ys later after having made me believe that they would find a garage quickly that they did not know when They would find a garage) and make the advance of the costs, which I of course refused, given the reimbursement times indicated by the Internet users. "&amp;"They even told me that if I chose a garage now, I had to pay the guard also but could not tell me when they would find a partner garage! Then, I myself had to call the expert for the additional expertise, provide the garage invoice to the expertise, call "&amp;"the garage to be kept informed, call the assistance to be kept informed of the searches of Garage, the manager of my file has never held informed of anything apart to tell me ""your request was sent to the audience, I have no response to date"", she knows"&amp;" nothing or do nothing answer others. And I finally found my vehicle after 2 months with the initial repairs made but with the door damaged by their convenience store during towing. I have made a complaint which to date (2 months later, has still not been"&amp;" processed and my vehicle is therefore still not repaired). I obviously terminated my contract with them. An official I had after having fought for hours on the phone (because otherwise they are unreachable) had promised me a commercial gesture for the da"&amp;"mage suffered but like all their promises, she was not respected (on the pretext that I terminated my contract). They claim on their site that they reimburse 100 euros if they do not respect their commitments but they forget to say that they will pay you "&amp;"(perhaps) these 100 euros only if you re-enclose 1 year with them and from the contract renewal. Regarding prices, yes they are cheaper than others but are the only ones to offer a variable deductible (which is much more expensive in the event of a claim "&amp;"is not a detail) and they increase prices Without informing their customers! I ended up with increased monthly payments and when I called I was told that it was due to the increase in the rate of claims! I have never been informed of this increase. Finall"&amp;"y, if you are looking for, other insurers with better reputation offer equivalent prices with better guarantees (fixed and lower franchise in particular). For those who do not know, Direct Insurance is part of the AXA group ...")</f>
        <v>The facts speak for themselves: attempted theft on my vehicle, the convenience store took more than 2 hours to arrive (first commitment not respected), my vehicle was brought to a Sunday and the advisor told me that they had 48 hours to find a partner garage. FAKE ! They did not find a partner garage for 1 month (second commitment not respected), transferred my vehicle to a breakage to do the expertise (which they call center of expertise) against my will (my vehicle was stored In the midst of vehicles stored for demolition for weeks), they then transferred my vehicle to a partner garage 1 month later with an incomplete expert report (need to apply for additional expertise for the damaged door), So another 1 month of waiting for repairs, 2 months without vehicle and without a vehicle loan (despite the vehicle loan option paid during the 2 months of waiting) for 1.5 days of work on the vehicle. Their response to my dissatisfaction for the deadline: I only had to choose my garage (when I was announced 10 days later after having made me believe that they would find a garage quickly that they did not know when They would find a garage) and make the advance of the costs, which I of course refused, given the reimbursement times indicated by the Internet users. They even told me that if I chose a garage now, I had to pay the guard also but could not tell me when they would find a partner garage! Then, I myself had to call the expert for the additional expertise, provide the garage invoice to the expertise, call the garage to be kept informed, call the assistance to be kept informed of the searches of Garage, the manager of my file has never held informed of anything apart to tell me "your request was sent to the audience, I have no response to date", she knows nothing or do nothing answer others. And I finally found my vehicle after 2 months with the initial repairs made but with the door damaged by their convenience store during towing. I have made a complaint which to date (2 months later, has still not been processed and my vehicle is therefore still not repaired). I obviously terminated my contract with them. An official I had after having fought for hours on the phone (because otherwise they are unreachable) had promised me a commercial gesture for the damage suffered but like all their promises, she was not respected (on the pretext that I terminated my contract). They claim on their site that they reimburse 100 euros if they do not respect their commitments but they forget to say that they will pay you (perhaps) these 100 euros only if you re-enclose 1 year with them and from the contract renewal. Regarding prices, yes they are cheaper than others but are the only ones to offer a variable deductible (which is much more expensive in the event of a claim is not a detail) and they increase prices Without informing their customers! I ended up with increased monthly payments and when I called I was told that it was due to the increase in the rate of claims! I have never been informed of this increase. Finally, if you are looking for, other insurers with better reputation offer equivalent prices with better guarantees (fixed and lower franchise in particular). For those who do not know, Direct Insurance is part of the AXA group ...</v>
      </c>
    </row>
    <row r="686" ht="15.75" customHeight="1">
      <c r="A686" s="2">
        <v>5.0</v>
      </c>
      <c r="B686" s="2" t="s">
        <v>1966</v>
      </c>
      <c r="C686" s="2" t="s">
        <v>1967</v>
      </c>
      <c r="D686" s="2" t="s">
        <v>65</v>
      </c>
      <c r="E686" s="2" t="s">
        <v>60</v>
      </c>
      <c r="F686" s="2" t="s">
        <v>15</v>
      </c>
      <c r="G686" s="2" t="s">
        <v>1467</v>
      </c>
      <c r="H686" s="2" t="s">
        <v>52</v>
      </c>
      <c r="I686" s="2" t="str">
        <f>IFERROR(__xludf.DUMMYFUNCTION("GOOGLETRANSLATE(C686,""fr"",""en"")"),"I am satisfied with this insurance
Explanations are simple
The price suits me
Simple and fast
I recommend this insurance
VERY CONVENIENT
 ")</f>
        <v>I am satisfied with this insurance
Explanations are simple
The price suits me
Simple and fast
I recommend this insurance
VERY CONVENIENT
 </v>
      </c>
    </row>
    <row r="687" ht="15.75" customHeight="1">
      <c r="A687" s="2">
        <v>1.0</v>
      </c>
      <c r="B687" s="2" t="s">
        <v>1968</v>
      </c>
      <c r="C687" s="2" t="s">
        <v>1969</v>
      </c>
      <c r="D687" s="2" t="s">
        <v>169</v>
      </c>
      <c r="E687" s="2" t="s">
        <v>157</v>
      </c>
      <c r="F687" s="2" t="s">
        <v>15</v>
      </c>
      <c r="G687" s="2" t="s">
        <v>1970</v>
      </c>
      <c r="H687" s="2" t="s">
        <v>23</v>
      </c>
      <c r="I687" s="2" t="str">
        <f>IFERROR(__xludf.DUMMYFUNCTION("GOOGLETRANSLATE(C687,""fr"",""en"")"),"In 2nd category invalidity since September 2016, the AG2R must pay a supplement in addition to the CPAM, I can not assert my rights, my employer made the necessary and there is still no payment despite visits frequent of the expert doctor and contradictor"&amp;"y letters. Customer service does not say the same thing from one call to another and explained to me having only a limited consultation power on my file. In the meantime I only have the 380 euros of CPAM per month to live ...")</f>
        <v>In 2nd category invalidity since September 2016, the AG2R must pay a supplement in addition to the CPAM, I can not assert my rights, my employer made the necessary and there is still no payment despite visits frequent of the expert doctor and contradictory letters. Customer service does not say the same thing from one call to another and explained to me having only a limited consultation power on my file. In the meantime I only have the 380 euros of CPAM per month to live ...</v>
      </c>
    </row>
    <row r="688" ht="15.75" customHeight="1">
      <c r="A688" s="2">
        <v>1.0</v>
      </c>
      <c r="B688" s="2" t="s">
        <v>1971</v>
      </c>
      <c r="C688" s="2" t="s">
        <v>1972</v>
      </c>
      <c r="D688" s="2" t="s">
        <v>32</v>
      </c>
      <c r="E688" s="2" t="s">
        <v>21</v>
      </c>
      <c r="F688" s="2" t="s">
        <v>15</v>
      </c>
      <c r="G688" s="2" t="s">
        <v>1973</v>
      </c>
      <c r="H688" s="2" t="s">
        <v>474</v>
      </c>
      <c r="I688" s="2" t="str">
        <f>IFERROR(__xludf.DUMMYFUNCTION("GOOGLETRANSLATE(C688,""fr"",""en"")"),"Hello,
Insured all risks at Direct Insurance, I was caught my car in the street (I filed a complaint at the police station, proof of my good time). Expert (BCA Expertise) concluded that I was lying and that I had had an accident (
(His analysis seems to"&amp;" flow from source but does not take into account obvious elements confirming my statements -to ask questions about the impartiality of this expert). Direct Insurance therefore does not support the repair. I am now trying to make a counter expertise (at my"&amp;" expense of course) but no response from Direct Insurance for 6 weeks despite my many calls and the 4 recommended of my lawyer (yes I took a lawyer!). No customer service with this insurers but a call center abroad that undertakes to remind you but never "&amp;"reminds you (probably an internal policy to discourage insured)
I had priced insurance all risk formula comfort and result I have been driving a damaged car for two months with air that enters the passenger compartment (Me daughter of two months fell twi"&amp;"ce and I am now forced to rent A car while waiting for direct insurance to answer me (yes with lawyers I have greatly exceeded the costs of repairing the car but I make a question in principle). I was forced to start a Lawyer, at great prices to assert my"&amp;" good time. The first analyzes of the independent expert contacted by my lawyer are edifying on the quality of the expert report mandated by Direct Insurance. The expert made a charge report not Not accounting for obvious elements attesting to my statemen"&amp;"ts. Without response from direct insurance, my lawyer must assign direct insurance ... The ""comfort pack"" formula takes on its full meaning ...
Advice to all: to want to save a few euros, and despite a ""comfort"" formula risk, you will have to fight w"&amp;"ith biased experts, call center that do not respond, spend lawyers and your contract will never be applied! In short insurer to flee!")</f>
        <v>Hello,
Insured all risks at Direct Insurance, I was caught my car in the street (I filed a complaint at the police station, proof of my good time). Expert (BCA Expertise) concluded that I was lying and that I had had an accident (
(His analysis seems to flow from source but does not take into account obvious elements confirming my statements -to ask questions about the impartiality of this expert). Direct Insurance therefore does not support the repair. I am now trying to make a counter expertise (at my expense of course) but no response from Direct Insurance for 6 weeks despite my many calls and the 4 recommended of my lawyer (yes I took a lawyer!). No customer service with this insurers but a call center abroad that undertakes to remind you but never reminds you (probably an internal policy to discourage insured)
I had priced insurance all risk formula comfort and result I have been driving a damaged car for two months with air that enters the passenger compartment (Me daughter of two months fell twice and I am now forced to rent A car while waiting for direct insurance to answer me (yes with lawyers I have greatly exceeded the costs of repairing the car but I make a question in principle). I was forced to start a Lawyer, at great prices to assert my good time. The first analyzes of the independent expert contacted by my lawyer are edifying on the quality of the expert report mandated by Direct Insurance. The expert made a charge report not Not accounting for obvious elements attesting to my statements. Without response from direct insurance, my lawyer must assign direct insurance ... The "comfort pack" formula takes on its full meaning ...
Advice to all: to want to save a few euros, and despite a "comfort" formula risk, you will have to fight with biased experts, call center that do not respond, spend lawyers and your contract will never be applied! In short insurer to flee!</v>
      </c>
    </row>
    <row r="689" ht="15.75" customHeight="1">
      <c r="A689" s="2">
        <v>3.0</v>
      </c>
      <c r="B689" s="2" t="s">
        <v>1974</v>
      </c>
      <c r="C689" s="2" t="s">
        <v>1975</v>
      </c>
      <c r="D689" s="2" t="s">
        <v>42</v>
      </c>
      <c r="E689" s="2" t="s">
        <v>21</v>
      </c>
      <c r="F689" s="2" t="s">
        <v>15</v>
      </c>
      <c r="G689" s="2" t="s">
        <v>739</v>
      </c>
      <c r="H689" s="2" t="s">
        <v>48</v>
      </c>
      <c r="I689" s="2" t="str">
        <f>IFERROR(__xludf.DUMMYFUNCTION("GOOGLETRANSLATE(C689,""fr"",""en"")"),"Price revised upwards following a car flight for which I am not responsible, € 70 additional for 3 years for a non -responsible loss, to find a normal rate .....")</f>
        <v>Price revised upwards following a car flight for which I am not responsible, € 70 additional for 3 years for a non -responsible loss, to find a normal rate .....</v>
      </c>
    </row>
    <row r="690" ht="15.75" customHeight="1">
      <c r="A690" s="2">
        <v>1.0</v>
      </c>
      <c r="B690" s="2" t="s">
        <v>1976</v>
      </c>
      <c r="C690" s="2" t="s">
        <v>1977</v>
      </c>
      <c r="D690" s="2" t="s">
        <v>20</v>
      </c>
      <c r="E690" s="2" t="s">
        <v>33</v>
      </c>
      <c r="F690" s="2" t="s">
        <v>15</v>
      </c>
      <c r="G690" s="2" t="s">
        <v>1978</v>
      </c>
      <c r="H690" s="2" t="s">
        <v>260</v>
      </c>
      <c r="I690" s="2" t="str">
        <f>IFERROR(__xludf.DUMMYFUNCTION("GOOGLETRANSLATE(C690,""fr"",""en"")"),"We ""forget"" to tell you about the exclusions of the mobile coverage and the existing options. Result you never ensure in realite!
Write everything black on white, especially on legal coverage contracts !!!")</f>
        <v>We "forget" to tell you about the exclusions of the mobile coverage and the existing options. Result you never ensure in realite!
Write everything black on white, especially on legal coverage contracts !!!</v>
      </c>
    </row>
    <row r="691" ht="15.75" customHeight="1">
      <c r="A691" s="2">
        <v>5.0</v>
      </c>
      <c r="B691" s="2" t="s">
        <v>1979</v>
      </c>
      <c r="C691" s="2" t="s">
        <v>1980</v>
      </c>
      <c r="D691" s="2" t="s">
        <v>65</v>
      </c>
      <c r="E691" s="2" t="s">
        <v>60</v>
      </c>
      <c r="F691" s="2" t="s">
        <v>15</v>
      </c>
      <c r="G691" s="2" t="s">
        <v>1981</v>
      </c>
      <c r="H691" s="2" t="s">
        <v>48</v>
      </c>
      <c r="I691" s="2" t="str">
        <f>IFERROR(__xludf.DUMMYFUNCTION("GOOGLETRANSLATE(C691,""fr"",""en"")"),"Correct price, very easy and quick to subscribe to your contract, rather interesting options, for motorcycle insurance I recommend without problem")</f>
        <v>Correct price, very easy and quick to subscribe to your contract, rather interesting options, for motorcycle insurance I recommend without problem</v>
      </c>
    </row>
    <row r="692" ht="15.75" customHeight="1">
      <c r="A692" s="2">
        <v>1.0</v>
      </c>
      <c r="B692" s="2" t="s">
        <v>1982</v>
      </c>
      <c r="C692" s="2" t="s">
        <v>1983</v>
      </c>
      <c r="D692" s="2" t="s">
        <v>169</v>
      </c>
      <c r="E692" s="2" t="s">
        <v>157</v>
      </c>
      <c r="F692" s="2" t="s">
        <v>15</v>
      </c>
      <c r="G692" s="2" t="s">
        <v>286</v>
      </c>
      <c r="H692" s="2" t="s">
        <v>287</v>
      </c>
      <c r="I692" s="2" t="str">
        <f>IFERROR(__xludf.DUMMYFUNCTION("GOOGLETRANSLATE(C692,""fr"",""en"")"),"My satisfaction rate concerning this provident is close to liquid nitrogen, that is to say-196
What about this entity (having the management of all the temporary workers in France) except that its financial mattress must be of a monumental thickness it i"&amp;"s in other complementary which completes absolutely nothing in the event of a problem encountered ...
Temporary workers for very very long years I have contributed every month (12 months out of 12) to this complementary.
Work accident (during the missio"&amp;"n) on March 15, 2020, I perceive from the Secu an I-J of 53.89 gross per day during the first 28 days, having a monthly salary average of more than 2750 euros gross (45:00 night per week + 13th month).
I call their service and a person to whom I explain "&amp;"that € 53 of the SECU does not absolutely cover my loss of salary, this one has the fact that it is to tell me: do not complain there are some who touches 5 € per day ...
To which I answer him that by working 45 hours a night per week This daily allowanc"&amp;"e is proportional to what I touch and contribute monthly, that the AG2R ultimately is nothing more than a complement …
On April 23, 2020, I receive an email saying to me: we have torded you € 300, we deduced you € 37.90 on the services due for the period"&amp;" from 19/03 to 15/04.
There, I remain doubtful I am asked to repay a sum that I did not even touch since I did not receive a check ...
On June 02, 2020, Reminder of AG2R by email: we remind you that you are liable for 262.10 euros blablabla, when I join"&amp;"ed their service to tell them that I will not get this fucked up check...
I am starting to be exasperated from the lax attitude (to be polite) of this entity which makes the deaf ear to all requests by remaining in an artistic blur in order to drown the "&amp;"fish in the jar and thus garnish indecent sums, finally it is As long as things change and at the sight of these multiple testimonies going in a single sense, namely the negative and the negative.
A good hearing ...
")</f>
        <v>My satisfaction rate concerning this provident is close to liquid nitrogen, that is to say-196
What about this entity (having the management of all the temporary workers in France) except that its financial mattress must be of a monumental thickness it is in other complementary which completes absolutely nothing in the event of a problem encountered ...
Temporary workers for very very long years I have contributed every month (12 months out of 12) to this complementary.
Work accident (during the mission) on March 15, 2020, I perceive from the Secu an I-J of 53.89 gross per day during the first 28 days, having a monthly salary average of more than 2750 euros gross (45:00 night per week + 13th month).
I call their service and a person to whom I explain that € 53 of the SECU does not absolutely cover my loss of salary, this one has the fact that it is to tell me: do not complain there are some who touches 5 € per day ...
To which I answer him that by working 45 hours a night per week This daily allowance is proportional to what I touch and contribute monthly, that the AG2R ultimately is nothing more than a complement …
On April 23, 2020, I receive an email saying to me: we have torded you € 300, we deduced you € 37.90 on the services due for the period from 19/03 to 15/04.
There, I remain doubtful I am asked to repay a sum that I did not even touch since I did not receive a check ...
On June 02, 2020, Reminder of AG2R by email: we remind you that you are liable for 262.10 euros blablabla, when I joined their service to tell them that I will not get this fucked up check...
I am starting to be exasperated from the lax attitude (to be polite) of this entity which makes the deaf ear to all requests by remaining in an artistic blur in order to drown the fish in the jar and thus garnish indecent sums, finally it is As long as things change and at the sight of these multiple testimonies going in a single sense, namely the negative and the negative.
A good hearing ...
</v>
      </c>
    </row>
    <row r="693" ht="15.75" customHeight="1">
      <c r="A693" s="2">
        <v>4.0</v>
      </c>
      <c r="B693" s="2" t="s">
        <v>1984</v>
      </c>
      <c r="C693" s="2" t="s">
        <v>1985</v>
      </c>
      <c r="D693" s="2" t="s">
        <v>42</v>
      </c>
      <c r="E693" s="2" t="s">
        <v>21</v>
      </c>
      <c r="F693" s="2" t="s">
        <v>15</v>
      </c>
      <c r="G693" s="2" t="s">
        <v>1063</v>
      </c>
      <c r="H693" s="2" t="s">
        <v>39</v>
      </c>
      <c r="I693" s="2" t="str">
        <f>IFERROR(__xludf.DUMMYFUNCTION("GOOGLETRANSLATE(C693,""fr"",""en"")"),"Ideal insurance for young license, a very responsive and understandable customer service, I was taken care of several times knowing perfectly what we were talking about. I recommend")</f>
        <v>Ideal insurance for young license, a very responsive and understandable customer service, I was taken care of several times knowing perfectly what we were talking about. I recommend</v>
      </c>
    </row>
    <row r="694" ht="15.75" customHeight="1">
      <c r="A694" s="2">
        <v>4.0</v>
      </c>
      <c r="B694" s="2" t="s">
        <v>1986</v>
      </c>
      <c r="C694" s="2" t="s">
        <v>1987</v>
      </c>
      <c r="D694" s="2" t="s">
        <v>42</v>
      </c>
      <c r="E694" s="2" t="s">
        <v>21</v>
      </c>
      <c r="F694" s="2" t="s">
        <v>15</v>
      </c>
      <c r="G694" s="2" t="s">
        <v>1988</v>
      </c>
      <c r="H694" s="2" t="s">
        <v>39</v>
      </c>
      <c r="I694" s="2" t="str">
        <f>IFERROR(__xludf.DUMMYFUNCTION("GOOGLETRANSLATE(C694,""fr"",""en"")"),"Intuitive platform, attractive price. I knew this insurer by the lynx, and it saved me more than € 600 on my old car contract. I recommend.")</f>
        <v>Intuitive platform, attractive price. I knew this insurer by the lynx, and it saved me more than € 600 on my old car contract. I recommend.</v>
      </c>
    </row>
    <row r="695" ht="15.75" customHeight="1">
      <c r="A695" s="2">
        <v>1.0</v>
      </c>
      <c r="B695" s="2" t="s">
        <v>1989</v>
      </c>
      <c r="C695" s="2" t="s">
        <v>1990</v>
      </c>
      <c r="D695" s="2" t="s">
        <v>32</v>
      </c>
      <c r="E695" s="2" t="s">
        <v>21</v>
      </c>
      <c r="F695" s="2" t="s">
        <v>15</v>
      </c>
      <c r="G695" s="2" t="s">
        <v>1991</v>
      </c>
      <c r="H695" s="2" t="s">
        <v>35</v>
      </c>
      <c r="I695" s="2" t="str">
        <f>IFERROR(__xludf.DUMMYFUNCTION("GOOGLETRANSLATE(C695,""fr"",""en"")"),"To avoid! I will terminate the 3 insurance contracts that I have subscribed to them. They make a call price for new auto insurance but no one specifies when you subscribe that this price is only valid! What a surprise when I receive my call for contributi"&amp;"ons increased by almost 150 € ...! The advisor I just had on the phone tells me that it is not theft, I only had to read the general conditions!")</f>
        <v>To avoid! I will terminate the 3 insurance contracts that I have subscribed to them. They make a call price for new auto insurance but no one specifies when you subscribe that this price is only valid! What a surprise when I receive my call for contributions increased by almost 150 € ...! The advisor I just had on the phone tells me that it is not theft, I only had to read the general conditions!</v>
      </c>
    </row>
    <row r="696" ht="15.75" customHeight="1">
      <c r="A696" s="2">
        <v>1.0</v>
      </c>
      <c r="B696" s="2" t="s">
        <v>1992</v>
      </c>
      <c r="C696" s="2" t="s">
        <v>1993</v>
      </c>
      <c r="D696" s="2" t="s">
        <v>183</v>
      </c>
      <c r="E696" s="2" t="s">
        <v>157</v>
      </c>
      <c r="F696" s="2" t="s">
        <v>15</v>
      </c>
      <c r="G696" s="2" t="s">
        <v>1994</v>
      </c>
      <c r="H696" s="2" t="s">
        <v>278</v>
      </c>
      <c r="I696" s="2" t="str">
        <f>IFERROR(__xludf.DUMMYFUNCTION("GOOGLETRANSLATE(C696,""fr"",""en"")"),"A member for more than 40 years at the GMPA, I depend on Allianz for the compensation of an IAD request. For the second time, I am not eligible for this premium. This is easily understood: GMPA in his glossary evokes the IAD simply on the character of pro"&amp;"fessional aptitude. It is quite different for Allianz who, in his foresight guide, adds the notion of debt. Its label appears on the GMPA website for the PTIA. Besides, the medical certificate to be completed for IAD request, registers the skills used to "&amp;"define the level G.I.R. (ISO Resources group), used to assess the level of dependence. Even if I am dismissed again, I will call the attention of the Secretary General of the Prudential Control and Resolution Authority (ACPR). You can enter it either by L"&amp;"RAR or directly by email. There are 2 prints, one of which concerns insurance. Bra (Office of Relations with the insured) recalled that: ""The exclusions should be clearly defined in the contracts in order to allow subscribers to know exactly the extent o"&amp;"f their guarantees. Otherwise, he said that the exclusions could not Be opposed to the assures. It also attracts the attention of insurers to the fact that the terminology used in the contracts must be clear.")</f>
        <v>A member for more than 40 years at the GMPA, I depend on Allianz for the compensation of an IAD request. For the second time, I am not eligible for this premium. This is easily understood: GMPA in his glossary evokes the IAD simply on the character of professional aptitude. It is quite different for Allianz who, in his foresight guide, adds the notion of debt. Its label appears on the GMPA website for the PTIA. Besides, the medical certificate to be completed for IAD request, registers the skills used to define the level G.I.R. (ISO Resources group), used to assess the level of dependence. Even if I am dismissed again, I will call the attention of the Secretary General of the Prudential Control and Resolution Authority (ACPR). You can enter it either by LRAR or directly by email. There are 2 prints, one of which concerns insurance. Bra (Office of Relations with the insured) recalled that: "The exclusions should be clearly defined in the contracts in order to allow subscribers to know exactly the extent of their guarantees. Otherwise, he said that the exclusions could not Be opposed to the assures. It also attracts the attention of insurers to the fact that the terminology used in the contracts must be clear.</v>
      </c>
    </row>
    <row r="697" ht="15.75" customHeight="1">
      <c r="A697" s="2">
        <v>4.0</v>
      </c>
      <c r="B697" s="2" t="s">
        <v>1995</v>
      </c>
      <c r="C697" s="2" t="s">
        <v>1996</v>
      </c>
      <c r="D697" s="2" t="s">
        <v>135</v>
      </c>
      <c r="E697" s="2" t="s">
        <v>60</v>
      </c>
      <c r="F697" s="2" t="s">
        <v>15</v>
      </c>
      <c r="G697" s="2" t="s">
        <v>1997</v>
      </c>
      <c r="H697" s="2" t="s">
        <v>29</v>
      </c>
      <c r="I697" s="2" t="str">
        <f>IFERROR(__xludf.DUMMYFUNCTION("GOOGLETRANSLATE(C697,""fr"",""en"")"),"The online services are fast and efficient all you want instead of waiting on the phone for hours on Tel that someone is likely to answer ...")</f>
        <v>The online services are fast and efficient all you want instead of waiting on the phone for hours on Tel that someone is likely to answer ...</v>
      </c>
    </row>
    <row r="698" ht="15.75" customHeight="1">
      <c r="A698" s="2">
        <v>4.0</v>
      </c>
      <c r="B698" s="2" t="s">
        <v>1998</v>
      </c>
      <c r="C698" s="2" t="s">
        <v>1999</v>
      </c>
      <c r="D698" s="2" t="s">
        <v>32</v>
      </c>
      <c r="E698" s="2" t="s">
        <v>21</v>
      </c>
      <c r="F698" s="2" t="s">
        <v>15</v>
      </c>
      <c r="G698" s="2" t="s">
        <v>349</v>
      </c>
      <c r="H698" s="2" t="s">
        <v>56</v>
      </c>
      <c r="I698" s="2" t="str">
        <f>IFERROR(__xludf.DUMMYFUNCTION("GOOGLETRANSLATE(C698,""fr"",""en"")"),"It was fast and practical I understood quickly, I think I also assured my main car
It was easy I advise direct insurance
thank you.")</f>
        <v>It was fast and practical I understood quickly, I think I also assured my main car
It was easy I advise direct insurance
thank you.</v>
      </c>
    </row>
    <row r="699" ht="15.75" customHeight="1">
      <c r="A699" s="2">
        <v>1.0</v>
      </c>
      <c r="B699" s="2" t="s">
        <v>2000</v>
      </c>
      <c r="C699" s="2" t="s">
        <v>2001</v>
      </c>
      <c r="D699" s="2" t="s">
        <v>656</v>
      </c>
      <c r="E699" s="2" t="s">
        <v>14</v>
      </c>
      <c r="F699" s="2" t="s">
        <v>15</v>
      </c>
      <c r="G699" s="2" t="s">
        <v>2002</v>
      </c>
      <c r="H699" s="2" t="s">
        <v>1091</v>
      </c>
      <c r="I699" s="2" t="str">
        <f>IFERROR(__xludf.DUMMYFUNCTION("GOOGLETRANSLATE(C699,""fr"",""en"")"),"Be careful the phone advisor sermates you if you do not take the contract with them
Very insistent they call me 20 times a week for in the end when I told them that I had taken elsewhere to be very unpleasant")</f>
        <v>Be careful the phone advisor sermates you if you do not take the contract with them
Very insistent they call me 20 times a week for in the end when I told them that I had taken elsewhere to be very unpleasant</v>
      </c>
    </row>
    <row r="700" ht="15.75" customHeight="1">
      <c r="A700" s="2">
        <v>1.0</v>
      </c>
      <c r="B700" s="2" t="s">
        <v>2003</v>
      </c>
      <c r="C700" s="2" t="s">
        <v>2004</v>
      </c>
      <c r="D700" s="2" t="s">
        <v>32</v>
      </c>
      <c r="E700" s="2" t="s">
        <v>21</v>
      </c>
      <c r="F700" s="2" t="s">
        <v>15</v>
      </c>
      <c r="G700" s="2" t="s">
        <v>1833</v>
      </c>
      <c r="H700" s="2" t="s">
        <v>62</v>
      </c>
      <c r="I700" s="2" t="str">
        <f>IFERROR(__xludf.DUMMYFUNCTION("GOOGLETRANSLATE(C700,""fr"",""en"")"),"I am not satisfied as a result of my first non -responsible claim for 2 months have passed and my compensation has still not quantified. You should not have a claim to declare in this insurance or the interlocutors come from another planet. I will termina"&amp;"te all my contracts with them.")</f>
        <v>I am not satisfied as a result of my first non -responsible claim for 2 months have passed and my compensation has still not quantified. You should not have a claim to declare in this insurance or the interlocutors come from another planet. I will terminate all my contracts with them.</v>
      </c>
    </row>
    <row r="701" ht="15.75" customHeight="1">
      <c r="A701" s="2">
        <v>3.0</v>
      </c>
      <c r="B701" s="2" t="s">
        <v>2005</v>
      </c>
      <c r="C701" s="2" t="s">
        <v>2006</v>
      </c>
      <c r="D701" s="2" t="s">
        <v>209</v>
      </c>
      <c r="E701" s="2" t="s">
        <v>82</v>
      </c>
      <c r="F701" s="2" t="s">
        <v>15</v>
      </c>
      <c r="G701" s="2" t="s">
        <v>2007</v>
      </c>
      <c r="H701" s="2" t="s">
        <v>439</v>
      </c>
      <c r="I701" s="2" t="str">
        <f>IFERROR(__xludf.DUMMYFUNCTION("GOOGLETRANSLATE(C701,""fr"",""en"")"),"How does this fact that as by chance three times in a row the documents to be reimbursed are lost? Or and therefore passed the proper functioning of this mutual? I seriously think about changing it. I have a small retirement from service agent and all thi"&amp;"s expectation of reimbursements with several complaints are unbearable.")</f>
        <v>How does this fact that as by chance three times in a row the documents to be reimbursed are lost? Or and therefore passed the proper functioning of this mutual? I seriously think about changing it. I have a small retirement from service agent and all this expectation of reimbursements with several complaints are unbearable.</v>
      </c>
    </row>
    <row r="702" ht="15.75" customHeight="1">
      <c r="A702" s="2">
        <v>1.0</v>
      </c>
      <c r="B702" s="2" t="s">
        <v>2008</v>
      </c>
      <c r="C702" s="2" t="s">
        <v>2009</v>
      </c>
      <c r="D702" s="2" t="s">
        <v>425</v>
      </c>
      <c r="E702" s="2" t="s">
        <v>27</v>
      </c>
      <c r="F702" s="2" t="s">
        <v>15</v>
      </c>
      <c r="G702" s="2" t="s">
        <v>2010</v>
      </c>
      <c r="H702" s="2" t="s">
        <v>166</v>
      </c>
      <c r="I702" s="2" t="str">
        <f>IFERROR(__xludf.DUMMYFUNCTION("GOOGLETRANSLATE(C702,""fr"",""en"")"),"I have subscribed to insurance for my loan habitat since 2007 and I fell ill (burnout) since July 2015 in sickness stop regularly then since April 2016 my doctor prescribed me a therapeutic half-time and in 2017 as I had difficulties Financials my banker "&amp;"advisor to the BNP said to me to make a request for care I am told on the phone that my file was good then 2 months after I am told that no because I had to 3 months of consecutive stop brief In the meantime my state of health c ""is stapling and I have c"&amp;"ollected a letter to make a request when I have been stopping since November 8, 2018 until this day and I am released another pretexts like what I site (The reason for your stop entering one of the exclusion clause from the insurance contract) I have the "&amp;"impression that I am laughing at me I find that her serious steps so what she uses this assurance he expects that I suicide is not normal I will go see a lawyer When I was healthy I never asked for anything I am indignant by these methods
 ")</f>
        <v>I have subscribed to insurance for my loan habitat since 2007 and I fell ill (burnout) since July 2015 in sickness stop regularly then since April 2016 my doctor prescribed me a therapeutic half-time and in 2017 as I had difficulties Financials my banker advisor to the BNP said to me to make a request for care I am told on the phone that my file was good then 2 months after I am told that no because I had to 3 months of consecutive stop brief In the meantime my state of health c "is stapling and I have collected a letter to make a request when I have been stopping since November 8, 2018 until this day and I am released another pretexts like what I site (The reason for your stop entering one of the exclusion clause from the insurance contract) I have the impression that I am laughing at me I find that her serious steps so what she uses this assurance he expects that I suicide is not normal I will go see a lawyer When I was healthy I never asked for anything I am indignant by these methods
 </v>
      </c>
    </row>
    <row r="703" ht="15.75" customHeight="1">
      <c r="A703" s="2">
        <v>1.0</v>
      </c>
      <c r="B703" s="2" t="s">
        <v>2011</v>
      </c>
      <c r="C703" s="2" t="s">
        <v>2012</v>
      </c>
      <c r="D703" s="2" t="s">
        <v>32</v>
      </c>
      <c r="E703" s="2" t="s">
        <v>21</v>
      </c>
      <c r="F703" s="2" t="s">
        <v>15</v>
      </c>
      <c r="G703" s="2" t="s">
        <v>591</v>
      </c>
      <c r="H703" s="2" t="s">
        <v>52</v>
      </c>
      <c r="I703" s="2" t="str">
        <f>IFERROR(__xludf.DUMMYFUNCTION("GOOGLETRANSLATE(C703,""fr"",""en"")"),"Min quote goes from € 322 to € 425 in 24 hours. So I decided to cancel by taking a little margin: subscription on 06/14 and termination on 06/30. I paid € 64.52 and as the contract should be € 35.44 per month, they only reimburse me € 2.28. Find the error"&amp;"!")</f>
        <v>Min quote goes from € 322 to € 425 in 24 hours. So I decided to cancel by taking a little margin: subscription on 06/14 and termination on 06/30. I paid € 64.52 and as the contract should be € 35.44 per month, they only reimburse me € 2.28. Find the error!</v>
      </c>
    </row>
    <row r="704" ht="15.75" customHeight="1">
      <c r="A704" s="2">
        <v>4.0</v>
      </c>
      <c r="B704" s="2" t="s">
        <v>2013</v>
      </c>
      <c r="C704" s="2" t="s">
        <v>2014</v>
      </c>
      <c r="D704" s="2" t="s">
        <v>32</v>
      </c>
      <c r="E704" s="2" t="s">
        <v>21</v>
      </c>
      <c r="F704" s="2" t="s">
        <v>15</v>
      </c>
      <c r="G704" s="2" t="s">
        <v>2015</v>
      </c>
      <c r="H704" s="2" t="s">
        <v>62</v>
      </c>
      <c r="I704" s="2" t="str">
        <f>IFERROR(__xludf.DUMMYFUNCTION("GOOGLETRANSLATE(C704,""fr"",""en"")"),"Correct price and top service. Explicit quote and leaves us the speed of the transmission of documents. Efficient customer service. Excellent value")</f>
        <v>Correct price and top service. Explicit quote and leaves us the speed of the transmission of documents. Efficient customer service. Excellent value</v>
      </c>
    </row>
    <row r="705" ht="15.75" customHeight="1">
      <c r="A705" s="2">
        <v>5.0</v>
      </c>
      <c r="B705" s="2" t="s">
        <v>2016</v>
      </c>
      <c r="C705" s="2" t="s">
        <v>2017</v>
      </c>
      <c r="D705" s="2" t="s">
        <v>42</v>
      </c>
      <c r="E705" s="2" t="s">
        <v>21</v>
      </c>
      <c r="F705" s="2" t="s">
        <v>15</v>
      </c>
      <c r="G705" s="2" t="s">
        <v>2018</v>
      </c>
      <c r="H705" s="2" t="s">
        <v>48</v>
      </c>
      <c r="I705" s="2" t="str">
        <f>IFERROR(__xludf.DUMMYFUNCTION("GOOGLETRANSLATE(C705,""fr"",""en"")"),"Customer service is particularly listening and gives very good explanation. Cheer! The costs are very attractive.
Very satisfied. I recommend.")</f>
        <v>Customer service is particularly listening and gives very good explanation. Cheer! The costs are very attractive.
Very satisfied. I recommend.</v>
      </c>
    </row>
    <row r="706" ht="15.75" customHeight="1">
      <c r="A706" s="2">
        <v>1.0</v>
      </c>
      <c r="B706" s="2" t="s">
        <v>2019</v>
      </c>
      <c r="C706" s="2" t="s">
        <v>2020</v>
      </c>
      <c r="D706" s="2" t="s">
        <v>59</v>
      </c>
      <c r="E706" s="2" t="s">
        <v>220</v>
      </c>
      <c r="F706" s="2" t="s">
        <v>15</v>
      </c>
      <c r="G706" s="2" t="s">
        <v>766</v>
      </c>
      <c r="H706" s="2" t="s">
        <v>74</v>
      </c>
      <c r="I706" s="2" t="str">
        <f>IFERROR(__xludf.DUMMYFUNCTION("GOOGLETRANSLATE(C706,""fr"",""en"")"),"I was passed on this insurance without even warn and behind I was taken without being able to do anything !! I find it scandalous! Insurance should not be able to renew without requesting authorization")</f>
        <v>I was passed on this insurance without even warn and behind I was taken without being able to do anything !! I find it scandalous! Insurance should not be able to renew without requesting authorization</v>
      </c>
    </row>
    <row r="707" ht="15.75" customHeight="1">
      <c r="A707" s="2">
        <v>4.0</v>
      </c>
      <c r="B707" s="2" t="s">
        <v>2021</v>
      </c>
      <c r="C707" s="2" t="s">
        <v>2022</v>
      </c>
      <c r="D707" s="2" t="s">
        <v>32</v>
      </c>
      <c r="E707" s="2" t="s">
        <v>21</v>
      </c>
      <c r="F707" s="2" t="s">
        <v>15</v>
      </c>
      <c r="G707" s="2" t="s">
        <v>534</v>
      </c>
      <c r="H707" s="2" t="s">
        <v>52</v>
      </c>
      <c r="I707" s="2" t="str">
        <f>IFERROR(__xludf.DUMMYFUNCTION("GOOGLETRANSLATE(C707,""fr"",""en"")"),"I am satisfied with the service, the prices are suitable, and I think I take my home and motorcycle insurance at home. You are the best on the market, I think. WELL DONE")</f>
        <v>I am satisfied with the service, the prices are suitable, and I think I take my home and motorcycle insurance at home. You are the best on the market, I think. WELL DONE</v>
      </c>
    </row>
    <row r="708" ht="15.75" customHeight="1">
      <c r="A708" s="2">
        <v>4.0</v>
      </c>
      <c r="B708" s="2" t="s">
        <v>2023</v>
      </c>
      <c r="C708" s="2" t="s">
        <v>2024</v>
      </c>
      <c r="D708" s="2" t="s">
        <v>42</v>
      </c>
      <c r="E708" s="2" t="s">
        <v>21</v>
      </c>
      <c r="F708" s="2" t="s">
        <v>15</v>
      </c>
      <c r="G708" s="2" t="s">
        <v>1142</v>
      </c>
      <c r="H708" s="2" t="s">
        <v>52</v>
      </c>
      <c r="I708" s="2" t="str">
        <f>IFERROR(__xludf.DUMMYFUNCTION("GOOGLETRANSLATE(C708,""fr"",""en"")"),"I am satisfied with the service, staff very attentive and very nice with the best price I even recommend for a young driver who has trouble understanding all the paperwork")</f>
        <v>I am satisfied with the service, staff very attentive and very nice with the best price I even recommend for a young driver who has trouble understanding all the paperwork</v>
      </c>
    </row>
    <row r="709" ht="15.75" customHeight="1">
      <c r="A709" s="2">
        <v>5.0</v>
      </c>
      <c r="B709" s="2" t="s">
        <v>2025</v>
      </c>
      <c r="C709" s="2" t="s">
        <v>2026</v>
      </c>
      <c r="D709" s="2" t="s">
        <v>32</v>
      </c>
      <c r="E709" s="2" t="s">
        <v>21</v>
      </c>
      <c r="F709" s="2" t="s">
        <v>15</v>
      </c>
      <c r="G709" s="2" t="s">
        <v>398</v>
      </c>
      <c r="H709" s="2" t="s">
        <v>48</v>
      </c>
      <c r="I709" s="2" t="str">
        <f>IFERROR(__xludf.DUMMYFUNCTION("GOOGLETRANSLATE(C709,""fr"",""en"")"),"We are very satisfied with the price and especially the advice from your employees! both on our vehicles and for our home - we often recommend going through Direct Assurances
Cordially")</f>
        <v>We are very satisfied with the price and especially the advice from your employees! both on our vehicles and for our home - we often recommend going through Direct Assurances
Cordially</v>
      </c>
    </row>
    <row r="710" ht="15.75" customHeight="1">
      <c r="A710" s="2">
        <v>4.0</v>
      </c>
      <c r="B710" s="2" t="s">
        <v>2027</v>
      </c>
      <c r="C710" s="2" t="s">
        <v>2028</v>
      </c>
      <c r="D710" s="2" t="s">
        <v>42</v>
      </c>
      <c r="E710" s="2" t="s">
        <v>21</v>
      </c>
      <c r="F710" s="2" t="s">
        <v>15</v>
      </c>
      <c r="G710" s="2" t="s">
        <v>213</v>
      </c>
      <c r="H710" s="2" t="s">
        <v>52</v>
      </c>
      <c r="I710" s="2" t="str">
        <f>IFERROR(__xludf.DUMMYFUNCTION("GOOGLETRANSLATE(C710,""fr"",""en"")"),"The price of insurance is really very interesting.
I am really very satisfied with this insurance.
I recommend the olive assurance.")</f>
        <v>The price of insurance is really very interesting.
I am really very satisfied with this insurance.
I recommend the olive assurance.</v>
      </c>
    </row>
    <row r="711" ht="15.75" customHeight="1">
      <c r="A711" s="2">
        <v>4.0</v>
      </c>
      <c r="B711" s="2" t="s">
        <v>2029</v>
      </c>
      <c r="C711" s="2" t="s">
        <v>2030</v>
      </c>
      <c r="D711" s="2" t="s">
        <v>42</v>
      </c>
      <c r="E711" s="2" t="s">
        <v>21</v>
      </c>
      <c r="F711" s="2" t="s">
        <v>15</v>
      </c>
      <c r="G711" s="2" t="s">
        <v>29</v>
      </c>
      <c r="H711" s="2" t="s">
        <v>29</v>
      </c>
      <c r="I711" s="2" t="str">
        <f>IFERROR(__xludf.DUMMYFUNCTION("GOOGLETRANSLATE(C711,""fr"",""en"")"),"I just find that the price and slightly high in view of the year of the model of my vehicle but you were at the top and especially the advisor I had on phone A was very professional")</f>
        <v>I just find that the price and slightly high in view of the year of the model of my vehicle but you were at the top and especially the advisor I had on phone A was very professional</v>
      </c>
    </row>
    <row r="712" ht="15.75" customHeight="1">
      <c r="A712" s="2">
        <v>2.0</v>
      </c>
      <c r="B712" s="2" t="s">
        <v>2031</v>
      </c>
      <c r="C712" s="2" t="s">
        <v>2032</v>
      </c>
      <c r="D712" s="2" t="s">
        <v>303</v>
      </c>
      <c r="E712" s="2" t="s">
        <v>33</v>
      </c>
      <c r="F712" s="2" t="s">
        <v>15</v>
      </c>
      <c r="G712" s="2" t="s">
        <v>2033</v>
      </c>
      <c r="H712" s="2" t="s">
        <v>676</v>
      </c>
      <c r="I712" s="2" t="str">
        <f>IFERROR(__xludf.DUMMYFUNCTION("GOOGLETRANSLATE(C712,""fr"",""en"")"),"Everything is good to refuse care! : 'official' responses' totally contrary to the opinion expressed on site by experts; unilateral Macif decisions contrary to common sense; experienced this in two distinct cases;
finally very difficult insurer to reach")</f>
        <v>Everything is good to refuse care! : 'official' responses' totally contrary to the opinion expressed on site by experts; unilateral Macif decisions contrary to common sense; experienced this in two distinct cases;
finally very difficult insurer to reach</v>
      </c>
    </row>
    <row r="713" ht="15.75" customHeight="1">
      <c r="A713" s="2">
        <v>4.0</v>
      </c>
      <c r="B713" s="2" t="s">
        <v>2034</v>
      </c>
      <c r="C713" s="2" t="s">
        <v>2035</v>
      </c>
      <c r="D713" s="2" t="s">
        <v>42</v>
      </c>
      <c r="E713" s="2" t="s">
        <v>21</v>
      </c>
      <c r="F713" s="2" t="s">
        <v>15</v>
      </c>
      <c r="G713" s="2" t="s">
        <v>463</v>
      </c>
      <c r="H713" s="2" t="s">
        <v>464</v>
      </c>
      <c r="I713" s="2" t="str">
        <f>IFERROR(__xludf.DUMMYFUNCTION("GOOGLETRANSLATE(C713,""fr"",""en"")"),"The phone advisers really managed the situation, involving separation. Thanks to the whole team for their involvement and kindness")</f>
        <v>The phone advisers really managed the situation, involving separation. Thanks to the whole team for their involvement and kindness</v>
      </c>
    </row>
    <row r="714" ht="15.75" customHeight="1">
      <c r="A714" s="2">
        <v>4.0</v>
      </c>
      <c r="B714" s="2" t="s">
        <v>2036</v>
      </c>
      <c r="C714" s="2" t="s">
        <v>2037</v>
      </c>
      <c r="D714" s="2" t="s">
        <v>65</v>
      </c>
      <c r="E714" s="2" t="s">
        <v>60</v>
      </c>
      <c r="F714" s="2" t="s">
        <v>15</v>
      </c>
      <c r="G714" s="2" t="s">
        <v>500</v>
      </c>
      <c r="H714" s="2" t="s">
        <v>62</v>
      </c>
      <c r="I714" s="2" t="str">
        <f>IFERROR(__xludf.DUMMYFUNCTION("GOOGLETRANSLATE(C714,""fr"",""en"")"),"Your platform is intuitive and pleasant.
The basic + option contract system is interesting.
The ease and speed of subscription are really a plus")</f>
        <v>Your platform is intuitive and pleasant.
The basic + option contract system is interesting.
The ease and speed of subscription are really a plus</v>
      </c>
    </row>
    <row r="715" ht="15.75" customHeight="1">
      <c r="A715" s="2">
        <v>5.0</v>
      </c>
      <c r="B715" s="2" t="s">
        <v>2038</v>
      </c>
      <c r="C715" s="2" t="s">
        <v>2039</v>
      </c>
      <c r="D715" s="2" t="s">
        <v>32</v>
      </c>
      <c r="E715" s="2" t="s">
        <v>21</v>
      </c>
      <c r="F715" s="2" t="s">
        <v>15</v>
      </c>
      <c r="G715" s="2" t="s">
        <v>818</v>
      </c>
      <c r="H715" s="2" t="s">
        <v>56</v>
      </c>
      <c r="I715" s="2" t="str">
        <f>IFERROR(__xludf.DUMMYFUNCTION("GOOGLETRANSLATE(C715,""fr"",""en"")"),"I am satisfied with the speed of subscription.
Easy to use site, different proposals make it possible to make a choice as well financial and in terms of coverage.")</f>
        <v>I am satisfied with the speed of subscription.
Easy to use site, different proposals make it possible to make a choice as well financial and in terms of coverage.</v>
      </c>
    </row>
    <row r="716" ht="15.75" customHeight="1">
      <c r="A716" s="2">
        <v>4.0</v>
      </c>
      <c r="B716" s="2" t="s">
        <v>2040</v>
      </c>
      <c r="C716" s="2" t="s">
        <v>2041</v>
      </c>
      <c r="D716" s="2" t="s">
        <v>200</v>
      </c>
      <c r="E716" s="2" t="s">
        <v>21</v>
      </c>
      <c r="F716" s="2" t="s">
        <v>15</v>
      </c>
      <c r="G716" s="2" t="s">
        <v>2042</v>
      </c>
      <c r="H716" s="2" t="s">
        <v>359</v>
      </c>
      <c r="I716" s="2" t="str">
        <f>IFERROR(__xludf.DUMMYFUNCTION("GOOGLETRANSLATE(C716,""fr"",""en"")"),"I am satisfied with this insurer! I went from 430 euros in insurance with a traditional agency at 230 euros for an online offer, for the same service. Admittedly, there is no more agency but we do not go to his insurer every day!
My reference sponsorship"&amp;" 30 euros each: 5368331")</f>
        <v>I am satisfied with this insurer! I went from 430 euros in insurance with a traditional agency at 230 euros for an online offer, for the same service. Admittedly, there is no more agency but we do not go to his insurer every day!
My reference sponsorship 30 euros each: 5368331</v>
      </c>
    </row>
    <row r="717" ht="15.75" customHeight="1">
      <c r="A717" s="2">
        <v>4.0</v>
      </c>
      <c r="B717" s="2" t="s">
        <v>2043</v>
      </c>
      <c r="C717" s="2" t="s">
        <v>2044</v>
      </c>
      <c r="D717" s="2" t="s">
        <v>32</v>
      </c>
      <c r="E717" s="2" t="s">
        <v>21</v>
      </c>
      <c r="F717" s="2" t="s">
        <v>15</v>
      </c>
      <c r="G717" s="2" t="s">
        <v>104</v>
      </c>
      <c r="H717" s="2" t="s">
        <v>104</v>
      </c>
      <c r="I717" s="2" t="str">
        <f>IFERROR(__xludf.DUMMYFUNCTION("GOOGLETRANSLATE(C717,""fr"",""en"")"),"I AM SATISFIED WITH THE SERVICE
The price suits me
Simple and practical
Is also for the assistance of the reception is very kind of his kind conversation")</f>
        <v>I AM SATISFIED WITH THE SERVICE
The price suits me
Simple and practical
Is also for the assistance of the reception is very kind of his kind conversation</v>
      </c>
    </row>
    <row r="718" ht="15.75" customHeight="1">
      <c r="A718" s="2">
        <v>1.0</v>
      </c>
      <c r="B718" s="2" t="s">
        <v>2045</v>
      </c>
      <c r="C718" s="2" t="s">
        <v>2046</v>
      </c>
      <c r="D718" s="2" t="s">
        <v>32</v>
      </c>
      <c r="E718" s="2" t="s">
        <v>21</v>
      </c>
      <c r="F718" s="2" t="s">
        <v>15</v>
      </c>
      <c r="G718" s="2" t="s">
        <v>2047</v>
      </c>
      <c r="H718" s="2" t="s">
        <v>485</v>
      </c>
      <c r="I718" s="2" t="str">
        <f>IFERROR(__xludf.DUMMYFUNCTION("GOOGLETRANSLATE(C718,""fr"",""en"")"),"I have been a customer at Direct Insurance for 3 years, and I already see all colors ... Initial prices certainly very attractive, but they quickly catch up! In two years, 0 accidents, and increase in my 3 contracts at home (2 auto contracts and 1 housing"&amp;") including one 200 euros !!! The worst part is that it is done quite naturally without explanation. In addition, deplorable customer service, poor guarantees, and management errors !!! Obviously, always to their advantage !!!")</f>
        <v>I have been a customer at Direct Insurance for 3 years, and I already see all colors ... Initial prices certainly very attractive, but they quickly catch up! In two years, 0 accidents, and increase in my 3 contracts at home (2 auto contracts and 1 housing) including one 200 euros !!! The worst part is that it is done quite naturally without explanation. In addition, deplorable customer service, poor guarantees, and management errors !!! Obviously, always to their advantage !!!</v>
      </c>
    </row>
    <row r="719" ht="15.75" customHeight="1">
      <c r="A719" s="2">
        <v>1.0</v>
      </c>
      <c r="B719" s="2" t="s">
        <v>2048</v>
      </c>
      <c r="C719" s="2" t="s">
        <v>2049</v>
      </c>
      <c r="D719" s="2" t="s">
        <v>124</v>
      </c>
      <c r="E719" s="2" t="s">
        <v>60</v>
      </c>
      <c r="F719" s="2" t="s">
        <v>15</v>
      </c>
      <c r="G719" s="2" t="s">
        <v>2050</v>
      </c>
      <c r="H719" s="2" t="s">
        <v>56</v>
      </c>
      <c r="I719" s="2" t="str">
        <f>IFERROR(__xludf.DUMMYFUNCTION("GOOGLETRANSLATE(C719,""fr"",""en"")"),"Disaster victims, since the end of August
Still in the loss at the end of September and in addition to the guard costs at my expense. No compensation at the moment. But systematically the same requests for documents. 1 star because forced. to flee at all"&amp;" costs!")</f>
        <v>Disaster victims, since the end of August
Still in the loss at the end of September and in addition to the guard costs at my expense. No compensation at the moment. But systematically the same requests for documents. 1 star because forced. to flee at all costs!</v>
      </c>
    </row>
    <row r="720" ht="15.75" customHeight="1">
      <c r="A720" s="2">
        <v>4.0</v>
      </c>
      <c r="B720" s="2" t="s">
        <v>2051</v>
      </c>
      <c r="C720" s="2" t="s">
        <v>2052</v>
      </c>
      <c r="D720" s="2" t="s">
        <v>32</v>
      </c>
      <c r="E720" s="2" t="s">
        <v>21</v>
      </c>
      <c r="F720" s="2" t="s">
        <v>15</v>
      </c>
      <c r="G720" s="2" t="s">
        <v>818</v>
      </c>
      <c r="H720" s="2" t="s">
        <v>56</v>
      </c>
      <c r="I720" s="2" t="str">
        <f>IFERROR(__xludf.DUMMYFUNCTION("GOOGLETRANSLATE(C720,""fr"",""en"")"),"I am satisfied with the price practiced.
This is the second vehicle I assure at Direct Insurance, which suits me perfectly from any point of view (price and warranty).")</f>
        <v>I am satisfied with the price practiced.
This is the second vehicle I assure at Direct Insurance, which suits me perfectly from any point of view (price and warranty).</v>
      </c>
    </row>
    <row r="721" ht="15.75" customHeight="1">
      <c r="A721" s="2">
        <v>1.0</v>
      </c>
      <c r="B721" s="2" t="s">
        <v>2053</v>
      </c>
      <c r="C721" s="2" t="s">
        <v>2054</v>
      </c>
      <c r="D721" s="2" t="s">
        <v>263</v>
      </c>
      <c r="E721" s="2" t="s">
        <v>157</v>
      </c>
      <c r="F721" s="2" t="s">
        <v>15</v>
      </c>
      <c r="G721" s="2" t="s">
        <v>2055</v>
      </c>
      <c r="H721" s="2" t="s">
        <v>126</v>
      </c>
      <c r="I721" s="2" t="str">
        <f>IFERROR(__xludf.DUMMYFUNCTION("GOOGLETRANSLATE(C721,""fr"",""en"")"),"Customer Provident of the self -employed since 2006 I had only one stop of 15 days in 14 years and the two months because I am a person at risk I am a restaurateur I was not able to take to take away when I like a blow have tells me that it is missing doc"&amp;"uments, a blow told me that they do not understand why I was not compensated, a blow my file is not taken into account it is heartbreaking there are mare that the insurers are not there when needed !!!!")</f>
        <v>Customer Provident of the self -employed since 2006 I had only one stop of 15 days in 14 years and the two months because I am a person at risk I am a restaurateur I was not able to take to take away when I like a blow have tells me that it is missing documents, a blow told me that they do not understand why I was not compensated, a blow my file is not taken into account it is heartbreaking there are mare that the insurers are not there when needed !!!!</v>
      </c>
    </row>
    <row r="722" ht="15.75" customHeight="1">
      <c r="A722" s="2">
        <v>3.0</v>
      </c>
      <c r="B722" s="2" t="s">
        <v>2056</v>
      </c>
      <c r="C722" s="2" t="s">
        <v>2057</v>
      </c>
      <c r="D722" s="2" t="s">
        <v>32</v>
      </c>
      <c r="E722" s="2" t="s">
        <v>21</v>
      </c>
      <c r="F722" s="2" t="s">
        <v>15</v>
      </c>
      <c r="G722" s="2" t="s">
        <v>2058</v>
      </c>
      <c r="H722" s="2" t="s">
        <v>104</v>
      </c>
      <c r="I722" s="2" t="str">
        <f>IFERROR(__xludf.DUMMYFUNCTION("GOOGLETRANSLATE(C722,""fr"",""en"")"),"I am satisfied with the price which my summer offers in relation to the option chosen very good value for money. I would recommend this direct insurance insurance.")</f>
        <v>I am satisfied with the price which my summer offers in relation to the option chosen very good value for money. I would recommend this direct insurance insurance.</v>
      </c>
    </row>
    <row r="723" ht="15.75" customHeight="1">
      <c r="A723" s="2">
        <v>1.0</v>
      </c>
      <c r="B723" s="2" t="s">
        <v>2059</v>
      </c>
      <c r="C723" s="2" t="s">
        <v>2060</v>
      </c>
      <c r="D723" s="2" t="s">
        <v>267</v>
      </c>
      <c r="E723" s="2" t="s">
        <v>21</v>
      </c>
      <c r="F723" s="2" t="s">
        <v>15</v>
      </c>
      <c r="G723" s="2" t="s">
        <v>2061</v>
      </c>
      <c r="H723" s="2" t="s">
        <v>419</v>
      </c>
      <c r="I723" s="2" t="str">
        <f>IFERROR(__xludf.DUMMYFUNCTION("GOOGLETRANSLATE(C723,""fr"",""en"")"),"Shameful ...... Despite the sending of documents (requested by LCL) for the termination of a car contract I am always deducted.")</f>
        <v>Shameful ...... Despite the sending of documents (requested by LCL) for the termination of a car contract I am always deducted.</v>
      </c>
    </row>
    <row r="724" ht="15.75" customHeight="1">
      <c r="A724" s="2">
        <v>1.0</v>
      </c>
      <c r="B724" s="2" t="s">
        <v>2062</v>
      </c>
      <c r="C724" s="2" t="s">
        <v>2063</v>
      </c>
      <c r="D724" s="2" t="s">
        <v>451</v>
      </c>
      <c r="E724" s="2" t="s">
        <v>82</v>
      </c>
      <c r="F724" s="2" t="s">
        <v>15</v>
      </c>
      <c r="G724" s="2" t="s">
        <v>1104</v>
      </c>
      <c r="H724" s="2" t="s">
        <v>104</v>
      </c>
      <c r="I724" s="2" t="str">
        <f>IFERROR(__xludf.DUMMYFUNCTION("GOOGLETRANSLATE(C724,""fr"",""en"")"),"I do not recommend this mutual insurance company at all, it increases your contributions every year, deletes rights to you without warning you (letter of formal notice in progress), impossible to have answers or even interlocutors! To be fuled quickly!")</f>
        <v>I do not recommend this mutual insurance company at all, it increases your contributions every year, deletes rights to you without warning you (letter of formal notice in progress), impossible to have answers or even interlocutors! To be fuled quickly!</v>
      </c>
    </row>
    <row r="725" ht="15.75" customHeight="1">
      <c r="A725" s="2">
        <v>2.0</v>
      </c>
      <c r="B725" s="2" t="s">
        <v>2064</v>
      </c>
      <c r="C725" s="2" t="s">
        <v>2065</v>
      </c>
      <c r="D725" s="2" t="s">
        <v>200</v>
      </c>
      <c r="E725" s="2" t="s">
        <v>21</v>
      </c>
      <c r="F725" s="2" t="s">
        <v>15</v>
      </c>
      <c r="G725" s="2" t="s">
        <v>2066</v>
      </c>
      <c r="H725" s="2" t="s">
        <v>485</v>
      </c>
      <c r="I725" s="2" t="str">
        <f>IFERROR(__xludf.DUMMYFUNCTION("GOOGLETRANSLATE(C725,""fr"",""en"")"),"Termination after 2 non -responsible accidents, but especially after the dispute of a repair, poor workmanship noted when the vehicle resumption, non -repair of a shock to a vereu wheel and garagist who lacerated a hose to take revenge not to have succeed"&amp;"ed in make me pay the rental of the vehicle supposed to be free ... thank you Eurofil")</f>
        <v>Termination after 2 non -responsible accidents, but especially after the dispute of a repair, poor workmanship noted when the vehicle resumption, non -repair of a shock to a vereu wheel and garagist who lacerated a hose to take revenge not to have succeeded in make me pay the rental of the vehicle supposed to be free ... thank you Eurofil</v>
      </c>
    </row>
    <row r="726" ht="15.75" customHeight="1">
      <c r="A726" s="2">
        <v>2.0</v>
      </c>
      <c r="B726" s="2" t="s">
        <v>2067</v>
      </c>
      <c r="C726" s="2" t="s">
        <v>2068</v>
      </c>
      <c r="D726" s="2" t="s">
        <v>42</v>
      </c>
      <c r="E726" s="2" t="s">
        <v>21</v>
      </c>
      <c r="F726" s="2" t="s">
        <v>15</v>
      </c>
      <c r="G726" s="2" t="s">
        <v>2069</v>
      </c>
      <c r="H726" s="2" t="s">
        <v>315</v>
      </c>
      <c r="I726" s="2" t="str">
        <f>IFERROR(__xludf.DUMMYFUNCTION("GOOGLETRANSLATE(C726,""fr"",""en"")"),"Good evening my name is aissahine sifedine my reference number ES on 1950301 and my loss number on 2019746762 Hello I am assured at the olive assurance in all risk for 1 year I was robbed my vehicle on October 21, 2019 I sent all the Documents as well as "&amp;"the keys. Sales attachment. and ... the expert must achieve for a proposal I am always waiting for the comments I start to worry contact me quickly that I can benefit from the privilege that the insurer promises While waiting for more than 1 month that I "&amp;"am on foot !!!")</f>
        <v>Good evening my name is aissahine sifedine my reference number ES on 1950301 and my loss number on 2019746762 Hello I am assured at the olive assurance in all risk for 1 year I was robbed my vehicle on October 21, 2019 I sent all the Documents as well as the keys. Sales attachment. and ... the expert must achieve for a proposal I am always waiting for the comments I start to worry contact me quickly that I can benefit from the privilege that the insurer promises While waiting for more than 1 month that I am on foot !!!</v>
      </c>
    </row>
    <row r="727" ht="15.75" customHeight="1">
      <c r="A727" s="2">
        <v>1.0</v>
      </c>
      <c r="B727" s="2" t="s">
        <v>2070</v>
      </c>
      <c r="C727" s="2" t="s">
        <v>2071</v>
      </c>
      <c r="D727" s="2" t="s">
        <v>98</v>
      </c>
      <c r="E727" s="2" t="s">
        <v>21</v>
      </c>
      <c r="F727" s="2" t="s">
        <v>15</v>
      </c>
      <c r="G727" s="2" t="s">
        <v>2072</v>
      </c>
      <c r="H727" s="2" t="s">
        <v>439</v>
      </c>
      <c r="I727" s="2" t="str">
        <f>IFERROR(__xludf.DUMMYFUNCTION("GOOGLETRANSLATE(C727,""fr"",""en"")"),"Insured with this company. I underwent a non -faulty car accident on 02/24/2020. Following this the company mandated an expert who estimated the repurchase of the vehicle. The documents sent, we were awaiting the transaction. Except that with confinement "&amp;"the deadlines are extended, that it is impossible to obtain the documents requested by the insurer and Active Insurance refuses to reimburse the monthly payments levied and that it continues to take.
A lady of customer service had assured me that every"&amp;"thing would be reimbursed upon receipt of documents and that it should not be alarmed. Speech completely contradicted today by the SC which hangs up on me! To flee !
It is totally unacceptable to pay insurance for a car for which it is impossible to dr"&amp;"ive!")</f>
        <v>Insured with this company. I underwent a non -faulty car accident on 02/24/2020. Following this the company mandated an expert who estimated the repurchase of the vehicle. The documents sent, we were awaiting the transaction. Except that with confinement the deadlines are extended, that it is impossible to obtain the documents requested by the insurer and Active Insurance refuses to reimburse the monthly payments levied and that it continues to take.
A lady of customer service had assured me that everything would be reimbursed upon receipt of documents and that it should not be alarmed. Speech completely contradicted today by the SC which hangs up on me! To flee !
It is totally unacceptable to pay insurance for a car for which it is impossible to drive!</v>
      </c>
    </row>
    <row r="728" ht="15.75" customHeight="1">
      <c r="A728" s="2">
        <v>5.0</v>
      </c>
      <c r="B728" s="2" t="s">
        <v>2073</v>
      </c>
      <c r="C728" s="2" t="s">
        <v>2074</v>
      </c>
      <c r="D728" s="2" t="s">
        <v>2075</v>
      </c>
      <c r="E728" s="2" t="s">
        <v>27</v>
      </c>
      <c r="F728" s="2" t="s">
        <v>15</v>
      </c>
      <c r="G728" s="2" t="s">
        <v>2076</v>
      </c>
      <c r="H728" s="2" t="s">
        <v>147</v>
      </c>
      <c r="I728" s="2" t="str">
        <f>IFERROR(__xludf.DUMMYFUNCTION("GOOGLETRANSLATE(C728,""fr"",""en"")"),"I obtained a very interesting quote for my loan insurance compared to my bank. I received my contract quickly which allowed me to conclude my real estate project in time.")</f>
        <v>I obtained a very interesting quote for my loan insurance compared to my bank. I received my contract quickly which allowed me to conclude my real estate project in time.</v>
      </c>
    </row>
    <row r="729" ht="15.75" customHeight="1">
      <c r="A729" s="2">
        <v>1.0</v>
      </c>
      <c r="B729" s="2" t="s">
        <v>2077</v>
      </c>
      <c r="C729" s="2" t="s">
        <v>2078</v>
      </c>
      <c r="D729" s="2" t="s">
        <v>303</v>
      </c>
      <c r="E729" s="2" t="s">
        <v>60</v>
      </c>
      <c r="F729" s="2" t="s">
        <v>15</v>
      </c>
      <c r="G729" s="2" t="s">
        <v>843</v>
      </c>
      <c r="H729" s="2" t="s">
        <v>104</v>
      </c>
      <c r="I729" s="2" t="str">
        <f>IFERROR(__xludf.DUMMYFUNCTION("GOOGLETRANSLATE(C729,""fr"",""en"")"),"I am declared this insurance even if you are a good payer and that you do not make an accident he throws you all because people from their home make contract error. from home make mistakes C is unacceptable")</f>
        <v>I am declared this insurance even if you are a good payer and that you do not make an accident he throws you all because people from their home make contract error. from home make mistakes C is unacceptable</v>
      </c>
    </row>
    <row r="730" ht="15.75" customHeight="1">
      <c r="A730" s="2">
        <v>2.0</v>
      </c>
      <c r="B730" s="2" t="s">
        <v>2079</v>
      </c>
      <c r="C730" s="2" t="s">
        <v>2080</v>
      </c>
      <c r="D730" s="2" t="s">
        <v>32</v>
      </c>
      <c r="E730" s="2" t="s">
        <v>21</v>
      </c>
      <c r="F730" s="2" t="s">
        <v>15</v>
      </c>
      <c r="G730" s="2" t="s">
        <v>1719</v>
      </c>
      <c r="H730" s="2" t="s">
        <v>39</v>
      </c>
      <c r="I730" s="2" t="str">
        <f>IFERROR(__xludf.DUMMYFUNCTION("GOOGLETRANSLATE(C730,""fr"",""en"")"),"can do better given my insured profile .... 514 euros per year with 50% bonus for 9 years I find that this does not reward my good customer profile enough.")</f>
        <v>can do better given my insured profile .... 514 euros per year with 50% bonus for 9 years I find that this does not reward my good customer profile enough.</v>
      </c>
    </row>
    <row r="731" ht="15.75" customHeight="1">
      <c r="A731" s="2">
        <v>4.0</v>
      </c>
      <c r="B731" s="2" t="s">
        <v>2081</v>
      </c>
      <c r="C731" s="2" t="s">
        <v>2082</v>
      </c>
      <c r="D731" s="2" t="s">
        <v>196</v>
      </c>
      <c r="E731" s="2" t="s">
        <v>82</v>
      </c>
      <c r="F731" s="2" t="s">
        <v>15</v>
      </c>
      <c r="G731" s="2" t="s">
        <v>497</v>
      </c>
      <c r="H731" s="2" t="s">
        <v>474</v>
      </c>
      <c r="I731" s="2" t="str">
        <f>IFERROR(__xludf.DUMMYFUNCTION("GOOGLETRANSLATE(C731,""fr"",""en"")"),"Following a scooter accident very happy to have subscribed to additional insurance which paid me 900 euros on my net tax account thank you for your seriousness and your professionalism. I recommend")</f>
        <v>Following a scooter accident very happy to have subscribed to additional insurance which paid me 900 euros on my net tax account thank you for your seriousness and your professionalism. I recommend</v>
      </c>
    </row>
    <row r="732" ht="15.75" customHeight="1">
      <c r="A732" s="2">
        <v>4.0</v>
      </c>
      <c r="B732" s="2" t="s">
        <v>2083</v>
      </c>
      <c r="C732" s="2" t="s">
        <v>2084</v>
      </c>
      <c r="D732" s="2" t="s">
        <v>42</v>
      </c>
      <c r="E732" s="2" t="s">
        <v>21</v>
      </c>
      <c r="F732" s="2" t="s">
        <v>15</v>
      </c>
      <c r="G732" s="2" t="s">
        <v>1467</v>
      </c>
      <c r="H732" s="2" t="s">
        <v>52</v>
      </c>
      <c r="I732" s="2" t="str">
        <f>IFERROR(__xludf.DUMMYFUNCTION("GOOGLETRANSLATE(C732,""fr"",""en"")"),"Low prices and a correct global coverage in view of the deductibles but the freeze -free deductible is far too high, it's a shame it should be modulated according to the level of franchise chosen.")</f>
        <v>Low prices and a correct global coverage in view of the deductibles but the freeze -free deductible is far too high, it's a shame it should be modulated according to the level of franchise chosen.</v>
      </c>
    </row>
    <row r="733" ht="15.75" customHeight="1">
      <c r="A733" s="2">
        <v>1.0</v>
      </c>
      <c r="B733" s="2" t="s">
        <v>2085</v>
      </c>
      <c r="C733" s="2" t="s">
        <v>2086</v>
      </c>
      <c r="D733" s="2" t="s">
        <v>267</v>
      </c>
      <c r="E733" s="2" t="s">
        <v>21</v>
      </c>
      <c r="F733" s="2" t="s">
        <v>15</v>
      </c>
      <c r="G733" s="2" t="s">
        <v>1317</v>
      </c>
      <c r="H733" s="2" t="s">
        <v>56</v>
      </c>
      <c r="I733" s="2" t="str">
        <f>IFERROR(__xludf.DUMMYFUNCTION("GOOGLETRANSLATE(C733,""fr"",""en"")"),"Very disappointed with this insurance !!!
I will not hesitate to make bad pub with those around me.
Scandalous what I experienced this summer with my wife and my children !!!
To ultimately receive a vulgar negative message from them ???? after having 9"&amp;" different interlocutors (the big joke ????)
What is very pleasant at home is the end of their message. (Thank you for your confidence ???????))
In fact they should have sent me. Thank you for subscribing to Pacifica to have it in the Baba!
A shame thi"&amp;"s insurance !!!
")</f>
        <v>Very disappointed with this insurance !!!
I will not hesitate to make bad pub with those around me.
Scandalous what I experienced this summer with my wife and my children !!!
To ultimately receive a vulgar negative message from them ???? after having 9 different interlocutors (the big joke ????)
What is very pleasant at home is the end of their message. (Thank you for your confidence ???????))
In fact they should have sent me. Thank you for subscribing to Pacifica to have it in the Baba!
A shame this insurance !!!
</v>
      </c>
    </row>
    <row r="734" ht="15.75" customHeight="1">
      <c r="A734" s="2">
        <v>4.0</v>
      </c>
      <c r="B734" s="2" t="s">
        <v>2087</v>
      </c>
      <c r="C734" s="2" t="s">
        <v>2088</v>
      </c>
      <c r="D734" s="2" t="s">
        <v>32</v>
      </c>
      <c r="E734" s="2" t="s">
        <v>21</v>
      </c>
      <c r="F734" s="2" t="s">
        <v>15</v>
      </c>
      <c r="G734" s="2" t="s">
        <v>339</v>
      </c>
      <c r="H734" s="2" t="s">
        <v>62</v>
      </c>
      <c r="I734" s="2" t="str">
        <f>IFERROR(__xludf.DUMMYFUNCTION("GOOGLETRANSLATE(C734,""fr"",""en"")"),"I am satisfied with the service and prices of Direct Aussurance. By being a young driver I was able to have good prices. In other insurance simulations that I was able to make before prices were excessive for young drivers like me.
Cordially")</f>
        <v>I am satisfied with the service and prices of Direct Aussurance. By being a young driver I was able to have good prices. In other insurance simulations that I was able to make before prices were excessive for young drivers like me.
Cordially</v>
      </c>
    </row>
    <row r="735" ht="15.75" customHeight="1">
      <c r="A735" s="2">
        <v>1.0</v>
      </c>
      <c r="B735" s="2" t="s">
        <v>2089</v>
      </c>
      <c r="C735" s="2" t="s">
        <v>2090</v>
      </c>
      <c r="D735" s="2" t="s">
        <v>81</v>
      </c>
      <c r="E735" s="2" t="s">
        <v>82</v>
      </c>
      <c r="F735" s="2" t="s">
        <v>15</v>
      </c>
      <c r="G735" s="2" t="s">
        <v>2091</v>
      </c>
      <c r="H735" s="2" t="s">
        <v>115</v>
      </c>
      <c r="I735" s="2" t="str">
        <f>IFERROR(__xludf.DUMMYFUNCTION("GOOGLETRANSLATE(C735,""fr"",""en"")"),"Hello I have subscribed to this mutual because it adorns me in short, I am not still satisfied with a third -party payment card no contract and not possible to ask for care because currently hospitalizing for a big pathological and the initial formile + 2"&amp;" Do not co -bother my situation given the expense that it will cost us 75 euros per room and other we will be obliged to make a credit to pay the hospital frankly not very serious")</f>
        <v>Hello I have subscribed to this mutual because it adorns me in short, I am not still satisfied with a third -party payment card no contract and not possible to ask for care because currently hospitalizing for a big pathological and the initial formile + 2 Do not co -bother my situation given the expense that it will cost us 75 euros per room and other we will be obliged to make a credit to pay the hospital frankly not very serious</v>
      </c>
    </row>
    <row r="736" ht="15.75" customHeight="1">
      <c r="A736" s="2">
        <v>4.0</v>
      </c>
      <c r="B736" s="2" t="s">
        <v>2092</v>
      </c>
      <c r="C736" s="2" t="s">
        <v>2093</v>
      </c>
      <c r="D736" s="2" t="s">
        <v>42</v>
      </c>
      <c r="E736" s="2" t="s">
        <v>21</v>
      </c>
      <c r="F736" s="2" t="s">
        <v>15</v>
      </c>
      <c r="G736" s="2" t="s">
        <v>1142</v>
      </c>
      <c r="H736" s="2" t="s">
        <v>52</v>
      </c>
      <c r="I736" s="2" t="str">
        <f>IFERROR(__xludf.DUMMYFUNCTION("GOOGLETRANSLATE(C736,""fr"",""en"")"),"Easy subscription and information on the clear and precise site.
Competitive and affordable prices. Reactive telephone customer service and good advice.")</f>
        <v>Easy subscription and information on the clear and precise site.
Competitive and affordable prices. Reactive telephone customer service and good advice.</v>
      </c>
    </row>
    <row r="737" ht="15.75" customHeight="1">
      <c r="A737" s="2">
        <v>5.0</v>
      </c>
      <c r="B737" s="2" t="s">
        <v>2094</v>
      </c>
      <c r="C737" s="2" t="s">
        <v>2095</v>
      </c>
      <c r="D737" s="2" t="s">
        <v>98</v>
      </c>
      <c r="E737" s="2" t="s">
        <v>21</v>
      </c>
      <c r="F737" s="2" t="s">
        <v>15</v>
      </c>
      <c r="G737" s="2" t="s">
        <v>2096</v>
      </c>
      <c r="H737" s="2" t="s">
        <v>202</v>
      </c>
      <c r="I737" s="2" t="str">
        <f>IFERROR(__xludf.DUMMYFUNCTION("GOOGLETRANSLATE(C737,""fr"",""en"")"),"Excellent insurance, never had a problem with them everything works well unlike what we can read here")</f>
        <v>Excellent insurance, never had a problem with them everything works well unlike what we can read here</v>
      </c>
    </row>
    <row r="738" ht="15.75" customHeight="1">
      <c r="A738" s="2">
        <v>4.0</v>
      </c>
      <c r="B738" s="2" t="s">
        <v>2097</v>
      </c>
      <c r="C738" s="2" t="s">
        <v>2098</v>
      </c>
      <c r="D738" s="2" t="s">
        <v>32</v>
      </c>
      <c r="E738" s="2" t="s">
        <v>21</v>
      </c>
      <c r="F738" s="2" t="s">
        <v>15</v>
      </c>
      <c r="G738" s="2" t="s">
        <v>2099</v>
      </c>
      <c r="H738" s="2" t="s">
        <v>48</v>
      </c>
      <c r="I738" s="2" t="str">
        <f>IFERROR(__xludf.DUMMYFUNCTION("GOOGLETRANSLATE(C738,""fr"",""en"")"),"For my part, the prices are more than correct. On the other hand the site as well as the app is too ""simple"", it lacks information I find as in the assistance repair for example and the future evolution that our insurance contracts reserves us")</f>
        <v>For my part, the prices are more than correct. On the other hand the site as well as the app is too "simple", it lacks information I find as in the assistance repair for example and the future evolution that our insurance contracts reserves us</v>
      </c>
    </row>
    <row r="739" ht="15.75" customHeight="1">
      <c r="A739" s="2">
        <v>3.0</v>
      </c>
      <c r="B739" s="2" t="s">
        <v>2100</v>
      </c>
      <c r="C739" s="2" t="s">
        <v>2101</v>
      </c>
      <c r="D739" s="2" t="s">
        <v>129</v>
      </c>
      <c r="E739" s="2" t="s">
        <v>21</v>
      </c>
      <c r="F739" s="2" t="s">
        <v>15</v>
      </c>
      <c r="G739" s="2" t="s">
        <v>1026</v>
      </c>
      <c r="H739" s="2" t="s">
        <v>56</v>
      </c>
      <c r="I739" s="2" t="str">
        <f>IFERROR(__xludf.DUMMYFUNCTION("GOOGLETRANSLATE(C739,""fr"",""en"")"),"I am satisfied with the service and access to information.
The price seems correct compared to other insurance.
So I am satisfied with this insurance
")</f>
        <v>I am satisfied with the service and access to information.
The price seems correct compared to other insurance.
So I am satisfied with this insurance
</v>
      </c>
    </row>
    <row r="740" ht="15.75" customHeight="1">
      <c r="A740" s="2">
        <v>5.0</v>
      </c>
      <c r="B740" s="2" t="s">
        <v>2102</v>
      </c>
      <c r="C740" s="2" t="s">
        <v>2103</v>
      </c>
      <c r="D740" s="2" t="s">
        <v>451</v>
      </c>
      <c r="E740" s="2" t="s">
        <v>82</v>
      </c>
      <c r="F740" s="2" t="s">
        <v>15</v>
      </c>
      <c r="G740" s="2" t="s">
        <v>2104</v>
      </c>
      <c r="H740" s="2" t="s">
        <v>177</v>
      </c>
      <c r="I740" s="2" t="str">
        <f>IFERROR(__xludf.DUMMYFUNCTION("GOOGLETRANSLATE(C740,""fr"",""en"")"),"Easy and quick refunds with the application ...
Sometimes the website bug a little .... but overall no worries! Download appreciable certificates on the application!")</f>
        <v>Easy and quick refunds with the application ...
Sometimes the website bug a little .... but overall no worries! Download appreciable certificates on the application!</v>
      </c>
    </row>
    <row r="741" ht="15.75" customHeight="1">
      <c r="A741" s="2">
        <v>2.0</v>
      </c>
      <c r="B741" s="2" t="s">
        <v>2105</v>
      </c>
      <c r="C741" s="2" t="s">
        <v>2106</v>
      </c>
      <c r="D741" s="2" t="s">
        <v>65</v>
      </c>
      <c r="E741" s="2" t="s">
        <v>60</v>
      </c>
      <c r="F741" s="2" t="s">
        <v>15</v>
      </c>
      <c r="G741" s="2" t="s">
        <v>1677</v>
      </c>
      <c r="H741" s="2" t="s">
        <v>48</v>
      </c>
      <c r="I741" s="2" t="str">
        <f>IFERROR(__xludf.DUMMYFUNCTION("GOOGLETRANSLATE(C741,""fr"",""en"")"),"Very very fast efficient good understanding clear understanding I am satisfied I will be able to ensure my second motorcycle if competitive price to see according to study of quote")</f>
        <v>Very very fast efficient good understanding clear understanding I am satisfied I will be able to ensure my second motorcycle if competitive price to see according to study of quote</v>
      </c>
    </row>
    <row r="742" ht="15.75" customHeight="1">
      <c r="A742" s="2">
        <v>4.0</v>
      </c>
      <c r="B742" s="2" t="s">
        <v>2107</v>
      </c>
      <c r="C742" s="2" t="s">
        <v>2108</v>
      </c>
      <c r="D742" s="2" t="s">
        <v>32</v>
      </c>
      <c r="E742" s="2" t="s">
        <v>21</v>
      </c>
      <c r="F742" s="2" t="s">
        <v>15</v>
      </c>
      <c r="G742" s="2" t="s">
        <v>1142</v>
      </c>
      <c r="H742" s="2" t="s">
        <v>52</v>
      </c>
      <c r="I742" s="2" t="str">
        <f>IFERROR(__xludf.DUMMYFUNCTION("GOOGLETRANSLATE(C742,""fr"",""en"")"),"Really good value for money, to see in the long term.
If I am satisfied, I will recommend it to someone.
Creation of the rapid and effective contract.")</f>
        <v>Really good value for money, to see in the long term.
If I am satisfied, I will recommend it to someone.
Creation of the rapid and effective contract.</v>
      </c>
    </row>
    <row r="743" ht="15.75" customHeight="1">
      <c r="A743" s="2">
        <v>5.0</v>
      </c>
      <c r="B743" s="2" t="s">
        <v>2109</v>
      </c>
      <c r="C743" s="2" t="s">
        <v>2110</v>
      </c>
      <c r="D743" s="2" t="s">
        <v>32</v>
      </c>
      <c r="E743" s="2" t="s">
        <v>21</v>
      </c>
      <c r="F743" s="2" t="s">
        <v>15</v>
      </c>
      <c r="G743" s="2" t="s">
        <v>1142</v>
      </c>
      <c r="H743" s="2" t="s">
        <v>52</v>
      </c>
      <c r="I743" s="2" t="str">
        <f>IFERROR(__xludf.DUMMYFUNCTION("GOOGLETRANSLATE(C743,""fr"",""en"")"),"Good service, good price.
Perfect operation of the website, pleasant and easy to use.
Telephone assistance is also competent and pleasant.")</f>
        <v>Good service, good price.
Perfect operation of the website, pleasant and easy to use.
Telephone assistance is also competent and pleasant.</v>
      </c>
    </row>
    <row r="744" ht="15.75" customHeight="1">
      <c r="A744" s="2">
        <v>5.0</v>
      </c>
      <c r="B744" s="2" t="s">
        <v>2111</v>
      </c>
      <c r="C744" s="2" t="s">
        <v>2112</v>
      </c>
      <c r="D744" s="2" t="s">
        <v>32</v>
      </c>
      <c r="E744" s="2" t="s">
        <v>21</v>
      </c>
      <c r="F744" s="2" t="s">
        <v>15</v>
      </c>
      <c r="G744" s="2" t="s">
        <v>601</v>
      </c>
      <c r="H744" s="2" t="s">
        <v>29</v>
      </c>
      <c r="I744" s="2" t="str">
        <f>IFERROR(__xludf.DUMMYFUNCTION("GOOGLETRANSLATE(C744,""fr"",""en"")"),"Satisfied with the service and the price paid. Listening and efficient customer service. I would advise direct insurance with my friends. Satisfied with the service")</f>
        <v>Satisfied with the service and the price paid. Listening and efficient customer service. I would advise direct insurance with my friends. Satisfied with the service</v>
      </c>
    </row>
    <row r="745" ht="15.75" customHeight="1">
      <c r="A745" s="2">
        <v>5.0</v>
      </c>
      <c r="B745" s="2" t="s">
        <v>2113</v>
      </c>
      <c r="C745" s="2" t="s">
        <v>2114</v>
      </c>
      <c r="D745" s="2" t="s">
        <v>1511</v>
      </c>
      <c r="E745" s="2" t="s">
        <v>60</v>
      </c>
      <c r="F745" s="2" t="s">
        <v>15</v>
      </c>
      <c r="G745" s="2" t="s">
        <v>2115</v>
      </c>
      <c r="H745" s="2" t="s">
        <v>561</v>
      </c>
      <c r="I745" s="2" t="str">
        <f>IFERROR(__xludf.DUMMYFUNCTION("GOOGLETRANSLATE(C745,""fr"",""en"")"),"I have been at Peyrac Insurance for 3 years, and I just had an accident. The care was simple and quick, I was clearly told the procedures. And above all the big plus is that after 3 years, there is no more deductible to pay at home. So frankly, there is n"&amp;"othing to complain about, I am very satisfied.")</f>
        <v>I have been at Peyrac Insurance for 3 years, and I just had an accident. The care was simple and quick, I was clearly told the procedures. And above all the big plus is that after 3 years, there is no more deductible to pay at home. So frankly, there is nothing to complain about, I am very satisfied.</v>
      </c>
    </row>
    <row r="746" ht="15.75" customHeight="1">
      <c r="A746" s="2">
        <v>4.0</v>
      </c>
      <c r="B746" s="2" t="s">
        <v>2116</v>
      </c>
      <c r="C746" s="2" t="s">
        <v>2117</v>
      </c>
      <c r="D746" s="2" t="s">
        <v>42</v>
      </c>
      <c r="E746" s="2" t="s">
        <v>21</v>
      </c>
      <c r="F746" s="2" t="s">
        <v>15</v>
      </c>
      <c r="G746" s="2" t="s">
        <v>2118</v>
      </c>
      <c r="H746" s="2" t="s">
        <v>100</v>
      </c>
      <c r="I746" s="2" t="str">
        <f>IFERROR(__xludf.DUMMYFUNCTION("GOOGLETRANSLATE(C746,""fr"",""en"")"),"Quick subscription and good support. Attractive price. Simplicity of exchange via the platform")</f>
        <v>Quick subscription and good support. Attractive price. Simplicity of exchange via the platform</v>
      </c>
    </row>
    <row r="747" ht="15.75" customHeight="1">
      <c r="A747" s="2">
        <v>3.0</v>
      </c>
      <c r="B747" s="2" t="s">
        <v>2119</v>
      </c>
      <c r="C747" s="2" t="s">
        <v>2120</v>
      </c>
      <c r="D747" s="2" t="s">
        <v>32</v>
      </c>
      <c r="E747" s="2" t="s">
        <v>21</v>
      </c>
      <c r="F747" s="2" t="s">
        <v>15</v>
      </c>
      <c r="G747" s="2" t="s">
        <v>534</v>
      </c>
      <c r="H747" s="2" t="s">
        <v>52</v>
      </c>
      <c r="I747" s="2" t="str">
        <f>IFERROR(__xludf.DUMMYFUNCTION("GOOGLETRANSLATE(C747,""fr"",""en"")"),"Complex and complicated to ensure a second or third driver. As soon as you get out of a classic request (opening or closing contract) everything becomes strangely expensive or impossible !!!!!!!!!!!!!!")</f>
        <v>Complex and complicated to ensure a second or third driver. As soon as you get out of a classic request (opening or closing contract) everything becomes strangely expensive or impossible !!!!!!!!!!!!!!</v>
      </c>
    </row>
    <row r="748" ht="15.75" customHeight="1">
      <c r="A748" s="2">
        <v>1.0</v>
      </c>
      <c r="B748" s="2" t="s">
        <v>2121</v>
      </c>
      <c r="C748" s="2" t="s">
        <v>2122</v>
      </c>
      <c r="D748" s="2" t="s">
        <v>169</v>
      </c>
      <c r="E748" s="2" t="s">
        <v>157</v>
      </c>
      <c r="F748" s="2" t="s">
        <v>15</v>
      </c>
      <c r="G748" s="2" t="s">
        <v>2123</v>
      </c>
      <c r="H748" s="2" t="s">
        <v>676</v>
      </c>
      <c r="I748" s="2" t="str">
        <f>IFERROR(__xludf.DUMMYFUNCTION("GOOGLETRANSLATE(C748,""fr"",""en"")"),"Dramatic since March 7 I am at the end with Reunica AG2R My file has been since February during processing. When I call me tell me we take note of your call but nothing is done")</f>
        <v>Dramatic since March 7 I am at the end with Reunica AG2R My file has been since February during processing. When I call me tell me we take note of your call but nothing is done</v>
      </c>
    </row>
    <row r="749" ht="15.75" customHeight="1">
      <c r="A749" s="2">
        <v>4.0</v>
      </c>
      <c r="B749" s="2" t="s">
        <v>2124</v>
      </c>
      <c r="C749" s="2" t="s">
        <v>2125</v>
      </c>
      <c r="D749" s="2" t="s">
        <v>98</v>
      </c>
      <c r="E749" s="2" t="s">
        <v>21</v>
      </c>
      <c r="F749" s="2" t="s">
        <v>15</v>
      </c>
      <c r="G749" s="2" t="s">
        <v>443</v>
      </c>
      <c r="H749" s="2" t="s">
        <v>39</v>
      </c>
      <c r="I749" s="2" t="str">
        <f>IFERROR(__xludf.DUMMYFUNCTION("GOOGLETRANSLATE(C749,""fr"",""en"")"),"Very good insurer who accompanied me perfectly during my self -loss. I was able to count on a quick refund and above all precious tips to know what to do! I highly recommend.")</f>
        <v>Very good insurer who accompanied me perfectly during my self -loss. I was able to count on a quick refund and above all precious tips to know what to do! I highly recommend.</v>
      </c>
    </row>
    <row r="750" ht="15.75" customHeight="1">
      <c r="A750" s="2">
        <v>5.0</v>
      </c>
      <c r="B750" s="2" t="s">
        <v>2126</v>
      </c>
      <c r="C750" s="2" t="s">
        <v>2127</v>
      </c>
      <c r="D750" s="2" t="s">
        <v>42</v>
      </c>
      <c r="E750" s="2" t="s">
        <v>21</v>
      </c>
      <c r="F750" s="2" t="s">
        <v>15</v>
      </c>
      <c r="G750" s="2" t="s">
        <v>150</v>
      </c>
      <c r="H750" s="2" t="s">
        <v>151</v>
      </c>
      <c r="I750" s="2" t="str">
        <f>IFERROR(__xludf.DUMMYFUNCTION("GOOGLETRANSLATE(C750,""fr"",""en"")"),"I am satisfied with the registration, I hope with all my heart that it is good insurance, in any case it is a reactive insurance, with a good price")</f>
        <v>I am satisfied with the registration, I hope with all my heart that it is good insurance, in any case it is a reactive insurance, with a good price</v>
      </c>
    </row>
    <row r="751" ht="15.75" customHeight="1">
      <c r="A751" s="2">
        <v>4.0</v>
      </c>
      <c r="B751" s="2" t="s">
        <v>2128</v>
      </c>
      <c r="C751" s="2" t="s">
        <v>2129</v>
      </c>
      <c r="D751" s="2" t="s">
        <v>42</v>
      </c>
      <c r="E751" s="2" t="s">
        <v>21</v>
      </c>
      <c r="F751" s="2" t="s">
        <v>15</v>
      </c>
      <c r="G751" s="2" t="s">
        <v>2130</v>
      </c>
      <c r="H751" s="2" t="s">
        <v>866</v>
      </c>
      <c r="I751" s="2" t="str">
        <f>IFERROR(__xludf.DUMMYFUNCTION("GOOGLETRANSLATE(C751,""fr"",""en"")"),"the speed and professionalism of my correspondents")</f>
        <v>the speed and professionalism of my correspondents</v>
      </c>
    </row>
    <row r="752" ht="15.75" customHeight="1">
      <c r="A752" s="2">
        <v>2.0</v>
      </c>
      <c r="B752" s="2" t="s">
        <v>2131</v>
      </c>
      <c r="C752" s="2" t="s">
        <v>2132</v>
      </c>
      <c r="D752" s="2" t="s">
        <v>20</v>
      </c>
      <c r="E752" s="2" t="s">
        <v>21</v>
      </c>
      <c r="F752" s="2" t="s">
        <v>15</v>
      </c>
      <c r="G752" s="2" t="s">
        <v>2133</v>
      </c>
      <c r="H752" s="2" t="s">
        <v>17</v>
      </c>
      <c r="I752" s="2" t="str">
        <f>IFERROR(__xludf.DUMMYFUNCTION("GOOGLETRANSLATE(C752,""fr"",""en"")"),"Insured since 1960, I leave Maif, very unhappy for the first time. Admittedly, this Clio AY134GL, insured at Maif from the start, is old (2004); The engine was changed 2 years ago (used engine but very healthy so far), the interior in very good condition "&amp;"(no wear) and it works perfectly. The problem is the body: it has just undergone a frontal shock (sudden braking of the car preceding, luckily at reduced speed but on a fat table), which damaged the front bumper, the grille and the hood (to change all thr"&amp;"ee). No internal damage. The expert offers me a takeover for € 800, which is scandalous, when we know that after repair, this Clio will be sold at least € 4000-5000 if we believe the Argus and other opportunities for the occasions. I pay regularly by mont"&amp;"hly payments since 1960, having undergone the successive increases of the insurer, which would justify a care for the repair of my vehicle and not for its transfer at low prices, even if there were obviously some repairs Supported by MAIF on the various v"&amp;"ehicles that I have provided there for 60 years. The cost of repairs would be, it seems, greater than the market value of this Clio, which is perhaps the case if we stick to its value before repair, but precisely, insurance is She not made to take charge "&amp;"of said repairs, which restores her a much higher value (see above)?")</f>
        <v>Insured since 1960, I leave Maif, very unhappy for the first time. Admittedly, this Clio AY134GL, insured at Maif from the start, is old (2004); The engine was changed 2 years ago (used engine but very healthy so far), the interior in very good condition (no wear) and it works perfectly. The problem is the body: it has just undergone a frontal shock (sudden braking of the car preceding, luckily at reduced speed but on a fat table), which damaged the front bumper, the grille and the hood (to change all three). No internal damage. The expert offers me a takeover for € 800, which is scandalous, when we know that after repair, this Clio will be sold at least € 4000-5000 if we believe the Argus and other opportunities for the occasions. I pay regularly by monthly payments since 1960, having undergone the successive increases of the insurer, which would justify a care for the repair of my vehicle and not for its transfer at low prices, even if there were obviously some repairs Supported by MAIF on the various vehicles that I have provided there for 60 years. The cost of repairs would be, it seems, greater than the market value of this Clio, which is perhaps the case if we stick to its value before repair, but precisely, insurance is She not made to take charge of said repairs, which restores her a much higher value (see above)?</v>
      </c>
    </row>
    <row r="753" ht="15.75" customHeight="1">
      <c r="A753" s="2">
        <v>4.0</v>
      </c>
      <c r="B753" s="2" t="s">
        <v>2134</v>
      </c>
      <c r="C753" s="2" t="s">
        <v>2135</v>
      </c>
      <c r="D753" s="2" t="s">
        <v>65</v>
      </c>
      <c r="E753" s="2" t="s">
        <v>60</v>
      </c>
      <c r="F753" s="2" t="s">
        <v>15</v>
      </c>
      <c r="G753" s="2" t="s">
        <v>2136</v>
      </c>
      <c r="H753" s="2" t="s">
        <v>52</v>
      </c>
      <c r="I753" s="2" t="str">
        <f>IFERROR(__xludf.DUMMYFUNCTION("GOOGLETRANSLATE(C753,""fr"",""en"")"),"I am satisfied with the service. The prices are affordable although raised when we are students. The site's ergonomics are good and a lot of choices are available to us.")</f>
        <v>I am satisfied with the service. The prices are affordable although raised when we are students. The site's ergonomics are good and a lot of choices are available to us.</v>
      </c>
    </row>
    <row r="754" ht="15.75" customHeight="1">
      <c r="A754" s="2">
        <v>1.0</v>
      </c>
      <c r="B754" s="2" t="s">
        <v>2137</v>
      </c>
      <c r="C754" s="2" t="s">
        <v>2138</v>
      </c>
      <c r="D754" s="2" t="s">
        <v>59</v>
      </c>
      <c r="E754" s="2" t="s">
        <v>2139</v>
      </c>
      <c r="F754" s="2" t="s">
        <v>15</v>
      </c>
      <c r="G754" s="2" t="s">
        <v>2140</v>
      </c>
      <c r="H754" s="2" t="s">
        <v>92</v>
      </c>
      <c r="I754" s="2" t="str">
        <f>IFERROR(__xludf.DUMMYFUNCTION("GOOGLETRANSLATE(C754,""fr"",""en"")"),"I am the manager of a company in vendee and I have subscribed for this to the creation of the company in 2014 2 contracts with the AXA Tours agency: a professional multi-risk and vehicle insurance for which automatic direct debits corresponding to the pre"&amp;"miums contractual was in place.
At the end of the 2019 accounting financial year, my chartered accountant alerted me to the fact that there had been this year a very strong and abnormal increase in the insurer's samples from existing contracts and that w"&amp;"e Aircraft 2 samples in more than 2 x 354.77 € which did not exist in other years explaining this gap and attached to any contract in our possession.
We therefore asked for explanations from the agency to know the reason for this gap and these 2 samples."&amp;"
After multiple reminders they ended up replying to us that this was normal and corresponded to RCE insurance and that these samples also existed previously ... We then confirmed to them that we only had the 2 professional contracts mentioned above with "&amp;"They and that we had never validated and signed a new RCE contract for 2019, while producing a copy of our accounting and banking documents from balance sheets and attached to the insurance post from 2014 until 1/10/2019. (date on which the contracts stop"&amp;"ped with AXA).
These documents perfectly show the absence of equivalent over the other years. They then replied that this contract existed for them and that they did not know how to find in their base the history of payments since 2014, that they had to "&amp;"make a request to the seat but that it would take time .. . Our company is a TPE but we know how to check with a simple basic accounting software or a simple internet connection to the banking site in a few seconds this kind of operations, so this is not "&amp;"the case with AXA ...
With regard to the very bad will of the agency to solve the problem, I asked them to provide us with proof of the existence of this contract, namely a double of the contract validated and signed by us that we had Not and behind whic"&amp;"h they would take refuge. It also takes a few seconds and would have immediately closed the file if it had been in their possession. They were able to send us the other contracts but not this one ...
After multiple mail reminders to provide us with a cop"&amp;"y of this signed contract justifying these samples and almost 2 months later to date, we have still received absolutely nothing and no news from them. We sent them 2 weeks ago now a recommended formal notice (intended for the agency and the headquarters o"&amp;"f AXA France) to provide us with this contract or to reimburse us the sums induced, also remained without any response. Faced with this bad faith and obvious will of Axa not to solve the problem as well as with regard to their inability to provide us with"&amp;" the necessary supporting documents, we had to start a legal assignment in order to be able to recover these sums induced by using a false contract.
For the anecdote, which confirms the state of mind of this insurer, we had in the multi -risk RCPro contr"&amp;"act a clause indicating that if the CA indicated in reference was lower than that indicated in the contract that should be revised downwards and Refunded in proportion to a certain incompressible amount. This was the case because the amount of the real CA"&amp;" was 2 times less than that indicated in the contract since the departure on each of the years. We had not necessarily noted this clause but we realized when in 2019 Axa asked us for the 1st time since 2014 to communicate our CA what we did at their reque"&amp;"st. We therefore asked them to carry out a restitution of the perceived premium which should have been revised downwards in accordance with the contract but this request also remained unanswered ...
I could continue by quoting you a home insurance proble"&amp;"m where this insurer did not comply with its contract without any justification, this is only that with them. Know that their position is always identical when they cannot justify what they do, total silence more return in order to make the situation drag"&amp;" and rot.
Flee this insurer quickly.
")</f>
        <v>I am the manager of a company in vendee and I have subscribed for this to the creation of the company in 2014 2 contracts with the AXA Tours agency: a professional multi-risk and vehicle insurance for which automatic direct debits corresponding to the premiums contractual was in place.
At the end of the 2019 accounting financial year, my chartered accountant alerted me to the fact that there had been this year a very strong and abnormal increase in the insurer's samples from existing contracts and that we Aircraft 2 samples in more than 2 x 354.77 € which did not exist in other years explaining this gap and attached to any contract in our possession.
We therefore asked for explanations from the agency to know the reason for this gap and these 2 samples.
After multiple reminders they ended up replying to us that this was normal and corresponded to RCE insurance and that these samples also existed previously ... We then confirmed to them that we only had the 2 professional contracts mentioned above with They and that we had never validated and signed a new RCE contract for 2019, while producing a copy of our accounting and banking documents from balance sheets and attached to the insurance post from 2014 until 1/10/2019. (date on which the contracts stopped with AXA).
These documents perfectly show the absence of equivalent over the other years. They then replied that this contract existed for them and that they did not know how to find in their base the history of payments since 2014, that they had to make a request to the seat but that it would take time .. . Our company is a TPE but we know how to check with a simple basic accounting software or a simple internet connection to the banking site in a few seconds this kind of operations, so this is not the case with AXA ...
With regard to the very bad will of the agency to solve the problem, I asked them to provide us with proof of the existence of this contract, namely a double of the contract validated and signed by us that we had Not and behind which they would take refuge. It also takes a few seconds and would have immediately closed the file if it had been in their possession. They were able to send us the other contracts but not this one ...
After multiple mail reminders to provide us with a copy of this signed contract justifying these samples and almost 2 months later to date, we have still received absolutely nothing and no news from them. We sent them 2 weeks ago now a recommended formal notice (intended for the agency and the headquarters of AXA France) to provide us with this contract or to reimburse us the sums induced, also remained without any response. Faced with this bad faith and obvious will of Axa not to solve the problem as well as with regard to their inability to provide us with the necessary supporting documents, we had to start a legal assignment in order to be able to recover these sums induced by using a false contract.
For the anecdote, which confirms the state of mind of this insurer, we had in the multi -risk RCPro contract a clause indicating that if the CA indicated in reference was lower than that indicated in the contract that should be revised downwards and Refunded in proportion to a certain incompressible amount. This was the case because the amount of the real CA was 2 times less than that indicated in the contract since the departure on each of the years. We had not necessarily noted this clause but we realized when in 2019 Axa asked us for the 1st time since 2014 to communicate our CA what we did at their request. We therefore asked them to carry out a restitution of the perceived premium which should have been revised downwards in accordance with the contract but this request also remained unanswered ...
I could continue by quoting you a home insurance problem where this insurer did not comply with its contract without any justification, this is only that with them. Know that their position is always identical when they cannot justify what they do, total silence more return in order to make the situation drag and rot.
Flee this insurer quickly.
</v>
      </c>
    </row>
    <row r="755" ht="15.75" customHeight="1">
      <c r="A755" s="2">
        <v>5.0</v>
      </c>
      <c r="B755" s="2" t="s">
        <v>2141</v>
      </c>
      <c r="C755" s="2" t="s">
        <v>2142</v>
      </c>
      <c r="D755" s="2" t="s">
        <v>32</v>
      </c>
      <c r="E755" s="2" t="s">
        <v>21</v>
      </c>
      <c r="F755" s="2" t="s">
        <v>15</v>
      </c>
      <c r="G755" s="2" t="s">
        <v>343</v>
      </c>
      <c r="H755" s="2" t="s">
        <v>29</v>
      </c>
      <c r="I755" s="2" t="str">
        <f>IFERROR(__xludf.DUMMYFUNCTION("GOOGLETRANSLATE(C755,""fr"",""en"")"),"Good thank you very much for your advice and speed I am satisfied it was simple and easy and efficient my aunt advised me to go to your direct thank you")</f>
        <v>Good thank you very much for your advice and speed I am satisfied it was simple and easy and efficient my aunt advised me to go to your direct thank you</v>
      </c>
    </row>
    <row r="756" ht="15.75" customHeight="1">
      <c r="A756" s="2">
        <v>2.0</v>
      </c>
      <c r="B756" s="2" t="s">
        <v>2143</v>
      </c>
      <c r="C756" s="2" t="s">
        <v>2144</v>
      </c>
      <c r="D756" s="2" t="s">
        <v>219</v>
      </c>
      <c r="E756" s="2" t="s">
        <v>220</v>
      </c>
      <c r="F756" s="2" t="s">
        <v>15</v>
      </c>
      <c r="G756" s="2" t="s">
        <v>2145</v>
      </c>
      <c r="H756" s="2" t="s">
        <v>432</v>
      </c>
      <c r="I756" s="2" t="str">
        <f>IFERROR(__xludf.DUMMYFUNCTION("GOOGLETRANSLATE(C756,""fr"",""en"")"),"I wanted to make a partial buyout of 5000 euros, it's been 15 days since I wait. I called the seat, is the answer is, you have to wait at least 15 J at 20 days, weird to not be able to have your money faster with the current means.")</f>
        <v>I wanted to make a partial buyout of 5000 euros, it's been 15 days since I wait. I called the seat, is the answer is, you have to wait at least 15 J at 20 days, weird to not be able to have your money faster with the current means.</v>
      </c>
    </row>
    <row r="757" ht="15.75" customHeight="1">
      <c r="A757" s="2">
        <v>3.0</v>
      </c>
      <c r="B757" s="2" t="s">
        <v>2146</v>
      </c>
      <c r="C757" s="2" t="s">
        <v>2147</v>
      </c>
      <c r="D757" s="2" t="s">
        <v>650</v>
      </c>
      <c r="E757" s="2" t="s">
        <v>33</v>
      </c>
      <c r="F757" s="2" t="s">
        <v>15</v>
      </c>
      <c r="G757" s="2" t="s">
        <v>2148</v>
      </c>
      <c r="H757" s="2" t="s">
        <v>126</v>
      </c>
      <c r="I757" s="2" t="str">
        <f>IFERROR(__xludf.DUMMYFUNCTION("GOOGLETRANSLATE(C757,""fr"",""en"")"),"After having declared a claim on my secondary home and after consultation and compensation proposal accepted by the Texa expert mandated by Sogessur, I am unpleasantly surprised to receive an email announcing the retraction of the insurance. I do not unde"&amp;"rstand .. what is the point of mandating an expert who confirms that your comfort option covers this damage ... it sends you an email from
Confirmation for the care of the claim to the reception of the quote of the ENTERPOREUR. I ask myself the following"&amp;" question .. why Sogessur mandates an expert and does not take into account the decision of the expert ??? Is there not a contradiction and not respect for legality? I am therefore decided to update this incoherence. Hopefully the litigation service is mo"&amp;"re efficient.")</f>
        <v>After having declared a claim on my secondary home and after consultation and compensation proposal accepted by the Texa expert mandated by Sogessur, I am unpleasantly surprised to receive an email announcing the retraction of the insurance. I do not understand .. what is the point of mandating an expert who confirms that your comfort option covers this damage ... it sends you an email from
Confirmation for the care of the claim to the reception of the quote of the ENTERPOREUR. I ask myself the following question .. why Sogessur mandates an expert and does not take into account the decision of the expert ??? Is there not a contradiction and not respect for legality? I am therefore decided to update this incoherence. Hopefully the litigation service is more efficient.</v>
      </c>
    </row>
    <row r="758" ht="15.75" customHeight="1">
      <c r="A758" s="2">
        <v>5.0</v>
      </c>
      <c r="B758" s="2" t="s">
        <v>2149</v>
      </c>
      <c r="C758" s="2" t="s">
        <v>2150</v>
      </c>
      <c r="D758" s="2" t="s">
        <v>65</v>
      </c>
      <c r="E758" s="2" t="s">
        <v>60</v>
      </c>
      <c r="F758" s="2" t="s">
        <v>15</v>
      </c>
      <c r="G758" s="2" t="s">
        <v>470</v>
      </c>
      <c r="H758" s="2" t="s">
        <v>56</v>
      </c>
      <c r="I758" s="2" t="str">
        <f>IFERROR(__xludf.DUMMYFUNCTION("GOOGLETRANSLATE(C758,""fr"",""en"")"),"Thank you the ferrets. Com for proposing this motorcycle insurance site to me, I will save a large savings nearly two hundred and fifty euros.")</f>
        <v>Thank you the ferrets. Com for proposing this motorcycle insurance site to me, I will save a large savings nearly two hundred and fifty euros.</v>
      </c>
    </row>
    <row r="759" ht="15.75" customHeight="1">
      <c r="A759" s="2">
        <v>1.0</v>
      </c>
      <c r="B759" s="2" t="s">
        <v>2151</v>
      </c>
      <c r="C759" s="2" t="s">
        <v>2152</v>
      </c>
      <c r="D759" s="2" t="s">
        <v>303</v>
      </c>
      <c r="E759" s="2" t="s">
        <v>21</v>
      </c>
      <c r="F759" s="2" t="s">
        <v>15</v>
      </c>
      <c r="G759" s="2" t="s">
        <v>2153</v>
      </c>
      <c r="H759" s="2" t="s">
        <v>48</v>
      </c>
      <c r="I759" s="2" t="str">
        <f>IFERROR(__xludf.DUMMYFUNCTION("GOOGLETRANSLATE(C759,""fr"",""en"")"),"To flee ? Guarantees and obligations not respected, double competition prices, take the time to find false apology so as not to take care of claims. Company to avoid priority before all others.?")</f>
        <v>To flee ? Guarantees and obligations not respected, double competition prices, take the time to find false apology so as not to take care of claims. Company to avoid priority before all others.?</v>
      </c>
    </row>
    <row r="760" ht="15.75" customHeight="1">
      <c r="A760" s="2">
        <v>5.0</v>
      </c>
      <c r="B760" s="2" t="s">
        <v>2154</v>
      </c>
      <c r="C760" s="2" t="s">
        <v>2155</v>
      </c>
      <c r="D760" s="2" t="s">
        <v>42</v>
      </c>
      <c r="E760" s="2" t="s">
        <v>21</v>
      </c>
      <c r="F760" s="2" t="s">
        <v>15</v>
      </c>
      <c r="G760" s="2" t="s">
        <v>38</v>
      </c>
      <c r="H760" s="2" t="s">
        <v>39</v>
      </c>
      <c r="I760" s="2" t="str">
        <f>IFERROR(__xludf.DUMMYFUNCTION("GOOGLETRANSLATE(C760,""fr"",""en"")"),"Really correct price, very serious phone advisor, simple instructions, I will recommend this insurance, very happy driver without worries")</f>
        <v>Really correct price, very serious phone advisor, simple instructions, I will recommend this insurance, very happy driver without worries</v>
      </c>
    </row>
    <row r="761" ht="15.75" customHeight="1">
      <c r="A761" s="2">
        <v>5.0</v>
      </c>
      <c r="B761" s="2" t="s">
        <v>2156</v>
      </c>
      <c r="C761" s="2" t="s">
        <v>2157</v>
      </c>
      <c r="D761" s="2" t="s">
        <v>81</v>
      </c>
      <c r="E761" s="2" t="s">
        <v>82</v>
      </c>
      <c r="F761" s="2" t="s">
        <v>15</v>
      </c>
      <c r="G761" s="2" t="s">
        <v>2158</v>
      </c>
      <c r="H761" s="2" t="s">
        <v>330</v>
      </c>
      <c r="I761" s="2" t="str">
        <f>IFERROR(__xludf.DUMMYFUNCTION("GOOGLETRANSLATE(C761,""fr"",""en"")"),"I have been a client at Santiane for 6 years and I have always had a very pleasant service. They are attentive and very friendly on the phone. Sabrina is very friendly with me despite my misunderstanding.")</f>
        <v>I have been a client at Santiane for 6 years and I have always had a very pleasant service. They are attentive and very friendly on the phone. Sabrina is very friendly with me despite my misunderstanding.</v>
      </c>
    </row>
    <row r="762" ht="15.75" customHeight="1">
      <c r="A762" s="2">
        <v>4.0</v>
      </c>
      <c r="B762" s="2" t="s">
        <v>2159</v>
      </c>
      <c r="C762" s="2" t="s">
        <v>2160</v>
      </c>
      <c r="D762" s="2" t="s">
        <v>196</v>
      </c>
      <c r="E762" s="2" t="s">
        <v>82</v>
      </c>
      <c r="F762" s="2" t="s">
        <v>15</v>
      </c>
      <c r="G762" s="2" t="s">
        <v>2161</v>
      </c>
      <c r="H762" s="2" t="s">
        <v>126</v>
      </c>
      <c r="I762" s="2" t="str">
        <f>IFERROR(__xludf.DUMMYFUNCTION("GOOGLETRANSLATE(C762,""fr"",""en"")"),"Overall quite happy, I have never encountered problems with this mutual. I don't know if I would have the same service elsewhere")</f>
        <v>Overall quite happy, I have never encountered problems with this mutual. I don't know if I would have the same service elsewhere</v>
      </c>
    </row>
    <row r="763" ht="15.75" customHeight="1">
      <c r="A763" s="2">
        <v>1.0</v>
      </c>
      <c r="B763" s="2" t="s">
        <v>2162</v>
      </c>
      <c r="C763" s="2" t="s">
        <v>2163</v>
      </c>
      <c r="D763" s="2" t="s">
        <v>32</v>
      </c>
      <c r="E763" s="2" t="s">
        <v>21</v>
      </c>
      <c r="F763" s="2" t="s">
        <v>15</v>
      </c>
      <c r="G763" s="2" t="s">
        <v>2164</v>
      </c>
      <c r="H763" s="2" t="s">
        <v>453</v>
      </c>
      <c r="I763" s="2" t="str">
        <f>IFERROR(__xludf.DUMMYFUNCTION("GOOGLETRANSLATE(C763,""fr"",""en"")"),"14% increase in prices in 1 year and no possibility of negotiating the contract, while all contracts in France must be negotiable ... It is lamentable and I leave this insurer who takes the customer for a pigeon after the first year .....")</f>
        <v>14% increase in prices in 1 year and no possibility of negotiating the contract, while all contracts in France must be negotiable ... It is lamentable and I leave this insurer who takes the customer for a pigeon after the first year .....</v>
      </c>
    </row>
    <row r="764" ht="15.75" customHeight="1">
      <c r="A764" s="2">
        <v>3.0</v>
      </c>
      <c r="B764" s="2" t="s">
        <v>2165</v>
      </c>
      <c r="C764" s="2" t="s">
        <v>2166</v>
      </c>
      <c r="D764" s="2" t="s">
        <v>425</v>
      </c>
      <c r="E764" s="2" t="s">
        <v>27</v>
      </c>
      <c r="F764" s="2" t="s">
        <v>15</v>
      </c>
      <c r="G764" s="2" t="s">
        <v>2158</v>
      </c>
      <c r="H764" s="2" t="s">
        <v>330</v>
      </c>
      <c r="I764" s="2" t="str">
        <f>IFERROR(__xludf.DUMMYFUNCTION("GOOGLETRANSLATE(C764,""fr"",""en"")"),"I have been in invalidity 2 CPAM since 2017, renewed this year in April 2019. My pathology Ald was declared in 2014. The principle of L. assurance is to cover a risk .... Today, Cardif estimates my disability at 20pc , and find me able to exercise another"&amp;" profession .... therefore no compensation. All the blows they will win! Why examine our debt to the subscription if during a disaster we are sent to accept a half time! Flee them. J.AI RDV tomorrow and I open a file with a specialized lawyer, because it "&amp;"is common practical to consolidate a pathology on their criteria and not reimburse the capital. I am, I was advisor to heritage, this BNP insurance was compulsory, if I had known ....")</f>
        <v>I have been in invalidity 2 CPAM since 2017, renewed this year in April 2019. My pathology Ald was declared in 2014. The principle of L. assurance is to cover a risk .... Today, Cardif estimates my disability at 20pc , and find me able to exercise another profession .... therefore no compensation. All the blows they will win! Why examine our debt to the subscription if during a disaster we are sent to accept a half time! Flee them. J.AI RDV tomorrow and I open a file with a specialized lawyer, because it is common practical to consolidate a pathology on their criteria and not reimburse the capital. I am, I was advisor to heritage, this BNP insurance was compulsory, if I had known ....</v>
      </c>
    </row>
    <row r="765" ht="15.75" customHeight="1">
      <c r="A765" s="2">
        <v>5.0</v>
      </c>
      <c r="B765" s="2" t="s">
        <v>2167</v>
      </c>
      <c r="C765" s="2" t="s">
        <v>2168</v>
      </c>
      <c r="D765" s="2" t="s">
        <v>32</v>
      </c>
      <c r="E765" s="2" t="s">
        <v>21</v>
      </c>
      <c r="F765" s="2" t="s">
        <v>15</v>
      </c>
      <c r="G765" s="2" t="s">
        <v>510</v>
      </c>
      <c r="H765" s="2" t="s">
        <v>29</v>
      </c>
      <c r="I765" s="2" t="str">
        <f>IFERROR(__xludf.DUMMYFUNCTION("GOOGLETRANSLATE(C765,""fr"",""en"")"),"I am satisfied with the very affordable price service I highly recommend perfect for young drivers as well as often the other insurance do not want")</f>
        <v>I am satisfied with the very affordable price service I highly recommend perfect for young drivers as well as often the other insurance do not want</v>
      </c>
    </row>
    <row r="766" ht="15.75" customHeight="1">
      <c r="A766" s="2">
        <v>4.0</v>
      </c>
      <c r="B766" s="2" t="s">
        <v>2169</v>
      </c>
      <c r="C766" s="2" t="s">
        <v>2170</v>
      </c>
      <c r="D766" s="2" t="s">
        <v>65</v>
      </c>
      <c r="E766" s="2" t="s">
        <v>60</v>
      </c>
      <c r="F766" s="2" t="s">
        <v>15</v>
      </c>
      <c r="G766" s="2" t="s">
        <v>2171</v>
      </c>
      <c r="H766" s="2" t="s">
        <v>48</v>
      </c>
      <c r="I766" s="2" t="str">
        <f>IFERROR(__xludf.DUMMYFUNCTION("GOOGLETRANSLATE(C766,""fr"",""en"")"),"Ease of subscription of the contract
Interesting prices
Clear and precise website
speed for entering the requested elements
Beginner driver acceptance
")</f>
        <v>Ease of subscription of the contract
Interesting prices
Clear and precise website
speed for entering the requested elements
Beginner driver acceptance
</v>
      </c>
    </row>
    <row r="767" ht="15.75" customHeight="1">
      <c r="A767" s="2">
        <v>4.0</v>
      </c>
      <c r="B767" s="2" t="s">
        <v>2172</v>
      </c>
      <c r="C767" s="2" t="s">
        <v>2173</v>
      </c>
      <c r="D767" s="2" t="s">
        <v>42</v>
      </c>
      <c r="E767" s="2" t="s">
        <v>21</v>
      </c>
      <c r="F767" s="2" t="s">
        <v>15</v>
      </c>
      <c r="G767" s="2" t="s">
        <v>914</v>
      </c>
      <c r="H767" s="2" t="s">
        <v>104</v>
      </c>
      <c r="I767" s="2" t="str">
        <f>IFERROR(__xludf.DUMMYFUNCTION("GOOGLETRANSLATE(C767,""fr"",""en"")"),"Satisfied with the service (simplified and efficient information)
Good advantages, listening to the insured, with affordable prices.
I recommend the olive assurance strongly")</f>
        <v>Satisfied with the service (simplified and efficient information)
Good advantages, listening to the insured, with affordable prices.
I recommend the olive assurance strongly</v>
      </c>
    </row>
    <row r="768" ht="15.75" customHeight="1">
      <c r="A768" s="2">
        <v>2.0</v>
      </c>
      <c r="B768" s="2" t="s">
        <v>2174</v>
      </c>
      <c r="C768" s="2" t="s">
        <v>2175</v>
      </c>
      <c r="D768" s="2" t="s">
        <v>32</v>
      </c>
      <c r="E768" s="2" t="s">
        <v>21</v>
      </c>
      <c r="F768" s="2" t="s">
        <v>15</v>
      </c>
      <c r="G768" s="2" t="s">
        <v>843</v>
      </c>
      <c r="H768" s="2" t="s">
        <v>104</v>
      </c>
      <c r="I768" s="2" t="str">
        <f>IFERROR(__xludf.DUMMYFUNCTION("GOOGLETRANSLATE(C768,""fr"",""en"")"),"Price + ... Next vehicle to check and difference from one year to others for the same model! ! often complicated relationships and not always clear contract")</f>
        <v>Price + ... Next vehicle to check and difference from one year to others for the same model! ! often complicated relationships and not always clear contract</v>
      </c>
    </row>
    <row r="769" ht="15.75" customHeight="1">
      <c r="A769" s="2">
        <v>3.0</v>
      </c>
      <c r="B769" s="2" t="s">
        <v>2176</v>
      </c>
      <c r="C769" s="2" t="s">
        <v>2177</v>
      </c>
      <c r="D769" s="2" t="s">
        <v>129</v>
      </c>
      <c r="E769" s="2" t="s">
        <v>21</v>
      </c>
      <c r="F769" s="2" t="s">
        <v>15</v>
      </c>
      <c r="G769" s="2" t="s">
        <v>271</v>
      </c>
      <c r="H769" s="2" t="s">
        <v>56</v>
      </c>
      <c r="I769" s="2" t="str">
        <f>IFERROR(__xludf.DUMMYFUNCTION("GOOGLETRANSLATE(C769,""fr"",""en"")"),"Nothing is done at the price level for customers who have a lot of contracts like us !!!. We have 4 vehicle, home, family, leisure contracts.
A small commercial gesture would be there well. :)
")</f>
        <v>Nothing is done at the price level for customers who have a lot of contracts like us !!!. We have 4 vehicle, home, family, leisure contracts.
A small commercial gesture would be there well. :)
</v>
      </c>
    </row>
    <row r="770" ht="15.75" customHeight="1">
      <c r="A770" s="2">
        <v>1.0</v>
      </c>
      <c r="B770" s="2" t="s">
        <v>2178</v>
      </c>
      <c r="C770" s="2" t="s">
        <v>2179</v>
      </c>
      <c r="D770" s="2" t="s">
        <v>425</v>
      </c>
      <c r="E770" s="2" t="s">
        <v>220</v>
      </c>
      <c r="F770" s="2" t="s">
        <v>15</v>
      </c>
      <c r="G770" s="2" t="s">
        <v>1309</v>
      </c>
      <c r="H770" s="2" t="s">
        <v>104</v>
      </c>
      <c r="I770" s="2" t="str">
        <f>IFERROR(__xludf.DUMMYFUNCTION("GOOGLETRANSLATE(C770,""fr"",""en"")"),"Flee before it is too late. Do not sign a life insurance contract with BNP Paribas. Incompetence, lies, non -compliance with the customer ...
Do you want to make a partial takeover? You start the obstacle course. Your wishes are not taken into account. T"&amp;"o flee.
A star is too much.")</f>
        <v>Flee before it is too late. Do not sign a life insurance contract with BNP Paribas. Incompetence, lies, non -compliance with the customer ...
Do you want to make a partial takeover? You start the obstacle course. Your wishes are not taken into account. To flee.
A star is too much.</v>
      </c>
    </row>
    <row r="771" ht="15.75" customHeight="1">
      <c r="A771" s="2">
        <v>3.0</v>
      </c>
      <c r="B771" s="2" t="s">
        <v>2180</v>
      </c>
      <c r="C771" s="2" t="s">
        <v>2181</v>
      </c>
      <c r="D771" s="2" t="s">
        <v>32</v>
      </c>
      <c r="E771" s="2" t="s">
        <v>21</v>
      </c>
      <c r="F771" s="2" t="s">
        <v>15</v>
      </c>
      <c r="G771" s="2" t="s">
        <v>2182</v>
      </c>
      <c r="H771" s="2" t="s">
        <v>29</v>
      </c>
      <c r="I771" s="2" t="str">
        <f>IFERROR(__xludf.DUMMYFUNCTION("GOOGLETRANSLATE(C771,""fr"",""en"")"),"I just registered online and it is simple and practical.
The proposal price is acceptable compared to other insurance.
I recommand it.")</f>
        <v>I just registered online and it is simple and practical.
The proposal price is acceptable compared to other insurance.
I recommand it.</v>
      </c>
    </row>
    <row r="772" ht="15.75" customHeight="1">
      <c r="A772" s="2">
        <v>4.0</v>
      </c>
      <c r="B772" s="2" t="s">
        <v>2183</v>
      </c>
      <c r="C772" s="2" t="s">
        <v>2184</v>
      </c>
      <c r="D772" s="2" t="s">
        <v>42</v>
      </c>
      <c r="E772" s="2" t="s">
        <v>21</v>
      </c>
      <c r="F772" s="2" t="s">
        <v>15</v>
      </c>
      <c r="G772" s="2" t="s">
        <v>132</v>
      </c>
      <c r="H772" s="2" t="s">
        <v>104</v>
      </c>
      <c r="I772" s="2" t="str">
        <f>IFERROR(__xludf.DUMMYFUNCTION("GOOGLETRANSLATE(C772,""fr"",""en"")"),"Excellent value for money. Whether for an accident or home breakdown service fast and efficient service. Listening advisor and advises us perfectly")</f>
        <v>Excellent value for money. Whether for an accident or home breakdown service fast and efficient service. Listening advisor and advises us perfectly</v>
      </c>
    </row>
    <row r="773" ht="15.75" customHeight="1">
      <c r="A773" s="2">
        <v>4.0</v>
      </c>
      <c r="B773" s="2" t="s">
        <v>2185</v>
      </c>
      <c r="C773" s="2" t="s">
        <v>2186</v>
      </c>
      <c r="D773" s="2" t="s">
        <v>42</v>
      </c>
      <c r="E773" s="2" t="s">
        <v>21</v>
      </c>
      <c r="F773" s="2" t="s">
        <v>15</v>
      </c>
      <c r="G773" s="2" t="s">
        <v>343</v>
      </c>
      <c r="H773" s="2" t="s">
        <v>29</v>
      </c>
      <c r="I773" s="2" t="str">
        <f>IFERROR(__xludf.DUMMYFUNCTION("GOOGLETRANSLATE(C773,""fr"",""en"")"),"The prices suit me perfectly!
The speed with regard to the processing of documents is impressive, in 15 minutes I was insuring and the following week I had received the provisional green card.")</f>
        <v>The prices suit me perfectly!
The speed with regard to the processing of documents is impressive, in 15 minutes I was insuring and the following week I had received the provisional green card.</v>
      </c>
    </row>
    <row r="774" ht="15.75" customHeight="1">
      <c r="A774" s="2">
        <v>1.0</v>
      </c>
      <c r="B774" s="2" t="s">
        <v>2187</v>
      </c>
      <c r="C774" s="2" t="s">
        <v>2188</v>
      </c>
      <c r="D774" s="2" t="s">
        <v>303</v>
      </c>
      <c r="E774" s="2" t="s">
        <v>21</v>
      </c>
      <c r="F774" s="2" t="s">
        <v>15</v>
      </c>
      <c r="G774" s="2" t="s">
        <v>872</v>
      </c>
      <c r="H774" s="2" t="s">
        <v>104</v>
      </c>
      <c r="I774" s="2" t="str">
        <f>IFERROR(__xludf.DUMMYFUNCTION("GOOGLETRANSLATE(C774,""fr"",""en"")"),"For 29 years I have been insured at the Macif with a maximum bonus. Unfortunately in recent years I had several small responsible incidents with little damage. First of all, the Macif abolished me the tourist and put in thirds and finally ended my guarant"&amp;"ees on March 31. Despite my 5 emails addressed to this insurance, to date on March 12 I have still not had an answer. I add that I also have my home contract and life insurance with them.
I strongly recommend the Macif!")</f>
        <v>For 29 years I have been insured at the Macif with a maximum bonus. Unfortunately in recent years I had several small responsible incidents with little damage. First of all, the Macif abolished me the tourist and put in thirds and finally ended my guarantees on March 31. Despite my 5 emails addressed to this insurance, to date on March 12 I have still not had an answer. I add that I also have my home contract and life insurance with them.
I strongly recommend the Macif!</v>
      </c>
    </row>
    <row r="775" ht="15.75" customHeight="1">
      <c r="A775" s="2">
        <v>4.0</v>
      </c>
      <c r="B775" s="2" t="s">
        <v>2189</v>
      </c>
      <c r="C775" s="2" t="s">
        <v>2190</v>
      </c>
      <c r="D775" s="2" t="s">
        <v>42</v>
      </c>
      <c r="E775" s="2" t="s">
        <v>21</v>
      </c>
      <c r="F775" s="2" t="s">
        <v>15</v>
      </c>
      <c r="G775" s="2" t="s">
        <v>772</v>
      </c>
      <c r="H775" s="2" t="s">
        <v>52</v>
      </c>
      <c r="I775" s="2" t="str">
        <f>IFERROR(__xludf.DUMMYFUNCTION("GOOGLETRANSLATE(C775,""fr"",""en"")"),"I am satisfied with the service,
Delighted to have insurance close to customers
By hoping to continue on this momentum, I will recover until at least for the client welcome which is quite a lot.")</f>
        <v>I am satisfied with the service,
Delighted to have insurance close to customers
By hoping to continue on this momentum, I will recover until at least for the client welcome which is quite a lot.</v>
      </c>
    </row>
    <row r="776" ht="15.75" customHeight="1">
      <c r="A776" s="2">
        <v>3.0</v>
      </c>
      <c r="B776" s="2" t="s">
        <v>2191</v>
      </c>
      <c r="C776" s="2" t="s">
        <v>2192</v>
      </c>
      <c r="D776" s="2" t="s">
        <v>379</v>
      </c>
      <c r="E776" s="2" t="s">
        <v>82</v>
      </c>
      <c r="F776" s="2" t="s">
        <v>15</v>
      </c>
      <c r="G776" s="2" t="s">
        <v>1402</v>
      </c>
      <c r="H776" s="2" t="s">
        <v>95</v>
      </c>
      <c r="I776" s="2" t="str">
        <f>IFERROR(__xludf.DUMMYFUNCTION("GOOGLETRANSLATE(C776,""fr"",""en"")"),"Very good telephone listening and responsiveness of the interlocutor who provided the requested documents within an extremely fast time.
Appreciable efficiency")</f>
        <v>Very good telephone listening and responsiveness of the interlocutor who provided the requested documents within an extremely fast time.
Appreciable efficiency</v>
      </c>
    </row>
    <row r="777" ht="15.75" customHeight="1">
      <c r="A777" s="2">
        <v>1.0</v>
      </c>
      <c r="B777" s="2" t="s">
        <v>2193</v>
      </c>
      <c r="C777" s="2" t="s">
        <v>2194</v>
      </c>
      <c r="D777" s="2" t="s">
        <v>32</v>
      </c>
      <c r="E777" s="2" t="s">
        <v>21</v>
      </c>
      <c r="F777" s="2" t="s">
        <v>15</v>
      </c>
      <c r="G777" s="2" t="s">
        <v>2195</v>
      </c>
      <c r="H777" s="2" t="s">
        <v>74</v>
      </c>
      <c r="I777" s="2" t="str">
        <f>IFERROR(__xludf.DUMMYFUNCTION("GOOGLETRANSLATE(C777,""fr"",""en"")"),"They managed to make me pay for a year of insurance for a car which I got rid of. Not to mention the clarity of their contracts, it is impossible to have the details and to know why precisely I pay.")</f>
        <v>They managed to make me pay for a year of insurance for a car which I got rid of. Not to mention the clarity of their contracts, it is impossible to have the details and to know why precisely I pay.</v>
      </c>
    </row>
    <row r="778" ht="15.75" customHeight="1">
      <c r="A778" s="2">
        <v>3.0</v>
      </c>
      <c r="B778" s="2" t="s">
        <v>2196</v>
      </c>
      <c r="C778" s="2" t="s">
        <v>2197</v>
      </c>
      <c r="D778" s="2" t="s">
        <v>32</v>
      </c>
      <c r="E778" s="2" t="s">
        <v>21</v>
      </c>
      <c r="F778" s="2" t="s">
        <v>15</v>
      </c>
      <c r="G778" s="2" t="s">
        <v>1136</v>
      </c>
      <c r="H778" s="2" t="s">
        <v>17</v>
      </c>
      <c r="I778" s="2" t="str">
        <f>IFERROR(__xludf.DUMMYFUNCTION("GOOGLETRANSLATE(C778,""fr"",""en"")"),"We will see in use as we say
Fairly competitive price
See the exit conditions and in particular the recommended letters I think !!!
Very correct registrations and approaches
")</f>
        <v>We will see in use as we say
Fairly competitive price
See the exit conditions and in particular the recommended letters I think !!!
Very correct registrations and approaches
</v>
      </c>
    </row>
    <row r="779" ht="15.75" customHeight="1">
      <c r="A779" s="2">
        <v>5.0</v>
      </c>
      <c r="B779" s="2" t="s">
        <v>2198</v>
      </c>
      <c r="C779" s="2" t="s">
        <v>2199</v>
      </c>
      <c r="D779" s="2" t="s">
        <v>65</v>
      </c>
      <c r="E779" s="2" t="s">
        <v>60</v>
      </c>
      <c r="F779" s="2" t="s">
        <v>15</v>
      </c>
      <c r="G779" s="2" t="s">
        <v>956</v>
      </c>
      <c r="H779" s="2" t="s">
        <v>62</v>
      </c>
      <c r="I779" s="2" t="str">
        <f>IFERROR(__xludf.DUMMYFUNCTION("GOOGLETRANSLATE(C779,""fr"",""en"")"),"Easy subscription but I had nothing else to do with this insurer for the moment .. to see later.
Competitive prices. Nothing to add for the moment")</f>
        <v>Easy subscription but I had nothing else to do with this insurer for the moment .. to see later.
Competitive prices. Nothing to add for the moment</v>
      </c>
    </row>
    <row r="780" ht="15.75" customHeight="1">
      <c r="A780" s="2">
        <v>1.0</v>
      </c>
      <c r="B780" s="2" t="s">
        <v>2200</v>
      </c>
      <c r="C780" s="2" t="s">
        <v>2201</v>
      </c>
      <c r="D780" s="2" t="s">
        <v>32</v>
      </c>
      <c r="E780" s="2" t="s">
        <v>21</v>
      </c>
      <c r="F780" s="2" t="s">
        <v>15</v>
      </c>
      <c r="G780" s="2" t="s">
        <v>1267</v>
      </c>
      <c r="H780" s="2" t="s">
        <v>222</v>
      </c>
      <c r="I780" s="2" t="str">
        <f>IFERROR(__xludf.DUMMYFUNCTION("GOOGLETRANSLATE(C780,""fr"",""en"")"),"A price that increases every year despite a larger bonus and the same vehicle that ages and whose value drops. Which is illogical. Obliged to call them every year to explain to them and make competition play which have more attractive call rates. And you "&amp;"have to get there for Direct Insurance to offer a competitive price. It's annoying to fight every year with them.")</f>
        <v>A price that increases every year despite a larger bonus and the same vehicle that ages and whose value drops. Which is illogical. Obliged to call them every year to explain to them and make competition play which have more attractive call rates. And you have to get there for Direct Insurance to offer a competitive price. It's annoying to fight every year with them.</v>
      </c>
    </row>
    <row r="781" ht="15.75" customHeight="1">
      <c r="A781" s="2">
        <v>1.0</v>
      </c>
      <c r="B781" s="2" t="s">
        <v>2202</v>
      </c>
      <c r="C781" s="2" t="s">
        <v>2203</v>
      </c>
      <c r="D781" s="2" t="s">
        <v>2204</v>
      </c>
      <c r="E781" s="2" t="s">
        <v>27</v>
      </c>
      <c r="F781" s="2" t="s">
        <v>15</v>
      </c>
      <c r="G781" s="2" t="s">
        <v>2205</v>
      </c>
      <c r="H781" s="2" t="s">
        <v>17</v>
      </c>
      <c r="I781" s="2" t="str">
        <f>IFERROR(__xludf.DUMMYFUNCTION("GOOGLETRANSLATE(C781,""fr"",""en"")"),"Lavable, service to avoid +++ Home sold since July 8 and despite registered mail, telephone call and emails no return from them to terminate the insurance contract. I will call on a lawyer to help me in the efforts and it makes me angry to be forced to pu"&amp;"t a star !!!!!!")</f>
        <v>Lavable, service to avoid +++ Home sold since July 8 and despite registered mail, telephone call and emails no return from them to terminate the insurance contract. I will call on a lawyer to help me in the efforts and it makes me angry to be forced to put a star !!!!!!</v>
      </c>
    </row>
    <row r="782" ht="15.75" customHeight="1">
      <c r="A782" s="2">
        <v>4.0</v>
      </c>
      <c r="B782" s="2" t="s">
        <v>2206</v>
      </c>
      <c r="C782" s="2" t="s">
        <v>2207</v>
      </c>
      <c r="D782" s="2" t="s">
        <v>32</v>
      </c>
      <c r="E782" s="2" t="s">
        <v>21</v>
      </c>
      <c r="F782" s="2" t="s">
        <v>15</v>
      </c>
      <c r="G782" s="2" t="s">
        <v>2208</v>
      </c>
      <c r="H782" s="2" t="s">
        <v>48</v>
      </c>
      <c r="I782" s="2" t="str">
        <f>IFERROR(__xludf.DUMMYFUNCTION("GOOGLETRANSLATE(C782,""fr"",""en"")"),"Quick procedures and simple and functional site. The very kind, responsive and very professional telephone contact. Really without worries. If the care in the event of a disaster is at the endorsement you are at the top.")</f>
        <v>Quick procedures and simple and functional site. The very kind, responsive and very professional telephone contact. Really without worries. If the care in the event of a disaster is at the endorsement you are at the top.</v>
      </c>
    </row>
    <row r="783" ht="15.75" customHeight="1">
      <c r="A783" s="2">
        <v>3.0</v>
      </c>
      <c r="B783" s="2" t="s">
        <v>2209</v>
      </c>
      <c r="C783" s="2" t="s">
        <v>2210</v>
      </c>
      <c r="D783" s="2" t="s">
        <v>209</v>
      </c>
      <c r="E783" s="2" t="s">
        <v>82</v>
      </c>
      <c r="F783" s="2" t="s">
        <v>15</v>
      </c>
      <c r="G783" s="2" t="s">
        <v>1899</v>
      </c>
      <c r="H783" s="2" t="s">
        <v>561</v>
      </c>
      <c r="I783" s="2" t="str">
        <f>IFERROR(__xludf.DUMMYFUNCTION("GOOGLETRANSLATE(C783,""fr"",""en"")"),"A mutual where we contribute proportionately to its income (gross + premiums or aid in kind). We adhere or not, but personally I have the security and the MGEN mutual, my bank loan too, and everything rolls. I must indeed pay more than elsewhere, it is a "&amp;"matter of solidarity. When I had my hernia, the Mgen ""insured"" ^_ ^")</f>
        <v>A mutual where we contribute proportionately to its income (gross + premiums or aid in kind). We adhere or not, but personally I have the security and the MGEN mutual, my bank loan too, and everything rolls. I must indeed pay more than elsewhere, it is a matter of solidarity. When I had my hernia, the Mgen "insured" ^_ ^</v>
      </c>
    </row>
    <row r="784" ht="15.75" customHeight="1">
      <c r="A784" s="2">
        <v>2.0</v>
      </c>
      <c r="B784" s="2" t="s">
        <v>2211</v>
      </c>
      <c r="C784" s="2" t="s">
        <v>2212</v>
      </c>
      <c r="D784" s="2" t="s">
        <v>129</v>
      </c>
      <c r="E784" s="2" t="s">
        <v>21</v>
      </c>
      <c r="F784" s="2" t="s">
        <v>15</v>
      </c>
      <c r="G784" s="2" t="s">
        <v>956</v>
      </c>
      <c r="H784" s="2" t="s">
        <v>62</v>
      </c>
      <c r="I784" s="2" t="str">
        <f>IFERROR(__xludf.DUMMYFUNCTION("GOOGLETRANSLATE(C784,""fr"",""en"")"),"I am satisfied with the interactivity of GMF staff
An effort should have been made on prices for loyal customers who do not have much incident.
Example. In two years I went to the doctor twice.
In more than 10 years, I have never needed aid linked to m"&amp;"y home insurance there of my legal protection.
And I still pay the same price")</f>
        <v>I am satisfied with the interactivity of GMF staff
An effort should have been made on prices for loyal customers who do not have much incident.
Example. In two years I went to the doctor twice.
In more than 10 years, I have never needed aid linked to my home insurance there of my legal protection.
And I still pay the same price</v>
      </c>
    </row>
    <row r="785" ht="15.75" customHeight="1">
      <c r="A785" s="2">
        <v>5.0</v>
      </c>
      <c r="B785" s="2" t="s">
        <v>2213</v>
      </c>
      <c r="C785" s="2" t="s">
        <v>2214</v>
      </c>
      <c r="D785" s="2" t="s">
        <v>32</v>
      </c>
      <c r="E785" s="2" t="s">
        <v>33</v>
      </c>
      <c r="F785" s="2" t="s">
        <v>15</v>
      </c>
      <c r="G785" s="2" t="s">
        <v>2215</v>
      </c>
      <c r="H785" s="2" t="s">
        <v>412</v>
      </c>
      <c r="I785" s="2" t="str">
        <f>IFERROR(__xludf.DUMMYFUNCTION("GOOGLETRANSLATE(C785,""fr"",""en"")"),"I am afraid you ask to transmit the documents from your personal space I have nothing full of moving full of boxes ??? Please explain to me and if I can take the insurance at home I am waiting for an answer on email cdlt")</f>
        <v>I am afraid you ask to transmit the documents from your personal space I have nothing full of moving full of boxes ??? Please explain to me and if I can take the insurance at home I am waiting for an answer on email cdlt</v>
      </c>
    </row>
    <row r="786" ht="15.75" customHeight="1">
      <c r="A786" s="2">
        <v>5.0</v>
      </c>
      <c r="B786" s="2" t="s">
        <v>2216</v>
      </c>
      <c r="C786" s="2" t="s">
        <v>2217</v>
      </c>
      <c r="D786" s="2" t="s">
        <v>65</v>
      </c>
      <c r="E786" s="2" t="s">
        <v>60</v>
      </c>
      <c r="F786" s="2" t="s">
        <v>15</v>
      </c>
      <c r="G786" s="2" t="s">
        <v>111</v>
      </c>
      <c r="H786" s="2" t="s">
        <v>52</v>
      </c>
      <c r="I786" s="2" t="str">
        <f>IFERROR(__xludf.DUMMYFUNCTION("GOOGLETRANSLATE(C786,""fr"",""en"")"),"Satisfied with the services offered, many options but the base is largely enough, especially for private use. Content as a whole of the site and what is proposed")</f>
        <v>Satisfied with the services offered, many options but the base is largely enough, especially for private use. Content as a whole of the site and what is proposed</v>
      </c>
    </row>
    <row r="787" ht="15.75" customHeight="1">
      <c r="A787" s="2">
        <v>3.0</v>
      </c>
      <c r="B787" s="2" t="s">
        <v>2218</v>
      </c>
      <c r="C787" s="2" t="s">
        <v>2219</v>
      </c>
      <c r="D787" s="2" t="s">
        <v>32</v>
      </c>
      <c r="E787" s="2" t="s">
        <v>21</v>
      </c>
      <c r="F787" s="2" t="s">
        <v>15</v>
      </c>
      <c r="G787" s="2" t="s">
        <v>500</v>
      </c>
      <c r="H787" s="2" t="s">
        <v>62</v>
      </c>
      <c r="I787" s="2" t="str">
        <f>IFERROR(__xludf.DUMMYFUNCTION("GOOGLETRANSLATE(C787,""fr"",""en"")"),"Hello
I have never had a claim so I cannot judge your service in an emergency,
On the other hand I am satisfied with your offer (except for the deductible of 25% invoice price in the event of an ice breeze) and your boxes
You are a little more expensiv"&amp;"e compared to your colleagues.
Generally I am rather satisfied I will be even more if I will have a small price reduction :)
Thank you.
Cordially")</f>
        <v>Hello
I have never had a claim so I cannot judge your service in an emergency,
On the other hand I am satisfied with your offer (except for the deductible of 25% invoice price in the event of an ice breeze) and your boxes
You are a little more expensive compared to your colleagues.
Generally I am rather satisfied I will be even more if I will have a small price reduction :)
Thank you.
Cordially</v>
      </c>
    </row>
    <row r="788" ht="15.75" customHeight="1">
      <c r="A788" s="2">
        <v>5.0</v>
      </c>
      <c r="B788" s="2" t="s">
        <v>2220</v>
      </c>
      <c r="C788" s="2" t="s">
        <v>2221</v>
      </c>
      <c r="D788" s="2" t="s">
        <v>32</v>
      </c>
      <c r="E788" s="2" t="s">
        <v>21</v>
      </c>
      <c r="F788" s="2" t="s">
        <v>15</v>
      </c>
      <c r="G788" s="2" t="s">
        <v>398</v>
      </c>
      <c r="H788" s="2" t="s">
        <v>48</v>
      </c>
      <c r="I788" s="2" t="str">
        <f>IFERROR(__xludf.DUMMYFUNCTION("GOOGLETRANSLATE(C788,""fr"",""en"")"),"I am satisfied with the service
speed of contact and return
Simple filling of documents
telephone contact if necessary.
Quick sending documents")</f>
        <v>I am satisfied with the service
speed of contact and return
Simple filling of documents
telephone contact if necessary.
Quick sending documents</v>
      </c>
    </row>
    <row r="789" ht="15.75" customHeight="1">
      <c r="A789" s="2">
        <v>4.0</v>
      </c>
      <c r="B789" s="2" t="s">
        <v>2222</v>
      </c>
      <c r="C789" s="2" t="s">
        <v>2223</v>
      </c>
      <c r="D789" s="2" t="s">
        <v>32</v>
      </c>
      <c r="E789" s="2" t="s">
        <v>21</v>
      </c>
      <c r="F789" s="2" t="s">
        <v>15</v>
      </c>
      <c r="G789" s="2" t="s">
        <v>1945</v>
      </c>
      <c r="H789" s="2" t="s">
        <v>29</v>
      </c>
      <c r="I789" s="2" t="str">
        <f>IFERROR(__xludf.DUMMYFUNCTION("GOOGLETRANSLATE(C789,""fr"",""en"")"),"I'm just starting. A first opinion ..
But it looks inexpensive. It would divide by two my current invoice.
I hope it will be conclusive afterwards.
")</f>
        <v>I'm just starting. A first opinion ..
But it looks inexpensive. It would divide by two my current invoice.
I hope it will be conclusive afterwards.
</v>
      </c>
    </row>
    <row r="790" ht="15.75" customHeight="1">
      <c r="A790" s="2">
        <v>4.0</v>
      </c>
      <c r="B790" s="2" t="s">
        <v>2224</v>
      </c>
      <c r="C790" s="2" t="s">
        <v>2225</v>
      </c>
      <c r="D790" s="2" t="s">
        <v>42</v>
      </c>
      <c r="E790" s="2" t="s">
        <v>21</v>
      </c>
      <c r="F790" s="2" t="s">
        <v>15</v>
      </c>
      <c r="G790" s="2" t="s">
        <v>1621</v>
      </c>
      <c r="H790" s="2" t="s">
        <v>52</v>
      </c>
      <c r="I790" s="2" t="str">
        <f>IFERROR(__xludf.DUMMYFUNCTION("GOOGLETRANSLATE(C790,""fr"",""en"")"),"The choice of study fields is not very varied. I am in training in the social sector, and no option corresponds to this field. More options should be created.")</f>
        <v>The choice of study fields is not very varied. I am in training in the social sector, and no option corresponds to this field. More options should be created.</v>
      </c>
    </row>
    <row r="791" ht="15.75" customHeight="1">
      <c r="A791" s="2">
        <v>4.0</v>
      </c>
      <c r="B791" s="2" t="s">
        <v>2226</v>
      </c>
      <c r="C791" s="2" t="s">
        <v>2227</v>
      </c>
      <c r="D791" s="2" t="s">
        <v>65</v>
      </c>
      <c r="E791" s="2" t="s">
        <v>60</v>
      </c>
      <c r="F791" s="2" t="s">
        <v>15</v>
      </c>
      <c r="G791" s="2" t="s">
        <v>956</v>
      </c>
      <c r="H791" s="2" t="s">
        <v>62</v>
      </c>
      <c r="I791" s="2" t="str">
        <f>IFERROR(__xludf.DUMMYFUNCTION("GOOGLETRANSLATE(C791,""fr"",""en"")"),"Very fast, a well -made website, prices that are not excessive but could be a little more competitive for the small value of the good assured but at the top ^^")</f>
        <v>Very fast, a well -made website, prices that are not excessive but could be a little more competitive for the small value of the good assured but at the top ^^</v>
      </c>
    </row>
    <row r="792" ht="15.75" customHeight="1">
      <c r="A792" s="2">
        <v>5.0</v>
      </c>
      <c r="B792" s="2" t="s">
        <v>2228</v>
      </c>
      <c r="C792" s="2" t="s">
        <v>2229</v>
      </c>
      <c r="D792" s="2" t="s">
        <v>32</v>
      </c>
      <c r="E792" s="2" t="s">
        <v>21</v>
      </c>
      <c r="F792" s="2" t="s">
        <v>15</v>
      </c>
      <c r="G792" s="2" t="s">
        <v>336</v>
      </c>
      <c r="H792" s="2" t="s">
        <v>287</v>
      </c>
      <c r="I792" s="2" t="str">
        <f>IFERROR(__xludf.DUMMYFUNCTION("GOOGLETRANSLATE(C792,""fr"",""en"")"),"Simple and quick quote, perfectly understandable site.
Well -explained guarantees.
The price seems correct for the service offered.
I will continue to study it")</f>
        <v>Simple and quick quote, perfectly understandable site.
Well -explained guarantees.
The price seems correct for the service offered.
I will continue to study it</v>
      </c>
    </row>
    <row r="793" ht="15.75" customHeight="1">
      <c r="A793" s="2">
        <v>4.0</v>
      </c>
      <c r="B793" s="2" t="s">
        <v>2230</v>
      </c>
      <c r="C793" s="2" t="s">
        <v>2231</v>
      </c>
      <c r="D793" s="2" t="s">
        <v>42</v>
      </c>
      <c r="E793" s="2" t="s">
        <v>21</v>
      </c>
      <c r="F793" s="2" t="s">
        <v>15</v>
      </c>
      <c r="G793" s="2" t="s">
        <v>2232</v>
      </c>
      <c r="H793" s="2" t="s">
        <v>62</v>
      </c>
      <c r="I793" s="2" t="str">
        <f>IFERROR(__xludf.DUMMYFUNCTION("GOOGLETRANSLATE(C793,""fr"",""en"")"),"Fast and easy it was easy to get insurance and I was sympathetic, thank you very much it was easy to get insurance and were nice, thank you very much for the service and solved the problem very quickly.")</f>
        <v>Fast and easy it was easy to get insurance and I was sympathetic, thank you very much it was easy to get insurance and were nice, thank you very much for the service and solved the problem very quickly.</v>
      </c>
    </row>
    <row r="794" ht="15.75" customHeight="1">
      <c r="A794" s="2">
        <v>1.0</v>
      </c>
      <c r="B794" s="2" t="s">
        <v>2233</v>
      </c>
      <c r="C794" s="2" t="s">
        <v>2234</v>
      </c>
      <c r="D794" s="2" t="s">
        <v>267</v>
      </c>
      <c r="E794" s="2" t="s">
        <v>21</v>
      </c>
      <c r="F794" s="2" t="s">
        <v>15</v>
      </c>
      <c r="G794" s="2" t="s">
        <v>2235</v>
      </c>
      <c r="H794" s="2" t="s">
        <v>52</v>
      </c>
      <c r="I794" s="2" t="str">
        <f>IFERROR(__xludf.DUMMYFUNCTION("GOOGLETRANSLATE(C794,""fr"",""en"")"),"No one in the event of a problem to manage you I do not recommend taking real assurance to avoid pacifica customer service absent, if I had the possibility of putting any star I would have done it, they deserve zero star")</f>
        <v>No one in the event of a problem to manage you I do not recommend taking real assurance to avoid pacifica customer service absent, if I had the possibility of putting any star I would have done it, they deserve zero star</v>
      </c>
    </row>
    <row r="795" ht="15.75" customHeight="1">
      <c r="A795" s="2">
        <v>3.0</v>
      </c>
      <c r="B795" s="2" t="s">
        <v>2236</v>
      </c>
      <c r="C795" s="2" t="s">
        <v>2237</v>
      </c>
      <c r="D795" s="2" t="s">
        <v>32</v>
      </c>
      <c r="E795" s="2" t="s">
        <v>21</v>
      </c>
      <c r="F795" s="2" t="s">
        <v>15</v>
      </c>
      <c r="G795" s="2" t="s">
        <v>213</v>
      </c>
      <c r="H795" s="2" t="s">
        <v>52</v>
      </c>
      <c r="I795" s="2" t="str">
        <f>IFERROR(__xludf.DUMMYFUNCTION("GOOGLETRANSLATE(C795,""fr"",""en"")"),"I did not need to have used your services at the moment, as long as it lasts a very long time and everything will be perfect. Continue to apply attractive pricing")</f>
        <v>I did not need to have used your services at the moment, as long as it lasts a very long time and everything will be perfect. Continue to apply attractive pricing</v>
      </c>
    </row>
    <row r="796" ht="15.75" customHeight="1">
      <c r="A796" s="2">
        <v>3.0</v>
      </c>
      <c r="B796" s="2" t="s">
        <v>2238</v>
      </c>
      <c r="C796" s="2" t="s">
        <v>2239</v>
      </c>
      <c r="D796" s="2" t="s">
        <v>442</v>
      </c>
      <c r="E796" s="2" t="s">
        <v>157</v>
      </c>
      <c r="F796" s="2" t="s">
        <v>15</v>
      </c>
      <c r="G796" s="2" t="s">
        <v>2240</v>
      </c>
      <c r="H796" s="2" t="s">
        <v>44</v>
      </c>
      <c r="I796" s="2" t="str">
        <f>IFERROR(__xludf.DUMMYFUNCTION("GOOGLETRANSLATE(C796,""fr"",""en"")"),"To do in an occupational disease since September 2018 still lacks papers with a quota at 100 insurance at 45 per month to tell me that it will be that compensated on the loss of salary is a joke of the time to send the papers To have nothing I go from hom"&amp;"e it's a shame")</f>
        <v>To do in an occupational disease since September 2018 still lacks papers with a quota at 100 insurance at 45 per month to tell me that it will be that compensated on the loss of salary is a joke of the time to send the papers To have nothing I go from home it's a shame</v>
      </c>
    </row>
    <row r="797" ht="15.75" customHeight="1">
      <c r="A797" s="2">
        <v>5.0</v>
      </c>
      <c r="B797" s="2" t="s">
        <v>2241</v>
      </c>
      <c r="C797" s="2" t="s">
        <v>2242</v>
      </c>
      <c r="D797" s="2" t="s">
        <v>267</v>
      </c>
      <c r="E797" s="2" t="s">
        <v>21</v>
      </c>
      <c r="F797" s="2" t="s">
        <v>15</v>
      </c>
      <c r="G797" s="2" t="s">
        <v>2243</v>
      </c>
      <c r="H797" s="2" t="s">
        <v>632</v>
      </c>
      <c r="I797" s="2" t="str">
        <f>IFERROR(__xludf.DUMMYFUNCTION("GOOGLETRANSLATE(C797,""fr"",""en"")"),"I had a sinister vandalism on my car I was directed on an approved garage next to my home the expert came and took care of everything")</f>
        <v>I had a sinister vandalism on my car I was directed on an approved garage next to my home the expert came and took care of everything</v>
      </c>
    </row>
    <row r="798" ht="15.75" customHeight="1">
      <c r="A798" s="2">
        <v>5.0</v>
      </c>
      <c r="B798" s="2" t="s">
        <v>2244</v>
      </c>
      <c r="C798" s="2" t="s">
        <v>2245</v>
      </c>
      <c r="D798" s="2" t="s">
        <v>145</v>
      </c>
      <c r="E798" s="2" t="s">
        <v>21</v>
      </c>
      <c r="F798" s="2" t="s">
        <v>15</v>
      </c>
      <c r="G798" s="2" t="s">
        <v>2246</v>
      </c>
      <c r="H798" s="2" t="s">
        <v>412</v>
      </c>
      <c r="I798" s="2" t="str">
        <f>IFERROR(__xludf.DUMMYFUNCTION("GOOGLETRANSLATE(C798,""fr"",""en"")"),"Listen, professionalism, kindness, very commercial and excellent value for money! In short, I only have compliments to do at the MAAF! And I will not change the world of insurer for anything!")</f>
        <v>Listen, professionalism, kindness, very commercial and excellent value for money! In short, I only have compliments to do at the MAAF! And I will not change the world of insurer for anything!</v>
      </c>
    </row>
    <row r="799" ht="15.75" customHeight="1">
      <c r="A799" s="2">
        <v>1.0</v>
      </c>
      <c r="B799" s="2" t="s">
        <v>2247</v>
      </c>
      <c r="C799" s="2" t="s">
        <v>2248</v>
      </c>
      <c r="D799" s="2" t="s">
        <v>13</v>
      </c>
      <c r="E799" s="2" t="s">
        <v>14</v>
      </c>
      <c r="F799" s="2" t="s">
        <v>15</v>
      </c>
      <c r="G799" s="2" t="s">
        <v>2249</v>
      </c>
      <c r="H799" s="2" t="s">
        <v>598</v>
      </c>
      <c r="I799" s="2" t="str">
        <f>IFERROR(__xludf.DUMMYFUNCTION("GOOGLETRANSLATE(C799,""fr"",""en"")"),"Wait do not take this insurance if it was possible I would not have put any stars no termination possible and always an excuse not to reimburse the veterinary costs so I pay my veterinarian in addition to the mutual")</f>
        <v>Wait do not take this insurance if it was possible I would not have put any stars no termination possible and always an excuse not to reimburse the veterinary costs so I pay my veterinarian in addition to the mutual</v>
      </c>
    </row>
    <row r="800" ht="15.75" customHeight="1">
      <c r="A800" s="2">
        <v>1.0</v>
      </c>
      <c r="B800" s="2" t="s">
        <v>2250</v>
      </c>
      <c r="C800" s="2" t="s">
        <v>2251</v>
      </c>
      <c r="D800" s="2" t="s">
        <v>32</v>
      </c>
      <c r="E800" s="2" t="s">
        <v>21</v>
      </c>
      <c r="F800" s="2" t="s">
        <v>15</v>
      </c>
      <c r="G800" s="2" t="s">
        <v>66</v>
      </c>
      <c r="H800" s="2" t="s">
        <v>62</v>
      </c>
      <c r="I800" s="2" t="str">
        <f>IFERROR(__xludf.DUMMYFUNCTION("GOOGLETRANSLATE(C800,""fr"",""en"")"),"We have demented and therefore stopped the insurance of our old insurance. Satisfied with direct insurance, because having never had claims to declaire. We now find ourselves having to pay the insurance of our old apartment because the termination has nev"&amp;"er been taken into account. And the contract does not appear on my online space. The only people that have it on the phone are the recovery company. Direct Insurance does not want to know anything. They only communicate by SMS. So we find ourselves having"&amp;" to pay for a contract that we have resilled, and auqeul we have not even accesses.
The worst online insurance.")</f>
        <v>We have demented and therefore stopped the insurance of our old insurance. Satisfied with direct insurance, because having never had claims to declaire. We now find ourselves having to pay the insurance of our old apartment because the termination has never been taken into account. And the contract does not appear on my online space. The only people that have it on the phone are the recovery company. Direct Insurance does not want to know anything. They only communicate by SMS. So we find ourselves having to pay for a contract that we have resilled, and auqeul we have not even accesses.
The worst online insurance.</v>
      </c>
    </row>
    <row r="801" ht="15.75" customHeight="1">
      <c r="A801" s="2">
        <v>3.0</v>
      </c>
      <c r="B801" s="2" t="s">
        <v>2252</v>
      </c>
      <c r="C801" s="2" t="s">
        <v>2253</v>
      </c>
      <c r="D801" s="2" t="s">
        <v>196</v>
      </c>
      <c r="E801" s="2" t="s">
        <v>82</v>
      </c>
      <c r="F801" s="2" t="s">
        <v>15</v>
      </c>
      <c r="G801" s="2" t="s">
        <v>2254</v>
      </c>
      <c r="H801" s="2" t="s">
        <v>618</v>
      </c>
      <c r="I801" s="2" t="str">
        <f>IFERROR(__xludf.DUMMYFUNCTION("GOOGLETRANSLATE(C801,""fr"",""en"")"),"I would like to be able to be better reimbursed in terms of glasses and teeth.")</f>
        <v>I would like to be able to be better reimbursed in terms of glasses and teeth.</v>
      </c>
    </row>
    <row r="802" ht="15.75" customHeight="1">
      <c r="A802" s="2">
        <v>3.0</v>
      </c>
      <c r="B802" s="2" t="s">
        <v>2255</v>
      </c>
      <c r="C802" s="2" t="s">
        <v>2256</v>
      </c>
      <c r="D802" s="2" t="s">
        <v>32</v>
      </c>
      <c r="E802" s="2" t="s">
        <v>21</v>
      </c>
      <c r="F802" s="2" t="s">
        <v>15</v>
      </c>
      <c r="G802" s="2" t="s">
        <v>1333</v>
      </c>
      <c r="H802" s="2" t="s">
        <v>104</v>
      </c>
      <c r="I802" s="2" t="str">
        <f>IFERROR(__xludf.DUMMYFUNCTION("GOOGLETRANSLATE(C802,""fr"",""en"")"),"Yes it is simple and practical at the price level it is not the cheapest on the walk but it is acceptable !! the proposal is defined so I have nothing to add")</f>
        <v>Yes it is simple and practical at the price level it is not the cheapest on the walk but it is acceptable !! the proposal is defined so I have nothing to add</v>
      </c>
    </row>
    <row r="803" ht="15.75" customHeight="1">
      <c r="A803" s="2">
        <v>3.0</v>
      </c>
      <c r="B803" s="2" t="s">
        <v>2257</v>
      </c>
      <c r="C803" s="2" t="s">
        <v>2258</v>
      </c>
      <c r="D803" s="2" t="s">
        <v>81</v>
      </c>
      <c r="E803" s="2" t="s">
        <v>82</v>
      </c>
      <c r="F803" s="2" t="s">
        <v>15</v>
      </c>
      <c r="G803" s="2" t="s">
        <v>2259</v>
      </c>
      <c r="H803" s="2" t="s">
        <v>260</v>
      </c>
      <c r="I803" s="2" t="str">
        <f>IFERROR(__xludf.DUMMYFUNCTION("GOOGLETRANSLATE(C803,""fr"",""en"")"),"Gwendal welcomed me very well, and treated my problem well. He was able to respond in a short time and find me a solution quickly.")</f>
        <v>Gwendal welcomed me very well, and treated my problem well. He was able to respond in a short time and find me a solution quickly.</v>
      </c>
    </row>
    <row r="804" ht="15.75" customHeight="1">
      <c r="A804" s="2">
        <v>1.0</v>
      </c>
      <c r="B804" s="2" t="s">
        <v>2260</v>
      </c>
      <c r="C804" s="2" t="s">
        <v>2261</v>
      </c>
      <c r="D804" s="2" t="s">
        <v>267</v>
      </c>
      <c r="E804" s="2" t="s">
        <v>33</v>
      </c>
      <c r="F804" s="2" t="s">
        <v>15</v>
      </c>
      <c r="G804" s="2" t="s">
        <v>911</v>
      </c>
      <c r="H804" s="2" t="s">
        <v>464</v>
      </c>
      <c r="I804" s="2" t="str">
        <f>IFERROR(__xludf.DUMMYFUNCTION("GOOGLETRANSLATE(C804,""fr"",""en"")"),"I was the victim of a disaster in June following strong gusts. Water enters the house. Impossible to have a craftsman for a month, they refuse that we call a local guy and they finally send you a craftsman from Rouen while I live in Rennes. The quote has "&amp;"never been validated by Pacifica who left hanging out, finally in October nothing is done despite my many reminders. I call every day, nobody wants to give me the name of the craftsman so that I call him. The expert was sent after my requests two months a"&amp;"fter the disaster, and it takes them still 8 days to validate a quote.
The ""work service"" that I have been passed must be located in any foreign country and people do not want to present themselves. We promise you a reminder that never comes. I asked t"&amp;"o speak to the manager but again, it is impossible.
Three months after the disaster, water always comes in ... and everyone doesn't care ...
In short, I have never seen that, I completely advise against !!")</f>
        <v>I was the victim of a disaster in June following strong gusts. Water enters the house. Impossible to have a craftsman for a month, they refuse that we call a local guy and they finally send you a craftsman from Rouen while I live in Rennes. The quote has never been validated by Pacifica who left hanging out, finally in October nothing is done despite my many reminders. I call every day, nobody wants to give me the name of the craftsman so that I call him. The expert was sent after my requests two months after the disaster, and it takes them still 8 days to validate a quote.
The "work service" that I have been passed must be located in any foreign country and people do not want to present themselves. We promise you a reminder that never comes. I asked to speak to the manager but again, it is impossible.
Three months after the disaster, water always comes in ... and everyone doesn't care ...
In short, I have never seen that, I completely advise against !!</v>
      </c>
    </row>
    <row r="805" ht="15.75" customHeight="1">
      <c r="A805" s="2">
        <v>4.0</v>
      </c>
      <c r="B805" s="2" t="s">
        <v>2262</v>
      </c>
      <c r="C805" s="2" t="s">
        <v>2263</v>
      </c>
      <c r="D805" s="2" t="s">
        <v>42</v>
      </c>
      <c r="E805" s="2" t="s">
        <v>21</v>
      </c>
      <c r="F805" s="2" t="s">
        <v>15</v>
      </c>
      <c r="G805" s="2" t="s">
        <v>398</v>
      </c>
      <c r="H805" s="2" t="s">
        <v>48</v>
      </c>
      <c r="I805" s="2" t="str">
        <f>IFERROR(__xludf.DUMMYFUNCTION("GOOGLETRANSLATE(C805,""fr"",""en"")"),"Not by question by contribution to the insurance that I have just signed.
The portal is easy access except that each selection of a tab asks me to reconnect .....")</f>
        <v>Not by question by contribution to the insurance that I have just signed.
The portal is easy access except that each selection of a tab asks me to reconnect .....</v>
      </c>
    </row>
    <row r="806" ht="15.75" customHeight="1">
      <c r="A806" s="2">
        <v>1.0</v>
      </c>
      <c r="B806" s="2" t="s">
        <v>2264</v>
      </c>
      <c r="C806" s="2" t="s">
        <v>2265</v>
      </c>
      <c r="D806" s="2" t="s">
        <v>442</v>
      </c>
      <c r="E806" s="2" t="s">
        <v>157</v>
      </c>
      <c r="F806" s="2" t="s">
        <v>15</v>
      </c>
      <c r="G806" s="2" t="s">
        <v>2266</v>
      </c>
      <c r="H806" s="2" t="s">
        <v>17</v>
      </c>
      <c r="I806" s="2" t="str">
        <f>IFERROR(__xludf.DUMMYFUNCTION("GOOGLETRANSLATE(C806,""fr"",""en"")"),"This insurance company has many complaints against her following a refusal to settle what she owes myself currently in procedure with her with the first instance")</f>
        <v>This insurance company has many complaints against her following a refusal to settle what she owes myself currently in procedure with her with the first instance</v>
      </c>
    </row>
    <row r="807" ht="15.75" customHeight="1">
      <c r="A807" s="2">
        <v>4.0</v>
      </c>
      <c r="B807" s="2" t="s">
        <v>2267</v>
      </c>
      <c r="C807" s="2" t="s">
        <v>2268</v>
      </c>
      <c r="D807" s="2" t="s">
        <v>42</v>
      </c>
      <c r="E807" s="2" t="s">
        <v>21</v>
      </c>
      <c r="F807" s="2" t="s">
        <v>15</v>
      </c>
      <c r="G807" s="2" t="s">
        <v>2269</v>
      </c>
      <c r="H807" s="2" t="s">
        <v>598</v>
      </c>
      <c r="I807" s="2" t="str">
        <f>IFERROR(__xludf.DUMMYFUNCTION("GOOGLETRANSLATE(C807,""fr"",""en"")"),"Satisfied with automotive insurance company.")</f>
        <v>Satisfied with automotive insurance company.</v>
      </c>
    </row>
    <row r="808" ht="15.75" customHeight="1">
      <c r="A808" s="2">
        <v>4.0</v>
      </c>
      <c r="B808" s="2" t="s">
        <v>2270</v>
      </c>
      <c r="C808" s="2" t="s">
        <v>2271</v>
      </c>
      <c r="D808" s="2" t="s">
        <v>32</v>
      </c>
      <c r="E808" s="2" t="s">
        <v>21</v>
      </c>
      <c r="F808" s="2" t="s">
        <v>15</v>
      </c>
      <c r="G808" s="2" t="s">
        <v>686</v>
      </c>
      <c r="H808" s="2" t="s">
        <v>104</v>
      </c>
      <c r="I808" s="2" t="str">
        <f>IFERROR(__xludf.DUMMYFUNCTION("GOOGLETRANSLATE(C808,""fr"",""en"")"),"Complete satisfaction of the advisor who with patience allowed me to conclude the insurance file ... no knowledge in computer science and telephone.")</f>
        <v>Complete satisfaction of the advisor who with patience allowed me to conclude the insurance file ... no knowledge in computer science and telephone.</v>
      </c>
    </row>
    <row r="809" ht="15.75" customHeight="1">
      <c r="A809" s="2">
        <v>2.0</v>
      </c>
      <c r="B809" s="2" t="s">
        <v>2272</v>
      </c>
      <c r="C809" s="2" t="s">
        <v>2273</v>
      </c>
      <c r="D809" s="2" t="s">
        <v>32</v>
      </c>
      <c r="E809" s="2" t="s">
        <v>21</v>
      </c>
      <c r="F809" s="2" t="s">
        <v>15</v>
      </c>
      <c r="G809" s="2" t="s">
        <v>804</v>
      </c>
      <c r="H809" s="2" t="s">
        <v>29</v>
      </c>
      <c r="I809" s="2" t="str">
        <f>IFERROR(__xludf.DUMMYFUNCTION("GOOGLETRANSLATE(C809,""fr"",""en"")"),"Simple and practical; 3 times re -order for lack of character really a problem at this level! So I lower my note for the second time! goodbye")</f>
        <v>Simple and practical; 3 times re -order for lack of character really a problem at this level! So I lower my note for the second time! goodbye</v>
      </c>
    </row>
    <row r="810" ht="15.75" customHeight="1">
      <c r="A810" s="2">
        <v>3.0</v>
      </c>
      <c r="B810" s="2" t="s">
        <v>2274</v>
      </c>
      <c r="C810" s="2" t="s">
        <v>2275</v>
      </c>
      <c r="D810" s="2" t="s">
        <v>32</v>
      </c>
      <c r="E810" s="2" t="s">
        <v>21</v>
      </c>
      <c r="F810" s="2" t="s">
        <v>15</v>
      </c>
      <c r="G810" s="2" t="s">
        <v>51</v>
      </c>
      <c r="H810" s="2" t="s">
        <v>52</v>
      </c>
      <c r="I810" s="2" t="str">
        <f>IFERROR(__xludf.DUMMYFUNCTION("GOOGLETRANSLATE(C810,""fr"",""en"")"),"I am satisfied with the service so far, it corresponds to my needs and I have not had to resort following a disaster. Having an approach to do now, I hope to continue to be satisfied in the future.")</f>
        <v>I am satisfied with the service so far, it corresponds to my needs and I have not had to resort following a disaster. Having an approach to do now, I hope to continue to be satisfied in the future.</v>
      </c>
    </row>
    <row r="811" ht="15.75" customHeight="1">
      <c r="A811" s="2">
        <v>1.0</v>
      </c>
      <c r="B811" s="2" t="s">
        <v>2276</v>
      </c>
      <c r="C811" s="2" t="s">
        <v>2277</v>
      </c>
      <c r="D811" s="2" t="s">
        <v>196</v>
      </c>
      <c r="E811" s="2" t="s">
        <v>82</v>
      </c>
      <c r="F811" s="2" t="s">
        <v>15</v>
      </c>
      <c r="G811" s="2" t="s">
        <v>497</v>
      </c>
      <c r="H811" s="2" t="s">
        <v>474</v>
      </c>
      <c r="I811" s="2" t="str">
        <f>IFERROR(__xludf.DUMMYFUNCTION("GOOGLETRANSLATE(C811,""fr"",""en"")"),"- Flee not happy with this insurance!
That concerns of the reimbursement registration no competence to believe that he pays for the remdement I hope for them who clean up on incompetent people! ...")</f>
        <v>- Flee not happy with this insurance!
That concerns of the reimbursement registration no competence to believe that he pays for the remdement I hope for them who clean up on incompetent people! ...</v>
      </c>
    </row>
    <row r="812" ht="15.75" customHeight="1">
      <c r="A812" s="2">
        <v>5.0</v>
      </c>
      <c r="B812" s="2" t="s">
        <v>2278</v>
      </c>
      <c r="C812" s="2" t="s">
        <v>2279</v>
      </c>
      <c r="D812" s="2" t="s">
        <v>26</v>
      </c>
      <c r="E812" s="2" t="s">
        <v>27</v>
      </c>
      <c r="F812" s="2" t="s">
        <v>15</v>
      </c>
      <c r="G812" s="2" t="s">
        <v>1225</v>
      </c>
      <c r="H812" s="2" t="s">
        <v>39</v>
      </c>
      <c r="I812" s="2" t="str">
        <f>IFERROR(__xludf.DUMMYFUNCTION("GOOGLETRANSLATE(C812,""fr"",""en"")"),"The procedure is simple, there is always someone available for telephone assistance. It's fast and efficient and prices are attractive")</f>
        <v>The procedure is simple, there is always someone available for telephone assistance. It's fast and efficient and prices are attractive</v>
      </c>
    </row>
    <row r="813" ht="15.75" customHeight="1">
      <c r="A813" s="2">
        <v>3.0</v>
      </c>
      <c r="B813" s="2" t="s">
        <v>2280</v>
      </c>
      <c r="C813" s="2" t="s">
        <v>2281</v>
      </c>
      <c r="D813" s="2" t="s">
        <v>32</v>
      </c>
      <c r="E813" s="2" t="s">
        <v>21</v>
      </c>
      <c r="F813" s="2" t="s">
        <v>15</v>
      </c>
      <c r="G813" s="2" t="s">
        <v>1533</v>
      </c>
      <c r="H813" s="2" t="s">
        <v>52</v>
      </c>
      <c r="I813" s="2" t="str">
        <f>IFERROR(__xludf.DUMMYFUNCTION("GOOGLETRANSLATE(C813,""fr"",""en"")"),"The prices are constantly increasing each year.
Good services, fast management in the event of a claim and rapid compensation too.
But non -existent loyalty service, to be reviewed.
")</f>
        <v>The prices are constantly increasing each year.
Good services, fast management in the event of a claim and rapid compensation too.
But non -existent loyalty service, to be reviewed.
</v>
      </c>
    </row>
    <row r="814" ht="15.75" customHeight="1">
      <c r="A814" s="2">
        <v>1.0</v>
      </c>
      <c r="B814" s="2" t="s">
        <v>2282</v>
      </c>
      <c r="C814" s="2" t="s">
        <v>2283</v>
      </c>
      <c r="D814" s="2" t="s">
        <v>839</v>
      </c>
      <c r="E814" s="2" t="s">
        <v>220</v>
      </c>
      <c r="F814" s="2" t="s">
        <v>15</v>
      </c>
      <c r="G814" s="2" t="s">
        <v>2284</v>
      </c>
      <c r="H814" s="2" t="s">
        <v>100</v>
      </c>
      <c r="I814" s="2" t="str">
        <f>IFERROR(__xludf.DUMMYFUNCTION("GOOGLETRANSLATE(C814,""fr"",""en"")"),"GENERALI customer for more than 20 years I dechant today and seeks to submit my contracts (property insurance, Madelin and PERP) on other less mercantile and more capable of listening and responding to their insured. Their only objectives for 3 years, to "&amp;"satisfy the yield of their actionarians on the back of the capital that we entrust to them. Loss of general confidence of many of their customers is obvious which they have nothing to do with. What arrogance. When will we have a class action on their unil"&amp;"ateral change in their guarantees ??")</f>
        <v>GENERALI customer for more than 20 years I dechant today and seeks to submit my contracts (property insurance, Madelin and PERP) on other less mercantile and more capable of listening and responding to their insured. Their only objectives for 3 years, to satisfy the yield of their actionarians on the back of the capital that we entrust to them. Loss of general confidence of many of their customers is obvious which they have nothing to do with. What arrogance. When will we have a class action on their unilateral change in their guarantees ??</v>
      </c>
    </row>
    <row r="815" ht="15.75" customHeight="1">
      <c r="A815" s="2">
        <v>4.0</v>
      </c>
      <c r="B815" s="2" t="s">
        <v>2285</v>
      </c>
      <c r="C815" s="2" t="s">
        <v>2286</v>
      </c>
      <c r="D815" s="2" t="s">
        <v>129</v>
      </c>
      <c r="E815" s="2" t="s">
        <v>21</v>
      </c>
      <c r="F815" s="2" t="s">
        <v>15</v>
      </c>
      <c r="G815" s="2" t="s">
        <v>1317</v>
      </c>
      <c r="H815" s="2" t="s">
        <v>56</v>
      </c>
      <c r="I815" s="2" t="str">
        <f>IFERROR(__xludf.DUMMYFUNCTION("GOOGLETRANSLATE(C815,""fr"",""en"")"),"I'm satisfied.
I am satisfied with the service and especially the fast and effective feedback.
I am also satisfied with agency staff.
Nothing to report at the moment.")</f>
        <v>I'm satisfied.
I am satisfied with the service and especially the fast and effective feedback.
I am also satisfied with agency staff.
Nothing to report at the moment.</v>
      </c>
    </row>
    <row r="816" ht="15.75" customHeight="1">
      <c r="A816" s="2">
        <v>5.0</v>
      </c>
      <c r="B816" s="2" t="s">
        <v>2287</v>
      </c>
      <c r="C816" s="2" t="s">
        <v>2288</v>
      </c>
      <c r="D816" s="2" t="s">
        <v>42</v>
      </c>
      <c r="E816" s="2" t="s">
        <v>21</v>
      </c>
      <c r="F816" s="2" t="s">
        <v>15</v>
      </c>
      <c r="G816" s="2" t="s">
        <v>2289</v>
      </c>
      <c r="H816" s="2" t="s">
        <v>950</v>
      </c>
      <c r="I816" s="2" t="str">
        <f>IFERROR(__xludf.DUMMYFUNCTION("GOOGLETRANSLATE(C816,""fr"",""en"")"),"Kindness and understanding.
The telephone advisers are extremely patience, which is rather pleasant.
I recommend this insurance without hesitation (and no, I do not work for them;)))")</f>
        <v>Kindness and understanding.
The telephone advisers are extremely patience, which is rather pleasant.
I recommend this insurance without hesitation (and no, I do not work for them;)))</v>
      </c>
    </row>
    <row r="817" ht="15.75" customHeight="1">
      <c r="A817" s="2">
        <v>1.0</v>
      </c>
      <c r="B817" s="2" t="s">
        <v>2290</v>
      </c>
      <c r="C817" s="2" t="s">
        <v>2291</v>
      </c>
      <c r="D817" s="2" t="s">
        <v>129</v>
      </c>
      <c r="E817" s="2" t="s">
        <v>33</v>
      </c>
      <c r="F817" s="2" t="s">
        <v>15</v>
      </c>
      <c r="G817" s="2" t="s">
        <v>2292</v>
      </c>
      <c r="H817" s="2" t="s">
        <v>78</v>
      </c>
      <c r="I817" s="2" t="str">
        <f>IFERROR(__xludf.DUMMYFUNCTION("GOOGLETRANSLATE(C817,""fr"",""en"")"),"customer for 25 years without claim
I break my baking sheet
No warranty, I should have taken an extension")</f>
        <v>customer for 25 years without claim
I break my baking sheet
No warranty, I should have taken an extension</v>
      </c>
    </row>
    <row r="818" ht="15.75" customHeight="1">
      <c r="A818" s="2">
        <v>1.0</v>
      </c>
      <c r="B818" s="2" t="s">
        <v>2293</v>
      </c>
      <c r="C818" s="2" t="s">
        <v>2294</v>
      </c>
      <c r="D818" s="2" t="s">
        <v>1038</v>
      </c>
      <c r="E818" s="2" t="s">
        <v>157</v>
      </c>
      <c r="F818" s="2" t="s">
        <v>15</v>
      </c>
      <c r="G818" s="2" t="s">
        <v>1142</v>
      </c>
      <c r="H818" s="2" t="s">
        <v>52</v>
      </c>
      <c r="I818" s="2" t="str">
        <f>IFERROR(__xludf.DUMMYFUNCTION("GOOGLETRANSLATE(C818,""fr"",""en"")"),"Hello,
I still have not received my pension from the first quarter of 2021.
I have been calling every week since the end of March, each time the person sees nothing that blocks, tells me that they make an emergency request, and nothing happens.
I"&amp;" sent several emails, without ever having the slightest explanation in return.
I understand at some point that it could be linked to the question of the industrial that I owe you.
But this was meant to me on April 2, 2021, after this first quarter, an"&amp;"d especially 7 months after I informed you that I have received an exceptional salary.
And I asked for a schedule that I pay every month.
On April 2, still after this first trimester, you asked me for a Pôle Emploi certificate. I provided it to you on"&amp;" April 7, I had no return.
On May 7, still after this first quarter, I received a request for documents from the doctor advice, and without any mention that the expectation of my response is suspensive of the payment of my pension.
For 2 months, aft"&amp;"er my pension has not been paid without any warning, I still have no explanation on your part, despite my many reminders.
You even closed the complaint I made on your site, without any explanation.
I therefore inform you that I decided to file a com"&amp;"plaint for mistreatment of a person in disability.
Cordially,
Olivier Mortreuil
")</f>
        <v>Hello,
I still have not received my pension from the first quarter of 2021.
I have been calling every week since the end of March, each time the person sees nothing that blocks, tells me that they make an emergency request, and nothing happens.
I sent several emails, without ever having the slightest explanation in return.
I understand at some point that it could be linked to the question of the industrial that I owe you.
But this was meant to me on April 2, 2021, after this first quarter, and especially 7 months after I informed you that I have received an exceptional salary.
And I asked for a schedule that I pay every month.
On April 2, still after this first trimester, you asked me for a Pôle Emploi certificate. I provided it to you on April 7, I had no return.
On May 7, still after this first quarter, I received a request for documents from the doctor advice, and without any mention that the expectation of my response is suspensive of the payment of my pension.
For 2 months, after my pension has not been paid without any warning, I still have no explanation on your part, despite my many reminders.
You even closed the complaint I made on your site, without any explanation.
I therefore inform you that I decided to file a complaint for mistreatment of a person in disability.
Cordially,
Olivier Mortreuil
</v>
      </c>
    </row>
    <row r="819" ht="15.75" customHeight="1">
      <c r="A819" s="2">
        <v>2.0</v>
      </c>
      <c r="B819" s="2" t="s">
        <v>2295</v>
      </c>
      <c r="C819" s="2" t="s">
        <v>2296</v>
      </c>
      <c r="D819" s="2" t="s">
        <v>650</v>
      </c>
      <c r="E819" s="2" t="s">
        <v>33</v>
      </c>
      <c r="F819" s="2" t="s">
        <v>15</v>
      </c>
      <c r="G819" s="2" t="s">
        <v>2297</v>
      </c>
      <c r="H819" s="2" t="s">
        <v>618</v>
      </c>
      <c r="I819" s="2" t="str">
        <f>IFERROR(__xludf.DUMMYFUNCTION("GOOGLETRANSLATE(C819,""fr"",""en"")"),"After a burglary in it has been waiting for more than three months no news from my file, it is impossible to reach Sogessur by phone. After several attempts (more than thirty calls) I succeed in contacting them, their response and that my file and mistake"&amp;"nly close their part, since more news.")</f>
        <v>After a burglary in it has been waiting for more than three months no news from my file, it is impossible to reach Sogessur by phone. After several attempts (more than thirty calls) I succeed in contacting them, their response and that my file and mistakenly close their part, since more news.</v>
      </c>
    </row>
    <row r="820" ht="15.75" customHeight="1">
      <c r="A820" s="2">
        <v>5.0</v>
      </c>
      <c r="B820" s="2" t="s">
        <v>2298</v>
      </c>
      <c r="C820" s="2" t="s">
        <v>2299</v>
      </c>
      <c r="D820" s="2" t="s">
        <v>32</v>
      </c>
      <c r="E820" s="2" t="s">
        <v>21</v>
      </c>
      <c r="F820" s="2" t="s">
        <v>15</v>
      </c>
      <c r="G820" s="2" t="s">
        <v>2171</v>
      </c>
      <c r="H820" s="2" t="s">
        <v>48</v>
      </c>
      <c r="I820" s="2" t="str">
        <f>IFERROR(__xludf.DUMMYFUNCTION("GOOGLETRANSLATE(C820,""fr"",""en"")"),"I am satisfied with the service
Very pleasant and serious person. She was very well dealt with me. A very serious follow -up
great I highly recommend")</f>
        <v>I am satisfied with the service
Very pleasant and serious person. She was very well dealt with me. A very serious follow -up
great I highly recommend</v>
      </c>
    </row>
    <row r="821" ht="15.75" customHeight="1">
      <c r="A821" s="2">
        <v>5.0</v>
      </c>
      <c r="B821" s="2" t="s">
        <v>2300</v>
      </c>
      <c r="C821" s="2" t="s">
        <v>2301</v>
      </c>
      <c r="D821" s="2" t="s">
        <v>42</v>
      </c>
      <c r="E821" s="2" t="s">
        <v>21</v>
      </c>
      <c r="F821" s="2" t="s">
        <v>15</v>
      </c>
      <c r="G821" s="2" t="s">
        <v>2302</v>
      </c>
      <c r="H821" s="2" t="s">
        <v>464</v>
      </c>
      <c r="I821" s="2" t="str">
        <f>IFERROR(__xludf.DUMMYFUNCTION("GOOGLETRANSLATE(C821,""fr"",""en"")"),"Fully satisfied by these first contacts and formality as well as
by the proposed price. Think back to you for other contracts, notably home.")</f>
        <v>Fully satisfied by these first contacts and formality as well as
by the proposed price. Think back to you for other contracts, notably home.</v>
      </c>
    </row>
    <row r="822" ht="15.75" customHeight="1">
      <c r="A822" s="2">
        <v>3.0</v>
      </c>
      <c r="B822" s="2" t="s">
        <v>2303</v>
      </c>
      <c r="C822" s="2" t="s">
        <v>2304</v>
      </c>
      <c r="D822" s="2" t="s">
        <v>303</v>
      </c>
      <c r="E822" s="2" t="s">
        <v>60</v>
      </c>
      <c r="F822" s="2" t="s">
        <v>15</v>
      </c>
      <c r="G822" s="2" t="s">
        <v>2305</v>
      </c>
      <c r="H822" s="2" t="s">
        <v>315</v>
      </c>
      <c r="I822" s="2" t="str">
        <f>IFERROR(__xludf.DUMMYFUNCTION("GOOGLETRANSLATE(C822,""fr"",""en"")"),"I had an appointment this Tuesday 26/11/2019 at 2 p.m. at the Macif de Castellane agency in Marseille (13006) to finalize insurance on a 125 scooter.
The person who received me told me (1) that I had to pass training in driving motorcycles and l5e and (2"&amp;") that the Macif does not take up the penalty of car insurance to apply it at motorcycle insurance 125.
Obviously these elements have proven to be false but if I had not been vigilant I would have spent money and time to iron a training course and pay mo"&amp;"re for my Macif insurance contributions.
Bravo the quality of service!")</f>
        <v>I had an appointment this Tuesday 26/11/2019 at 2 p.m. at the Macif de Castellane agency in Marseille (13006) to finalize insurance on a 125 scooter.
The person who received me told me (1) that I had to pass training in driving motorcycles and l5e and (2) that the Macif does not take up the penalty of car insurance to apply it at motorcycle insurance 125.
Obviously these elements have proven to be false but if I had not been vigilant I would have spent money and time to iron a training course and pay more for my Macif insurance contributions.
Bravo the quality of service!</v>
      </c>
    </row>
    <row r="823" ht="15.75" customHeight="1">
      <c r="A823" s="2">
        <v>4.0</v>
      </c>
      <c r="B823" s="2" t="s">
        <v>2306</v>
      </c>
      <c r="C823" s="2" t="s">
        <v>2307</v>
      </c>
      <c r="D823" s="2" t="s">
        <v>32</v>
      </c>
      <c r="E823" s="2" t="s">
        <v>21</v>
      </c>
      <c r="F823" s="2" t="s">
        <v>15</v>
      </c>
      <c r="G823" s="2" t="s">
        <v>2308</v>
      </c>
      <c r="H823" s="2" t="s">
        <v>95</v>
      </c>
      <c r="I823" s="2" t="str">
        <f>IFERROR(__xludf.DUMMYFUNCTION("GOOGLETRANSLATE(C823,""fr"",""en"")"),"The cheapest insurance that I found with good customer service as well as a speed in the procedures, and also fast management during disaster with vehicle loan.")</f>
        <v>The cheapest insurance that I found with good customer service as well as a speed in the procedures, and also fast management during disaster with vehicle loan.</v>
      </c>
    </row>
    <row r="824" ht="15.75" customHeight="1">
      <c r="A824" s="2">
        <v>1.0</v>
      </c>
      <c r="B824" s="2" t="s">
        <v>2309</v>
      </c>
      <c r="C824" s="2" t="s">
        <v>2310</v>
      </c>
      <c r="D824" s="2" t="s">
        <v>135</v>
      </c>
      <c r="E824" s="2" t="s">
        <v>60</v>
      </c>
      <c r="F824" s="2" t="s">
        <v>15</v>
      </c>
      <c r="G824" s="2" t="s">
        <v>2311</v>
      </c>
      <c r="H824" s="2" t="s">
        <v>202</v>
      </c>
      <c r="I824" s="2" t="str">
        <f>IFERROR(__xludf.DUMMYFUNCTION("GOOGLETRANSLATE(C824,""fr"",""en"")"),"No one awaiting reimbursement of a non -responsible claim because there is always a part of a part or because the invoice received is not suitable, dismaying I envisage legal action for denial of service. No communication no response a disaster")</f>
        <v>No one awaiting reimbursement of a non -responsible claim because there is always a part of a part or because the invoice received is not suitable, dismaying I envisage legal action for denial of service. No communication no response a disaster</v>
      </c>
    </row>
    <row r="825" ht="15.75" customHeight="1">
      <c r="A825" s="2">
        <v>3.0</v>
      </c>
      <c r="B825" s="2" t="s">
        <v>2312</v>
      </c>
      <c r="C825" s="2" t="s">
        <v>2313</v>
      </c>
      <c r="D825" s="2" t="s">
        <v>42</v>
      </c>
      <c r="E825" s="2" t="s">
        <v>21</v>
      </c>
      <c r="F825" s="2" t="s">
        <v>15</v>
      </c>
      <c r="G825" s="2" t="s">
        <v>386</v>
      </c>
      <c r="H825" s="2" t="s">
        <v>52</v>
      </c>
      <c r="I825" s="2" t="str">
        <f>IFERROR(__xludf.DUMMYFUNCTION("GOOGLETRANSLATE(C825,""fr"",""en"")"),"Ras I haven't tried it yet so I would tell you later. I hope I have no worries or spreading to do your services. But a good welcome anyway.")</f>
        <v>Ras I haven't tried it yet so I would tell you later. I hope I have no worries or spreading to do your services. But a good welcome anyway.</v>
      </c>
    </row>
    <row r="826" ht="15.75" customHeight="1">
      <c r="A826" s="2">
        <v>3.0</v>
      </c>
      <c r="B826" s="2" t="s">
        <v>2314</v>
      </c>
      <c r="C826" s="2" t="s">
        <v>2315</v>
      </c>
      <c r="D826" s="2" t="s">
        <v>32</v>
      </c>
      <c r="E826" s="2" t="s">
        <v>21</v>
      </c>
      <c r="F826" s="2" t="s">
        <v>15</v>
      </c>
      <c r="G826" s="2" t="s">
        <v>591</v>
      </c>
      <c r="H826" s="2" t="s">
        <v>52</v>
      </c>
      <c r="I826" s="2" t="str">
        <f>IFERROR(__xludf.DUMMYFUNCTION("GOOGLETRANSLATE(C826,""fr"",""en"")"),"Very simple damage not to have subscribed rather, it is heartbreaking to see in your competitors high prices and a quality of response that leaves to desire")</f>
        <v>Very simple damage not to have subscribed rather, it is heartbreaking to see in your competitors high prices and a quality of response that leaves to desire</v>
      </c>
    </row>
    <row r="827" ht="15.75" customHeight="1">
      <c r="A827" s="2">
        <v>4.0</v>
      </c>
      <c r="B827" s="2" t="s">
        <v>2316</v>
      </c>
      <c r="C827" s="2" t="s">
        <v>2317</v>
      </c>
      <c r="D827" s="2" t="s">
        <v>129</v>
      </c>
      <c r="E827" s="2" t="s">
        <v>21</v>
      </c>
      <c r="F827" s="2" t="s">
        <v>15</v>
      </c>
      <c r="G827" s="2" t="s">
        <v>2318</v>
      </c>
      <c r="H827" s="2" t="s">
        <v>29</v>
      </c>
      <c r="I827" s="2" t="str">
        <f>IFERROR(__xludf.DUMMYFUNCTION("GOOGLETRANSLATE(C827,""fr"",""en"")"),"I am satisfied with the service, the prices suit me, the intervention times in terms of assistance are very fast, dialogue with advisers are very courteous in a very good word price, insurance and service")</f>
        <v>I am satisfied with the service, the prices suit me, the intervention times in terms of assistance are very fast, dialogue with advisers are very courteous in a very good word price, insurance and service</v>
      </c>
    </row>
    <row r="828" ht="15.75" customHeight="1">
      <c r="A828" s="2">
        <v>4.0</v>
      </c>
      <c r="B828" s="2" t="s">
        <v>2319</v>
      </c>
      <c r="C828" s="2" t="s">
        <v>2320</v>
      </c>
      <c r="D828" s="2" t="s">
        <v>32</v>
      </c>
      <c r="E828" s="2" t="s">
        <v>21</v>
      </c>
      <c r="F828" s="2" t="s">
        <v>15</v>
      </c>
      <c r="G828" s="2" t="s">
        <v>1669</v>
      </c>
      <c r="H828" s="2" t="s">
        <v>104</v>
      </c>
      <c r="I828" s="2" t="str">
        <f>IFERROR(__xludf.DUMMYFUNCTION("GOOGLETRANSLATE(C828,""fr"",""en"")"),"I am satisfied with your services, but I would like to have discounts or discounts more regularly from the number of years that I have taken out in your insurance.")</f>
        <v>I am satisfied with your services, but I would like to have discounts or discounts more regularly from the number of years that I have taken out in your insurance.</v>
      </c>
    </row>
    <row r="829" ht="15.75" customHeight="1">
      <c r="A829" s="2">
        <v>2.0</v>
      </c>
      <c r="B829" s="2" t="s">
        <v>2321</v>
      </c>
      <c r="C829" s="2" t="s">
        <v>2322</v>
      </c>
      <c r="D829" s="2" t="s">
        <v>303</v>
      </c>
      <c r="E829" s="2" t="s">
        <v>33</v>
      </c>
      <c r="F829" s="2" t="s">
        <v>15</v>
      </c>
      <c r="G829" s="2" t="s">
        <v>1467</v>
      </c>
      <c r="H829" s="2" t="s">
        <v>52</v>
      </c>
      <c r="I829" s="2" t="str">
        <f>IFERROR(__xludf.DUMMYFUNCTION("GOOGLETRANSLATE(C829,""fr"",""en"")"),"External expert service obviously to the orders of insurance to minimize the consequences of water damage despite the conclusions made by the leak search specialist and despite the videos that prove during the repair intervention that the additional damag"&amp;"e should have been taken into account. The only solution: go against an expertise and knowing that the insurance expert will not agree with your expert, you will finish in court. It is very well done to push you to give up especially if you have neither t"&amp;"he time nor the means to initiate such a procedure.
Furniture assessment to third party of their values ​​and systematic application of 70% obsolescence. Yet 2 years earlier, the Macif called me to update my contract and asked me to confirm the estimate "&amp;"of the value of the furniture. She was careful at that time to tell me that only 30% of their values ​​would be taken into account.
Finally, a part painted lime finished 2 months before the disaster was affected by the water damage. Only the affected wal"&amp;"l is taken into account. There will necessarily be a difference in shade with the whole. There too, there is no need to discuss and in addition you are applied to you a dilapidation of 20%.")</f>
        <v>External expert service obviously to the orders of insurance to minimize the consequences of water damage despite the conclusions made by the leak search specialist and despite the videos that prove during the repair intervention that the additional damage should have been taken into account. The only solution: go against an expertise and knowing that the insurance expert will not agree with your expert, you will finish in court. It is very well done to push you to give up especially if you have neither the time nor the means to initiate such a procedure.
Furniture assessment to third party of their values ​​and systematic application of 70% obsolescence. Yet 2 years earlier, the Macif called me to update my contract and asked me to confirm the estimate of the value of the furniture. She was careful at that time to tell me that only 30% of their values ​​would be taken into account.
Finally, a part painted lime finished 2 months before the disaster was affected by the water damage. Only the affected wall is taken into account. There will necessarily be a difference in shade with the whole. There too, there is no need to discuss and in addition you are applied to you a dilapidation of 20%.</v>
      </c>
    </row>
    <row r="830" ht="15.75" customHeight="1">
      <c r="A830" s="2">
        <v>5.0</v>
      </c>
      <c r="B830" s="2" t="s">
        <v>2323</v>
      </c>
      <c r="C830" s="2" t="s">
        <v>2324</v>
      </c>
      <c r="D830" s="2" t="s">
        <v>81</v>
      </c>
      <c r="E830" s="2" t="s">
        <v>82</v>
      </c>
      <c r="F830" s="2" t="s">
        <v>15</v>
      </c>
      <c r="G830" s="2" t="s">
        <v>2325</v>
      </c>
      <c r="H830" s="2" t="s">
        <v>427</v>
      </c>
      <c r="I830" s="2" t="str">
        <f>IFERROR(__xludf.DUMMYFUNCTION("GOOGLETRANSLATE(C830,""fr"",""en"")"),"I contacted the customer service and the wait on the phone was quick the Gwendal A was perfect his explanations was clear and fast")</f>
        <v>I contacted the customer service and the wait on the phone was quick the Gwendal A was perfect his explanations was clear and fast</v>
      </c>
    </row>
    <row r="831" ht="15.75" customHeight="1">
      <c r="A831" s="2">
        <v>4.0</v>
      </c>
      <c r="B831" s="2" t="s">
        <v>2326</v>
      </c>
      <c r="C831" s="2" t="s">
        <v>2327</v>
      </c>
      <c r="D831" s="2" t="s">
        <v>267</v>
      </c>
      <c r="E831" s="2" t="s">
        <v>21</v>
      </c>
      <c r="F831" s="2" t="s">
        <v>15</v>
      </c>
      <c r="G831" s="2" t="s">
        <v>2328</v>
      </c>
      <c r="H831" s="2" t="s">
        <v>56</v>
      </c>
      <c r="I831" s="2" t="str">
        <f>IFERROR(__xludf.DUMMYFUNCTION("GOOGLETRANSLATE(C831,""fr"",""en"")"),"Accident alone in question, I appreciated the care of the repair with the garage without having a single penny to pay. Before I appreciate the monitoring of the implementation of repairs, I had a Pacifica call To find out or were the repair. Alright")</f>
        <v>Accident alone in question, I appreciated the care of the repair with the garage without having a single penny to pay. Before I appreciate the monitoring of the implementation of repairs, I had a Pacifica call To find out or were the repair. Alright</v>
      </c>
    </row>
    <row r="832" ht="15.75" customHeight="1">
      <c r="A832" s="2">
        <v>4.0</v>
      </c>
      <c r="B832" s="2" t="s">
        <v>2329</v>
      </c>
      <c r="C832" s="2" t="s">
        <v>2330</v>
      </c>
      <c r="D832" s="2" t="s">
        <v>196</v>
      </c>
      <c r="E832" s="2" t="s">
        <v>82</v>
      </c>
      <c r="F832" s="2" t="s">
        <v>15</v>
      </c>
      <c r="G832" s="2" t="s">
        <v>1445</v>
      </c>
      <c r="H832" s="2" t="s">
        <v>432</v>
      </c>
      <c r="I832" s="2" t="str">
        <f>IFERROR(__xludf.DUMMYFUNCTION("GOOGLETRANSLATE(C832,""fr"",""en"")"),"Brokers with more than doubtful methods who spoil the interest in bringing to NEOLIANE offers, who deserve to be studied.
I could see their seriousness and bring them back the information by calling them directly.
Erika, very well managed my call, and c"&amp;"learly explained and accompanied me in the procedure to retract.")</f>
        <v>Brokers with more than doubtful methods who spoil the interest in bringing to NEOLIANE offers, who deserve to be studied.
I could see their seriousness and bring them back the information by calling them directly.
Erika, very well managed my call, and clearly explained and accompanied me in the procedure to retract.</v>
      </c>
    </row>
    <row r="833" ht="15.75" customHeight="1">
      <c r="A833" s="2">
        <v>2.0</v>
      </c>
      <c r="B833" s="2" t="s">
        <v>2331</v>
      </c>
      <c r="C833" s="2" t="s">
        <v>2332</v>
      </c>
      <c r="D833" s="2" t="s">
        <v>129</v>
      </c>
      <c r="E833" s="2" t="s">
        <v>33</v>
      </c>
      <c r="F833" s="2" t="s">
        <v>15</v>
      </c>
      <c r="G833" s="2" t="s">
        <v>1320</v>
      </c>
      <c r="H833" s="2" t="s">
        <v>222</v>
      </c>
      <c r="I833" s="2" t="str">
        <f>IFERROR(__xludf.DUMMYFUNCTION("GOOGLETRANSLATE(C833,""fr"",""en"")"),"to flee. Interesting price but be careful if you don't need anything you are at the good insurer who calls you my dear member. Interlocutors change regularly.")</f>
        <v>to flee. Interesting price but be careful if you don't need anything you are at the good insurer who calls you my dear member. Interlocutors change regularly.</v>
      </c>
    </row>
    <row r="834" ht="15.75" customHeight="1">
      <c r="A834" s="2">
        <v>1.0</v>
      </c>
      <c r="B834" s="2" t="s">
        <v>2333</v>
      </c>
      <c r="C834" s="2" t="s">
        <v>2334</v>
      </c>
      <c r="D834" s="2" t="s">
        <v>196</v>
      </c>
      <c r="E834" s="2" t="s">
        <v>82</v>
      </c>
      <c r="F834" s="2" t="s">
        <v>15</v>
      </c>
      <c r="G834" s="2" t="s">
        <v>2335</v>
      </c>
      <c r="H834" s="2" t="s">
        <v>250</v>
      </c>
      <c r="I834" s="2" t="str">
        <f>IFERROR(__xludf.DUMMYFUNCTION("GOOGLETRANSLATE(C834,""fr"",""en"")"),"Big disappointment in terms of the Vitality 1 warranty.
I pay € 40.05/month and they reimburse me on the purchase of a frame + a pair of progressive glasses only 0.15 cts. What a shame !!!")</f>
        <v>Big disappointment in terms of the Vitality 1 warranty.
I pay € 40.05/month and they reimburse me on the purchase of a frame + a pair of progressive glasses only 0.15 cts. What a shame !!!</v>
      </c>
    </row>
    <row r="835" ht="15.75" customHeight="1">
      <c r="A835" s="2">
        <v>2.0</v>
      </c>
      <c r="B835" s="2" t="s">
        <v>2336</v>
      </c>
      <c r="C835" s="2" t="s">
        <v>2337</v>
      </c>
      <c r="D835" s="2" t="s">
        <v>303</v>
      </c>
      <c r="E835" s="2" t="s">
        <v>33</v>
      </c>
      <c r="F835" s="2" t="s">
        <v>15</v>
      </c>
      <c r="G835" s="2" t="s">
        <v>1592</v>
      </c>
      <c r="H835" s="2" t="s">
        <v>287</v>
      </c>
      <c r="I835" s="2" t="str">
        <f>IFERROR(__xludf.DUMMYFUNCTION("GOOGLETRANSLATE(C835,""fr"",""en"")"),"I had 2 claims in 2019. To date, none is treated.
The first following a power outage last August. Macif subtracts claims management from an expert firm. Macif advisers do not even make mailbox because they do not even transfer exchanges to the expertise "&amp;"firm. The Macif had before becoming a bank of advisers who were able to manage claims: this is no longer the case!
Flee this ""insurance""")</f>
        <v>I had 2 claims in 2019. To date, none is treated.
The first following a power outage last August. Macif subtracts claims management from an expert firm. Macif advisers do not even make mailbox because they do not even transfer exchanges to the expertise firm. The Macif had before becoming a bank of advisers who were able to manage claims: this is no longer the case!
Flee this "insurance"</v>
      </c>
    </row>
    <row r="836" ht="15.75" customHeight="1">
      <c r="A836" s="2">
        <v>5.0</v>
      </c>
      <c r="B836" s="2" t="s">
        <v>2338</v>
      </c>
      <c r="C836" s="2" t="s">
        <v>2339</v>
      </c>
      <c r="D836" s="2" t="s">
        <v>32</v>
      </c>
      <c r="E836" s="2" t="s">
        <v>21</v>
      </c>
      <c r="F836" s="2" t="s">
        <v>15</v>
      </c>
      <c r="G836" s="2" t="s">
        <v>787</v>
      </c>
      <c r="H836" s="2" t="s">
        <v>29</v>
      </c>
      <c r="I836" s="2" t="str">
        <f>IFERROR(__xludf.DUMMYFUNCTION("GOOGLETRANSLATE(C836,""fr"",""en"")"),"I am satisfied with the service and the quotes propose, the correct sound rates, the guarantees of coverage its amply sufficient in view of the proposed prices")</f>
        <v>I am satisfied with the service and the quotes propose, the correct sound rates, the guarantees of coverage its amply sufficient in view of the proposed prices</v>
      </c>
    </row>
    <row r="837" ht="15.75" customHeight="1">
      <c r="A837" s="2">
        <v>1.0</v>
      </c>
      <c r="B837" s="2" t="s">
        <v>2340</v>
      </c>
      <c r="C837" s="2" t="s">
        <v>2341</v>
      </c>
      <c r="D837" s="2" t="s">
        <v>1511</v>
      </c>
      <c r="E837" s="2" t="s">
        <v>60</v>
      </c>
      <c r="F837" s="2" t="s">
        <v>15</v>
      </c>
      <c r="G837" s="2" t="s">
        <v>1445</v>
      </c>
      <c r="H837" s="2" t="s">
        <v>432</v>
      </c>
      <c r="I837" s="2" t="str">
        <f>IFERROR(__xludf.DUMMYFUNCTION("GOOGLETRANSLATE(C837,""fr"",""en"")"),"RUN AWAY.
On 01/21/2019 I declared two claims (motorcycle road accidents), one occurred on 01/17/2019, the other on 01/21/2019.
I was responsible for the first and it only took them one week to tell me that I will not be compensated.
As for the s"&amp;"econd claim, while the other implicit driver kept repeating that she was undeniably responsible at the scene of the accident, I still have no response as to the responsibilities incurred thirteen weeks later.
The contact details of the accident witness"&amp;"es were provided at the end of January but the associated testimonies were sent by the broker to the insurance company that a month later, at the end of February.
Without news, I regularly recalled to be informed of the progress of the file, still ""aw"&amp;"aiting the company's return"" which seems to never come and which Peyrac refuses to relaunch regularly when I request it.
I carry out a new telephone reminder on 04/15/2019 which gives rise to an answer by email the next day: the insurance company has "&amp;"in fact never received the testimony sent at the end of February and no one took the trouble to Check that the parts were received. It actually seems that no one follows the file.
04/24/2019 I send an email summarizing all these steps and requiring ans"&amp;"wers as well as a commercial gesture. No answer.
So I remind Peyrac the next day who confirms me, however, having received my email well (but it is once again up to me to fight so that my file is processed).
During this phone call, I am explained that"&amp;" the 7 weeks lost to wait for the company to receive the testimony are because ""usually when an email is not distributed we receive a notification"". I am also explained to me that the guard costs (10 euros per day appearing on the quote) remain at my ex"&amp;"pense while the motorcycle was initially deposited more than 80 days ago in the garage and that seven weeks were lost for lack of follow up. Regarding my damaged equipment (leather/boots/helmet), I am told that it is up to me to contact the expert so that"&amp;" he can examine it and of course, concerning the commercial gesture, we systematically get around to avoid avoiding to answer them.
I am still waiting for ""a return of the company as soon as possible"", in the meantime the motorcycle does not start an"&amp;"ymore because after 3 months inactive in the garage, it is flat. Deaf ear as to my questions on this subject too, I imagine that it will remain at my expense, just like the public transport subscription that I have to pay for three months. And I also have"&amp;" to resolve to depend on a colleague to go to my training but still no mention of this element by phone. ""It doesn't matter"".
In summary, unless you appreciate the nameless galleys, flee as quickly and far as possible, if not good luck.")</f>
        <v>RUN AWAY.
On 01/21/2019 I declared two claims (motorcycle road accidents), one occurred on 01/17/2019, the other on 01/21/2019.
I was responsible for the first and it only took them one week to tell me that I will not be compensated.
As for the second claim, while the other implicit driver kept repeating that she was undeniably responsible at the scene of the accident, I still have no response as to the responsibilities incurred thirteen weeks later.
The contact details of the accident witnesses were provided at the end of January but the associated testimonies were sent by the broker to the insurance company that a month later, at the end of February.
Without news, I regularly recalled to be informed of the progress of the file, still "awaiting the company's return" which seems to never come and which Peyrac refuses to relaunch regularly when I request it.
I carry out a new telephone reminder on 04/15/2019 which gives rise to an answer by email the next day: the insurance company has in fact never received the testimony sent at the end of February and no one took the trouble to Check that the parts were received. It actually seems that no one follows the file.
04/24/2019 I send an email summarizing all these steps and requiring answers as well as a commercial gesture. No answer.
So I remind Peyrac the next day who confirms me, however, having received my email well (but it is once again up to me to fight so that my file is processed).
During this phone call, I am explained that the 7 weeks lost to wait for the company to receive the testimony are because "usually when an email is not distributed we receive a notification". I am also explained to me that the guard costs (10 euros per day appearing on the quote) remain at my expense while the motorcycle was initially deposited more than 80 days ago in the garage and that seven weeks were lost for lack of follow up. Regarding my damaged equipment (leather/boots/helmet), I am told that it is up to me to contact the expert so that he can examine it and of course, concerning the commercial gesture, we systematically get around to avoid avoiding to answer them.
I am still waiting for "a return of the company as soon as possible", in the meantime the motorcycle does not start anymore because after 3 months inactive in the garage, it is flat. Deaf ear as to my questions on this subject too, I imagine that it will remain at my expense, just like the public transport subscription that I have to pay for three months. And I also have to resolve to depend on a colleague to go to my training but still no mention of this element by phone. "It doesn't matter".
In summary, unless you appreciate the nameless galleys, flee as quickly and far as possible, if not good luck.</v>
      </c>
    </row>
    <row r="838" ht="15.75" customHeight="1">
      <c r="A838" s="2">
        <v>1.0</v>
      </c>
      <c r="B838" s="2" t="s">
        <v>2342</v>
      </c>
      <c r="C838" s="2" t="s">
        <v>2343</v>
      </c>
      <c r="D838" s="2" t="s">
        <v>145</v>
      </c>
      <c r="E838" s="2" t="s">
        <v>21</v>
      </c>
      <c r="F838" s="2" t="s">
        <v>15</v>
      </c>
      <c r="G838" s="2" t="s">
        <v>2344</v>
      </c>
      <c r="H838" s="2" t="s">
        <v>177</v>
      </c>
      <c r="I838" s="2" t="str">
        <f>IFERROR(__xludf.DUMMYFUNCTION("GOOGLETRANSLATE(C838,""fr"",""en"")"),"Hi there,
There is reason to question the interactions between the platforms ""the ferret, ¨ASSURLANDE ET MAAF: the maaf has it actions in these companies or she pays the direct commissions, t These platforms to plant their customers?
Since I have bee"&amp;"n at the maaf I have no longer receive proposals at attractive prices cheaper than the maaf which reaches Malgram Confainment and reduction in % of the bonuses is at the same price almost as the previous year")</f>
        <v>Hi there,
There is reason to question the interactions between the platforms "the ferret, ¨ASSURLANDE ET MAAF: the maaf has it actions in these companies or she pays the direct commissions, t These platforms to plant their customers?
Since I have been at the maaf I have no longer receive proposals at attractive prices cheaper than the maaf which reaches Malgram Confainment and reduction in % of the bonuses is at the same price almost as the previous year</v>
      </c>
    </row>
    <row r="839" ht="15.75" customHeight="1">
      <c r="A839" s="2">
        <v>2.0</v>
      </c>
      <c r="B839" s="2" t="s">
        <v>2345</v>
      </c>
      <c r="C839" s="2" t="s">
        <v>2346</v>
      </c>
      <c r="D839" s="2" t="s">
        <v>72</v>
      </c>
      <c r="E839" s="2" t="s">
        <v>21</v>
      </c>
      <c r="F839" s="2" t="s">
        <v>15</v>
      </c>
      <c r="G839" s="2" t="s">
        <v>2347</v>
      </c>
      <c r="H839" s="2" t="s">
        <v>427</v>
      </c>
      <c r="I839" s="2" t="str">
        <f>IFERROR(__xludf.DUMMYFUNCTION("GOOGLETRANSLATE(C839,""fr"",""en"")"),"Everything is fine until the day you have a disaster!
I will not go into the details of the file but the insurance supports the claim on my vehicle.
Since November 19, no person from the sinister service called me to inform me of the file follow -up.
I"&amp;" am always looking for information between the expert, the approved repairer and the sinister service. Each of my calls, the ""file manager"" is awaiting return and unavailable to answer me.
An advisor even said to me, a few days ago: ""You are still t"&amp;"he owner of the vehicle, you can take it, have it repaired at your expense, we will reimburse after.""
On what basis? he did not know!
What is the use of taking insurance (excluding compulsory)?")</f>
        <v>Everything is fine until the day you have a disaster!
I will not go into the details of the file but the insurance supports the claim on my vehicle.
Since November 19, no person from the sinister service called me to inform me of the file follow -up.
I am always looking for information between the expert, the approved repairer and the sinister service. Each of my calls, the "file manager" is awaiting return and unavailable to answer me.
An advisor even said to me, a few days ago: "You are still the owner of the vehicle, you can take it, have it repaired at your expense, we will reimburse after."
On what basis? he did not know!
What is the use of taking insurance (excluding compulsory)?</v>
      </c>
    </row>
    <row r="840" ht="15.75" customHeight="1">
      <c r="A840" s="2">
        <v>4.0</v>
      </c>
      <c r="B840" s="2" t="s">
        <v>2348</v>
      </c>
      <c r="C840" s="2" t="s">
        <v>2349</v>
      </c>
      <c r="D840" s="2" t="s">
        <v>32</v>
      </c>
      <c r="E840" s="2" t="s">
        <v>21</v>
      </c>
      <c r="F840" s="2" t="s">
        <v>15</v>
      </c>
      <c r="G840" s="2" t="s">
        <v>1751</v>
      </c>
      <c r="H840" s="2" t="s">
        <v>62</v>
      </c>
      <c r="I840" s="2" t="str">
        <f>IFERROR(__xludf.DUMMYFUNCTION("GOOGLETRANSLATE(C840,""fr"",""en"")"),"I am satisfied with the service, but I have never had a disaster to treat, the one I declare today and the first in 4 and a half years. So we will see how it goes")</f>
        <v>I am satisfied with the service, but I have never had a disaster to treat, the one I declare today and the first in 4 and a half years. So we will see how it goes</v>
      </c>
    </row>
    <row r="841" ht="15.75" customHeight="1">
      <c r="A841" s="2">
        <v>4.0</v>
      </c>
      <c r="B841" s="2" t="s">
        <v>2350</v>
      </c>
      <c r="C841" s="2" t="s">
        <v>2351</v>
      </c>
      <c r="D841" s="2" t="s">
        <v>42</v>
      </c>
      <c r="E841" s="2" t="s">
        <v>21</v>
      </c>
      <c r="F841" s="2" t="s">
        <v>15</v>
      </c>
      <c r="G841" s="2" t="s">
        <v>537</v>
      </c>
      <c r="H841" s="2" t="s">
        <v>62</v>
      </c>
      <c r="I841" s="2" t="str">
        <f>IFERROR(__xludf.DUMMYFUNCTION("GOOGLETRANSLATE(C841,""fr"",""en"")"),"Perfect for young driver because the prices are attractive.
Also, it is easy to subscribe to their insurance by internet.
Possibility of super sponsorship")</f>
        <v>Perfect for young driver because the prices are attractive.
Also, it is easy to subscribe to their insurance by internet.
Possibility of super sponsorship</v>
      </c>
    </row>
    <row r="842" ht="15.75" customHeight="1">
      <c r="A842" s="2">
        <v>3.0</v>
      </c>
      <c r="B842" s="2" t="s">
        <v>2352</v>
      </c>
      <c r="C842" s="2" t="s">
        <v>2353</v>
      </c>
      <c r="D842" s="2" t="s">
        <v>20</v>
      </c>
      <c r="E842" s="2" t="s">
        <v>33</v>
      </c>
      <c r="F842" s="2" t="s">
        <v>15</v>
      </c>
      <c r="G842" s="2" t="s">
        <v>2354</v>
      </c>
      <c r="H842" s="2" t="s">
        <v>222</v>
      </c>
      <c r="I842" s="2" t="str">
        <f>IFERROR(__xludf.DUMMYFUNCTION("GOOGLETRANSLATE(C842,""fr"",""en"")"),"A tree of the wood of the neighbor suite storm Zeus fell on my roof. Bachage made and supported by Maif. The carpenter has sent Devis Works Reprints to MAIF for agreement. For 35 days for a news from Maif .. I don't understand ..")</f>
        <v>A tree of the wood of the neighbor suite storm Zeus fell on my roof. Bachage made and supported by Maif. The carpenter has sent Devis Works Reprints to MAIF for agreement. For 35 days for a news from Maif .. I don't understand ..</v>
      </c>
    </row>
    <row r="843" ht="15.75" customHeight="1">
      <c r="A843" s="2">
        <v>4.0</v>
      </c>
      <c r="B843" s="2" t="s">
        <v>2355</v>
      </c>
      <c r="C843" s="2" t="s">
        <v>2356</v>
      </c>
      <c r="D843" s="2" t="s">
        <v>32</v>
      </c>
      <c r="E843" s="2" t="s">
        <v>21</v>
      </c>
      <c r="F843" s="2" t="s">
        <v>15</v>
      </c>
      <c r="G843" s="2" t="s">
        <v>56</v>
      </c>
      <c r="H843" s="2" t="s">
        <v>56</v>
      </c>
      <c r="I843" s="2" t="str">
        <f>IFERROR(__xludf.DUMMYFUNCTION("GOOGLETRANSLATE(C843,""fr"",""en"")"),"I am satisfied with the price is quotes I recommend your insurance hoping not to galley if there is a good quality concern is fast to realize")</f>
        <v>I am satisfied with the price is quotes I recommend your insurance hoping not to galley if there is a good quality concern is fast to realize</v>
      </c>
    </row>
    <row r="844" ht="15.75" customHeight="1">
      <c r="A844" s="2">
        <v>5.0</v>
      </c>
      <c r="B844" s="2" t="s">
        <v>2357</v>
      </c>
      <c r="C844" s="2" t="s">
        <v>2358</v>
      </c>
      <c r="D844" s="2" t="s">
        <v>32</v>
      </c>
      <c r="E844" s="2" t="s">
        <v>21</v>
      </c>
      <c r="F844" s="2" t="s">
        <v>15</v>
      </c>
      <c r="G844" s="2" t="s">
        <v>2359</v>
      </c>
      <c r="H844" s="2" t="s">
        <v>39</v>
      </c>
      <c r="I844" s="2" t="str">
        <f>IFERROR(__xludf.DUMMYFUNCTION("GOOGLETRANSLATE(C844,""fr"",""en"")"),"You are really great my lady I give you 5/5 for direct assurance a thanks to you you validated my file very quickly I hope that next time I fall on you to ensure another car")</f>
        <v>You are really great my lady I give you 5/5 for direct assurance a thanks to you you validated my file very quickly I hope that next time I fall on you to ensure another car</v>
      </c>
    </row>
    <row r="845" ht="15.75" customHeight="1">
      <c r="A845" s="2">
        <v>1.0</v>
      </c>
      <c r="B845" s="2" t="s">
        <v>2360</v>
      </c>
      <c r="C845" s="2" t="s">
        <v>2361</v>
      </c>
      <c r="D845" s="2" t="s">
        <v>72</v>
      </c>
      <c r="E845" s="2" t="s">
        <v>21</v>
      </c>
      <c r="F845" s="2" t="s">
        <v>15</v>
      </c>
      <c r="G845" s="2" t="s">
        <v>2362</v>
      </c>
      <c r="H845" s="2" t="s">
        <v>287</v>
      </c>
      <c r="I845" s="2" t="str">
        <f>IFERROR(__xludf.DUMMYFUNCTION("GOOGLETRANSLATE(C845,""fr"",""en"")"),"Unhappy sinister in March on my vehicle, HS vehicle, expert took a little time to go and go and assess my vehicle which in my opinion is understandable since it was in full containment, vehicle assembled so far everything well in my misfortune .I try to r"&amp;"each the Matmut by phone for loan vehicle, impossible, once again I show Clémence because we are in an unprecedented situation. On the other hand the Matmut asks me: proof of address, CNI copy, proof of funds, copy of bank statements revealing the vehicle"&amp;" purchase transaction, vehicle purchase invoice (proof of funds, bank statements they do not have the right) but I am cooperative I want to be compensated as soon as possible and buy another cars (what naive I am)
Then a few weeks after sending the docum"&amp;"ents I allow myself to call the Matmut (sorry for the inconvenience) I am told that the file is being managed
I let spend two weeks I remind, I am told that my file is managed in Rouen and that we must call them to a number that I am given (I think it's "&amp;"a farce and that it is a line on which the phone was disconnected and it was to laugh between colleagues)
I go to an agency last week, I expose my problem and the person tells me that he will send an email to the service concerned (I think she was playin"&amp;"g online behind her screen as in the Simpsons for those who know)
Since then, I am waiting, as a child is waiting for Santa Claus, I hope to desperately my background waiting for the Grail, a letter from the Matmut, when I have 2 min by drinking my coffe"&amp;"e I call the famous Mystery number, it goes on time.
And of course, I have the Turbo ++++ high -end Reference Luxury preference contract and I continue to pay my € 95 monthly payments.
In short, I should have been wary because when insurance promotes by"&amp;" humorists should not be surprised to have to do clowns.
")</f>
        <v>Unhappy sinister in March on my vehicle, HS vehicle, expert took a little time to go and go and assess my vehicle which in my opinion is understandable since it was in full containment, vehicle assembled so far everything well in my misfortune .I try to reach the Matmut by phone for loan vehicle, impossible, once again I show Clémence because we are in an unprecedented situation. On the other hand the Matmut asks me: proof of address, CNI copy, proof of funds, copy of bank statements revealing the vehicle purchase transaction, vehicle purchase invoice (proof of funds, bank statements they do not have the right) but I am cooperative I want to be compensated as soon as possible and buy another cars (what naive I am)
Then a few weeks after sending the documents I allow myself to call the Matmut (sorry for the inconvenience) I am told that the file is being managed
I let spend two weeks I remind, I am told that my file is managed in Rouen and that we must call them to a number that I am given (I think it's a farce and that it is a line on which the phone was disconnected and it was to laugh between colleagues)
I go to an agency last week, I expose my problem and the person tells me that he will send an email to the service concerned (I think she was playing online behind her screen as in the Simpsons for those who know)
Since then, I am waiting, as a child is waiting for Santa Claus, I hope to desperately my background waiting for the Grail, a letter from the Matmut, when I have 2 min by drinking my coffee I call the famous Mystery number, it goes on time.
And of course, I have the Turbo ++++ high -end Reference Luxury preference contract and I continue to pay my € 95 monthly payments.
In short, I should have been wary because when insurance promotes by humorists should not be surprised to have to do clowns.
</v>
      </c>
    </row>
    <row r="846" ht="15.75" customHeight="1">
      <c r="A846" s="2">
        <v>4.0</v>
      </c>
      <c r="B846" s="2" t="s">
        <v>2363</v>
      </c>
      <c r="C846" s="2" t="s">
        <v>2364</v>
      </c>
      <c r="D846" s="2" t="s">
        <v>42</v>
      </c>
      <c r="E846" s="2" t="s">
        <v>21</v>
      </c>
      <c r="F846" s="2" t="s">
        <v>15</v>
      </c>
      <c r="G846" s="2" t="s">
        <v>739</v>
      </c>
      <c r="H846" s="2" t="s">
        <v>48</v>
      </c>
      <c r="I846" s="2" t="str">
        <f>IFERROR(__xludf.DUMMYFUNCTION("GOOGLETRANSLATE(C846,""fr"",""en"")"),"Simple and practical, top advisor who answered all my questions.
Very good service, I recommend, and correct price, satisfied overall")</f>
        <v>Simple and practical, top advisor who answered all my questions.
Very good service, I recommend, and correct price, satisfied overall</v>
      </c>
    </row>
    <row r="847" ht="15.75" customHeight="1">
      <c r="A847" s="2">
        <v>1.0</v>
      </c>
      <c r="B847" s="2" t="s">
        <v>2365</v>
      </c>
      <c r="C847" s="2" t="s">
        <v>2366</v>
      </c>
      <c r="D847" s="2" t="s">
        <v>42</v>
      </c>
      <c r="E847" s="2" t="s">
        <v>21</v>
      </c>
      <c r="F847" s="2" t="s">
        <v>15</v>
      </c>
      <c r="G847" s="2" t="s">
        <v>2367</v>
      </c>
      <c r="H847" s="2" t="s">
        <v>206</v>
      </c>
      <c r="I847" s="2" t="str">
        <f>IFERROR(__xludf.DUMMYFUNCTION("GOOGLETRANSLATE(C847,""fr"",""en"")"),"He gave me an amendment to 144 euros that I refuse
My first payment was 139 euro their termination fees plus the rest in short I pay approx 100 euros for a car which was ensured at home 15 days the time to finalize the impressive papers how to earn money"&amp;" on the back of customers")</f>
        <v>He gave me an amendment to 144 euros that I refuse
My first payment was 139 euro their termination fees plus the rest in short I pay approx 100 euros for a car which was ensured at home 15 days the time to finalize the impressive papers how to earn money on the back of customers</v>
      </c>
    </row>
    <row r="848" ht="15.75" customHeight="1">
      <c r="A848" s="2">
        <v>1.0</v>
      </c>
      <c r="B848" s="2" t="s">
        <v>2368</v>
      </c>
      <c r="C848" s="2" t="s">
        <v>2369</v>
      </c>
      <c r="D848" s="2" t="s">
        <v>209</v>
      </c>
      <c r="E848" s="2" t="s">
        <v>82</v>
      </c>
      <c r="F848" s="2" t="s">
        <v>15</v>
      </c>
      <c r="G848" s="2" t="s">
        <v>2370</v>
      </c>
      <c r="H848" s="2" t="s">
        <v>159</v>
      </c>
      <c r="I848" s="2" t="str">
        <f>IFERROR(__xludf.DUMMYFUNCTION("GOOGLETRANSLATE(C848,""fr"",""en"")"),"No one, very long for reimbursements, impossible to reach them by phone. No agreement with the private hospital in Aix or I was hospitalized for Covid, I change mutual.")</f>
        <v>No one, very long for reimbursements, impossible to reach them by phone. No agreement with the private hospital in Aix or I was hospitalized for Covid, I change mutual.</v>
      </c>
    </row>
    <row r="849" ht="15.75" customHeight="1">
      <c r="A849" s="2">
        <v>1.0</v>
      </c>
      <c r="B849" s="2" t="s">
        <v>2371</v>
      </c>
      <c r="C849" s="2" t="s">
        <v>2372</v>
      </c>
      <c r="D849" s="2" t="s">
        <v>451</v>
      </c>
      <c r="E849" s="2" t="s">
        <v>82</v>
      </c>
      <c r="F849" s="2" t="s">
        <v>15</v>
      </c>
      <c r="G849" s="2" t="s">
        <v>1499</v>
      </c>
      <c r="H849" s="2" t="s">
        <v>412</v>
      </c>
      <c r="I849" s="2" t="str">
        <f>IFERROR(__xludf.DUMMYFUNCTION("GOOGLETRANSLATE(C849,""fr"",""en"")"),"Insured on 01/01/2020 The amount of my monthly subscription for my couple was € 180.86 in Formula 3, which was perfect .... Except that when I received my schedule for 2021 the subscription became 250, 32 € or 38.4 % increase. No valid response was provid"&amp;"ed to me, except that the medical costs had increased in 2020 !!!! Furthermore, have still not made the unsubscription with the SS which finds 2 mutuals and blocks the transmission. Only generation increases inadmissible but are bad losers when you resilu"&amp;"te. To flee (I put 1* because it is the minimum, otherwise I will have put 0)")</f>
        <v>Insured on 01/01/2020 The amount of my monthly subscription for my couple was € 180.86 in Formula 3, which was perfect .... Except that when I received my schedule for 2021 the subscription became 250, 32 € or 38.4 % increase. No valid response was provided to me, except that the medical costs had increased in 2020 !!!! Furthermore, have still not made the unsubscription with the SS which finds 2 mutuals and blocks the transmission. Only generation increases inadmissible but are bad losers when you resilute. To flee (I put 1* because it is the minimum, otherwise I will have put 0)</v>
      </c>
    </row>
    <row r="850" ht="15.75" customHeight="1">
      <c r="A850" s="2">
        <v>1.0</v>
      </c>
      <c r="B850" s="2" t="s">
        <v>2373</v>
      </c>
      <c r="C850" s="2" t="s">
        <v>2374</v>
      </c>
      <c r="D850" s="2" t="s">
        <v>477</v>
      </c>
      <c r="E850" s="2" t="s">
        <v>14</v>
      </c>
      <c r="F850" s="2" t="s">
        <v>15</v>
      </c>
      <c r="G850" s="2" t="s">
        <v>2375</v>
      </c>
      <c r="H850" s="2" t="s">
        <v>52</v>
      </c>
      <c r="I850" s="2" t="str">
        <f>IFERROR(__xludf.DUMMYFUNCTION("GOOGLETRANSLATE(C850,""fr"",""en"")")," I assured my young cat at Health Vet very disappointed with this insurance which reimburses very little to see almost not ... they always have an argument so as not to reimburse ... in short, I finish the year and I go. ..to flee")</f>
        <v> I assured my young cat at Health Vet very disappointed with this insurance which reimburses very little to see almost not ... they always have an argument so as not to reimburse ... in short, I finish the year and I go. ..to flee</v>
      </c>
    </row>
    <row r="851" ht="15.75" customHeight="1">
      <c r="A851" s="2">
        <v>2.0</v>
      </c>
      <c r="B851" s="2" t="s">
        <v>2376</v>
      </c>
      <c r="C851" s="2" t="s">
        <v>2377</v>
      </c>
      <c r="D851" s="2" t="s">
        <v>32</v>
      </c>
      <c r="E851" s="2" t="s">
        <v>21</v>
      </c>
      <c r="F851" s="2" t="s">
        <v>15</v>
      </c>
      <c r="G851" s="2" t="s">
        <v>1309</v>
      </c>
      <c r="H851" s="2" t="s">
        <v>104</v>
      </c>
      <c r="I851" s="2" t="str">
        <f>IFERROR(__xludf.DUMMYFUNCTION("GOOGLETRANSLATE(C851,""fr"",""en"")"),"Going from 362 euros of annual cottis to 454 euros without claim and in 2 years is to abuse, review your pricing policy, I will put you in competition")</f>
        <v>Going from 362 euros of annual cottis to 454 euros without claim and in 2 years is to abuse, review your pricing policy, I will put you in competition</v>
      </c>
    </row>
    <row r="852" ht="15.75" customHeight="1">
      <c r="A852" s="2">
        <v>3.0</v>
      </c>
      <c r="B852" s="2" t="s">
        <v>2378</v>
      </c>
      <c r="C852" s="2" t="s">
        <v>2379</v>
      </c>
      <c r="D852" s="2" t="s">
        <v>81</v>
      </c>
      <c r="E852" s="2" t="s">
        <v>82</v>
      </c>
      <c r="F852" s="2" t="s">
        <v>15</v>
      </c>
      <c r="G852" s="2" t="s">
        <v>2380</v>
      </c>
      <c r="H852" s="2" t="s">
        <v>1347</v>
      </c>
      <c r="I852" s="2" t="str">
        <f>IFERROR(__xludf.DUMMYFUNCTION("GOOGLETRANSLATE(C852,""fr"",""en"")"),"Gwendal was listening, sympathetic and very professional. My expectations were fully met.")</f>
        <v>Gwendal was listening, sympathetic and very professional. My expectations were fully met.</v>
      </c>
    </row>
    <row r="853" ht="15.75" customHeight="1">
      <c r="A853" s="2">
        <v>5.0</v>
      </c>
      <c r="B853" s="2" t="s">
        <v>2381</v>
      </c>
      <c r="C853" s="2" t="s">
        <v>2382</v>
      </c>
      <c r="D853" s="2" t="s">
        <v>32</v>
      </c>
      <c r="E853" s="2" t="s">
        <v>21</v>
      </c>
      <c r="F853" s="2" t="s">
        <v>15</v>
      </c>
      <c r="G853" s="2" t="s">
        <v>739</v>
      </c>
      <c r="H853" s="2" t="s">
        <v>48</v>
      </c>
      <c r="I853" s="2" t="str">
        <f>IFERROR(__xludf.DUMMYFUNCTION("GOOGLETRANSLATE(C853,""fr"",""en"")"),"I am happy with direct insurance. No complaints for my car insurance since Aôut 2020. Very easy to contact them and no worries for the rest")</f>
        <v>I am happy with direct insurance. No complaints for my car insurance since Aôut 2020. Very easy to contact them and no worries for the rest</v>
      </c>
    </row>
    <row r="854" ht="15.75" customHeight="1">
      <c r="A854" s="2">
        <v>2.0</v>
      </c>
      <c r="B854" s="2" t="s">
        <v>2383</v>
      </c>
      <c r="C854" s="2" t="s">
        <v>2384</v>
      </c>
      <c r="D854" s="2" t="s">
        <v>32</v>
      </c>
      <c r="E854" s="2" t="s">
        <v>21</v>
      </c>
      <c r="F854" s="2" t="s">
        <v>15</v>
      </c>
      <c r="G854" s="2" t="s">
        <v>376</v>
      </c>
      <c r="H854" s="2" t="s">
        <v>104</v>
      </c>
      <c r="I854" s="2" t="str">
        <f>IFERROR(__xludf.DUMMYFUNCTION("GOOGLETRANSLATE(C854,""fr"",""en"")"),"I am satisfied with your catch on the other hand I am not satisfied with your quality in the event of a disaster.
It is very complicated to reach you.
Impossible to make a declaration on your site. This only offers me my car contract when I wish to make"&amp;" a declaration on the home.
 ")</f>
        <v>I am satisfied with your catch on the other hand I am not satisfied with your quality in the event of a disaster.
It is very complicated to reach you.
Impossible to make a declaration on your site. This only offers me my car contract when I wish to make a declaration on the home.
 </v>
      </c>
    </row>
    <row r="855" ht="15.75" customHeight="1">
      <c r="A855" s="2">
        <v>5.0</v>
      </c>
      <c r="B855" s="2" t="s">
        <v>2385</v>
      </c>
      <c r="C855" s="2" t="s">
        <v>2386</v>
      </c>
      <c r="D855" s="2" t="s">
        <v>32</v>
      </c>
      <c r="E855" s="2" t="s">
        <v>21</v>
      </c>
      <c r="F855" s="2" t="s">
        <v>15</v>
      </c>
      <c r="G855" s="2" t="s">
        <v>804</v>
      </c>
      <c r="H855" s="2" t="s">
        <v>29</v>
      </c>
      <c r="I855" s="2" t="str">
        <f>IFERROR(__xludf.DUMMYFUNCTION("GOOGLETRANSLATE(C855,""fr"",""en"")"),"I am satisfied for the price
I was already ensuring the direct insurance and they are very professional
They quickly price all my requests")</f>
        <v>I am satisfied for the price
I was already ensuring the direct insurance and they are very professional
They quickly price all my requests</v>
      </c>
    </row>
    <row r="856" ht="15.75" customHeight="1">
      <c r="A856" s="2">
        <v>4.0</v>
      </c>
      <c r="B856" s="2" t="s">
        <v>2387</v>
      </c>
      <c r="C856" s="2" t="s">
        <v>2388</v>
      </c>
      <c r="D856" s="2" t="s">
        <v>32</v>
      </c>
      <c r="E856" s="2" t="s">
        <v>21</v>
      </c>
      <c r="F856" s="2" t="s">
        <v>15</v>
      </c>
      <c r="G856" s="2" t="s">
        <v>1480</v>
      </c>
      <c r="H856" s="2" t="s">
        <v>48</v>
      </c>
      <c r="I856" s="2" t="str">
        <f>IFERROR(__xludf.DUMMYFUNCTION("GOOGLETRANSLATE(C856,""fr"",""en"")"),"Satisfied with exchange, kindness and competence
Explanation on the clear and conscript contract
Speed ​​in sending documents
Thank you for the welcome
")</f>
        <v>Satisfied with exchange, kindness and competence
Explanation on the clear and conscript contract
Speed ​​in sending documents
Thank you for the welcome
</v>
      </c>
    </row>
    <row r="857" ht="15.75" customHeight="1">
      <c r="A857" s="2">
        <v>5.0</v>
      </c>
      <c r="B857" s="2" t="s">
        <v>2389</v>
      </c>
      <c r="C857" s="2" t="s">
        <v>2390</v>
      </c>
      <c r="D857" s="2" t="s">
        <v>42</v>
      </c>
      <c r="E857" s="2" t="s">
        <v>21</v>
      </c>
      <c r="F857" s="2" t="s">
        <v>15</v>
      </c>
      <c r="G857" s="2" t="s">
        <v>28</v>
      </c>
      <c r="H857" s="2" t="s">
        <v>29</v>
      </c>
      <c r="I857" s="2" t="str">
        <f>IFERROR(__xludf.DUMMYFUNCTION("GOOGLETRANSLATE(C857,""fr"",""en"")"),"I am satisfied, the response was fast, and I was pleasantly surprised by prices and assistance. I will surely continue with them for a while.")</f>
        <v>I am satisfied, the response was fast, and I was pleasantly surprised by prices and assistance. I will surely continue with them for a while.</v>
      </c>
    </row>
    <row r="858" ht="15.75" customHeight="1">
      <c r="A858" s="2">
        <v>1.0</v>
      </c>
      <c r="B858" s="2" t="s">
        <v>2391</v>
      </c>
      <c r="C858" s="2" t="s">
        <v>2392</v>
      </c>
      <c r="D858" s="2" t="s">
        <v>20</v>
      </c>
      <c r="E858" s="2" t="s">
        <v>21</v>
      </c>
      <c r="F858" s="2" t="s">
        <v>15</v>
      </c>
      <c r="G858" s="2" t="s">
        <v>2393</v>
      </c>
      <c r="H858" s="2" t="s">
        <v>1091</v>
      </c>
      <c r="I858" s="2" t="str">
        <f>IFERROR(__xludf.DUMMYFUNCTION("GOOGLETRANSLATE(C858,""fr"",""en"")")," I have always been insured, I am 52 years old.
In 52 years loss responsible for 2 water damage (Benin).
Lately, a glass breakage that cost me a few hundred euros in my pocket (excluding franchise), because the identical replacement and the maif insuran"&amp;"ce scales should not be the same as the others.
I contribute more than € 2100 every year over 50 years I should be a good customer (I have all possible MAIF insurance).
I just had a disaster (02/24/19) not responsible (I was parked).
Expertise, which"&amp;" goes badly, the expert offers me € 1000 for me to manage to have repaired (damaged parts /4 doors, rocker, two wings)
I have already had this problem for my water damage 500 € offered by the expert, I brought in a pro 1800 € of repair. (Refuse these dis"&amp;"honest proposals)
I receive a call from my manager, a month and a half fierce the disaster, the verdict falls, vehicle trash or overruns at my expense with follow -up of paid expert (VEI).
I ask that I am born in writing.
On 02/15/19 I receive a lett"&amp;"er which offers me three solutions.
-1 Vehicle sale in Maif
-2 repairs with (VEI) follow -up expertise and exceeding at my expense
-3 of which has a breaker
What incompetence!
Not a figure on the value of my vehicle
No expert report
No repair quo"&amp;"te
I have been a repairman Authorized Maif for 25 years, I have never seen such procedures.
I think like all the comments of the insured, the Maif has unfortunately changed!
I asked for my information statements and will surely change too (insurance).
"&amp;"
I will keep you posted on the suites, but I wouldn’t stay there!
")</f>
        <v> I have always been insured, I am 52 years old.
In 52 years loss responsible for 2 water damage (Benin).
Lately, a glass breakage that cost me a few hundred euros in my pocket (excluding franchise), because the identical replacement and the maif insurance scales should not be the same as the others.
I contribute more than € 2100 every year over 50 years I should be a good customer (I have all possible MAIF insurance).
I just had a disaster (02/24/19) not responsible (I was parked).
Expertise, which goes badly, the expert offers me € 1000 for me to manage to have repaired (damaged parts /4 doors, rocker, two wings)
I have already had this problem for my water damage 500 € offered by the expert, I brought in a pro 1800 € of repair. (Refuse these dishonest proposals)
I receive a call from my manager, a month and a half fierce the disaster, the verdict falls, vehicle trash or overruns at my expense with follow -up of paid expert (VEI).
I ask that I am born in writing.
On 02/15/19 I receive a letter which offers me three solutions.
-1 Vehicle sale in Maif
-2 repairs with (VEI) follow -up expertise and exceeding at my expense
-3 of which has a breaker
What incompetence!
Not a figure on the value of my vehicle
No expert report
No repair quote
I have been a repairman Authorized Maif for 25 years, I have never seen such procedures.
I think like all the comments of the insured, the Maif has unfortunately changed!
I asked for my information statements and will surely change too (insurance).
I will keep you posted on the suites, but I wouldn’t stay there!
</v>
      </c>
    </row>
    <row r="859" ht="15.75" customHeight="1">
      <c r="A859" s="2">
        <v>5.0</v>
      </c>
      <c r="B859" s="2" t="s">
        <v>2394</v>
      </c>
      <c r="C859" s="2" t="s">
        <v>2395</v>
      </c>
      <c r="D859" s="2" t="s">
        <v>32</v>
      </c>
      <c r="E859" s="2" t="s">
        <v>21</v>
      </c>
      <c r="F859" s="2" t="s">
        <v>15</v>
      </c>
      <c r="G859" s="2" t="s">
        <v>28</v>
      </c>
      <c r="H859" s="2" t="s">
        <v>29</v>
      </c>
      <c r="I859" s="2" t="str">
        <f>IFERROR(__xludf.DUMMYFUNCTION("GOOGLETRANSLATE(C859,""fr"",""en"")"),"Fast
I am satisfied with it. I will be ready to recommend it to those around me, whether for automotive or house insurance.
Thank you direct insurance")</f>
        <v>Fast
I am satisfied with it. I will be ready to recommend it to those around me, whether for automotive or house insurance.
Thank you direct insurance</v>
      </c>
    </row>
    <row r="860" ht="15.75" customHeight="1">
      <c r="A860" s="2">
        <v>5.0</v>
      </c>
      <c r="B860" s="2" t="s">
        <v>2396</v>
      </c>
      <c r="C860" s="2" t="s">
        <v>2397</v>
      </c>
      <c r="D860" s="2" t="s">
        <v>59</v>
      </c>
      <c r="E860" s="2" t="s">
        <v>21</v>
      </c>
      <c r="F860" s="2" t="s">
        <v>15</v>
      </c>
      <c r="G860" s="2" t="s">
        <v>872</v>
      </c>
      <c r="H860" s="2" t="s">
        <v>104</v>
      </c>
      <c r="I860" s="2" t="str">
        <f>IFERROR(__xludf.DUMMYFUNCTION("GOOGLETRANSLATE(C860,""fr"",""en"")"),"I have already given you my opinion on AXA, I repeat myself one last time, very good insurer, with a big defect, neglects its old customers on the price side, when you have been a loyal customer for 44 years with more than € 2500 management fees Left each"&amp;" year in life insurance, it seems to me that in 2021 at least one tariff pose would have been welcome .cdt h Godard.")</f>
        <v>I have already given you my opinion on AXA, I repeat myself one last time, very good insurer, with a big defect, neglects its old customers on the price side, when you have been a loyal customer for 44 years with more than € 2500 management fees Left each year in life insurance, it seems to me that in 2021 at least one tariff pose would have been welcome .cdt h Godard.</v>
      </c>
    </row>
    <row r="861" ht="15.75" customHeight="1">
      <c r="A861" s="2">
        <v>3.0</v>
      </c>
      <c r="B861" s="2" t="s">
        <v>2398</v>
      </c>
      <c r="C861" s="2" t="s">
        <v>2399</v>
      </c>
      <c r="D861" s="2" t="s">
        <v>32</v>
      </c>
      <c r="E861" s="2" t="s">
        <v>21</v>
      </c>
      <c r="F861" s="2" t="s">
        <v>15</v>
      </c>
      <c r="G861" s="2" t="s">
        <v>2400</v>
      </c>
      <c r="H861" s="2" t="s">
        <v>48</v>
      </c>
      <c r="I861" s="2" t="str">
        <f>IFERROR(__xludf.DUMMYFUNCTION("GOOGLETRANSLATE(C861,""fr"",""en"")"),"Reactivity in terms of quotes, sends and recall by appointment
Too bad we cannot have the same interlocutor to validate the Definement project")</f>
        <v>Reactivity in terms of quotes, sends and recall by appointment
Too bad we cannot have the same interlocutor to validate the Definement project</v>
      </c>
    </row>
    <row r="862" ht="15.75" customHeight="1">
      <c r="A862" s="2">
        <v>1.0</v>
      </c>
      <c r="B862" s="2" t="s">
        <v>2401</v>
      </c>
      <c r="C862" s="2" t="s">
        <v>2402</v>
      </c>
      <c r="D862" s="2" t="s">
        <v>32</v>
      </c>
      <c r="E862" s="2" t="s">
        <v>21</v>
      </c>
      <c r="F862" s="2" t="s">
        <v>15</v>
      </c>
      <c r="G862" s="2" t="s">
        <v>2403</v>
      </c>
      <c r="H862" s="2" t="s">
        <v>405</v>
      </c>
      <c r="I862" s="2" t="str">
        <f>IFERROR(__xludf.DUMMYFUNCTION("GOOGLETRANSLATE(C862,""fr"",""en"")"),"This is a false article, because it does not lend any car within 24 hours as they say it for these packs and in the end to tell us that it will only be after the passage of the expert that we will know if Yes or no we will have a vehicle. In addition, you"&amp;"r damaged car will remain at the tug 2 to 3 days before finding a partner garage. I strongly advise against this insurance. I trusted but they really disappointed me, I have a family and a job and I really don't know how to get out of it and they are hard"&amp;"ly concerned they just say it is the procedure")</f>
        <v>This is a false article, because it does not lend any car within 24 hours as they say it for these packs and in the end to tell us that it will only be after the passage of the expert that we will know if Yes or no we will have a vehicle. In addition, your damaged car will remain at the tug 2 to 3 days before finding a partner garage. I strongly advise against this insurance. I trusted but they really disappointed me, I have a family and a job and I really don't know how to get out of it and they are hardly concerned they just say it is the procedure</v>
      </c>
    </row>
    <row r="863" ht="15.75" customHeight="1">
      <c r="A863" s="2">
        <v>4.0</v>
      </c>
      <c r="B863" s="2" t="s">
        <v>2404</v>
      </c>
      <c r="C863" s="2" t="s">
        <v>2405</v>
      </c>
      <c r="D863" s="2" t="s">
        <v>26</v>
      </c>
      <c r="E863" s="2" t="s">
        <v>27</v>
      </c>
      <c r="F863" s="2" t="s">
        <v>15</v>
      </c>
      <c r="G863" s="2" t="s">
        <v>2406</v>
      </c>
      <c r="H863" s="2" t="s">
        <v>412</v>
      </c>
      <c r="I863" s="2" t="str">
        <f>IFERROR(__xludf.DUMMYFUNCTION("GOOGLETRANSLATE(C863,""fr"",""en"")"),"Simple and quick to make quote, correct price and very good availability of interlocutor on the phone or by email. To see in the long term but for the departure of a project it's great.")</f>
        <v>Simple and quick to make quote, correct price and very good availability of interlocutor on the phone or by email. To see in the long term but for the departure of a project it's great.</v>
      </c>
    </row>
    <row r="864" ht="15.75" customHeight="1">
      <c r="A864" s="2">
        <v>1.0</v>
      </c>
      <c r="B864" s="2" t="s">
        <v>2407</v>
      </c>
      <c r="C864" s="2" t="s">
        <v>2408</v>
      </c>
      <c r="D864" s="2" t="s">
        <v>263</v>
      </c>
      <c r="E864" s="2" t="s">
        <v>157</v>
      </c>
      <c r="F864" s="2" t="s">
        <v>15</v>
      </c>
      <c r="G864" s="2" t="s">
        <v>2409</v>
      </c>
      <c r="H864" s="2" t="s">
        <v>95</v>
      </c>
      <c r="I864" s="2" t="str">
        <f>IFERROR(__xludf.DUMMYFUNCTION("GOOGLETRANSLATE(C864,""fr"",""en"")"),"Still not compensated for the period at the end of December and January so February I don't even think about it.
It's as if your salary is paid for weeks late")</f>
        <v>Still not compensated for the period at the end of December and January so February I don't even think about it.
It's as if your salary is paid for weeks late</v>
      </c>
    </row>
    <row r="865" ht="15.75" customHeight="1">
      <c r="A865" s="2">
        <v>1.0</v>
      </c>
      <c r="B865" s="2" t="s">
        <v>2410</v>
      </c>
      <c r="C865" s="2" t="s">
        <v>2411</v>
      </c>
      <c r="D865" s="2" t="s">
        <v>32</v>
      </c>
      <c r="E865" s="2" t="s">
        <v>21</v>
      </c>
      <c r="F865" s="2" t="s">
        <v>15</v>
      </c>
      <c r="G865" s="2" t="s">
        <v>1467</v>
      </c>
      <c r="H865" s="2" t="s">
        <v>52</v>
      </c>
      <c r="I865" s="2" t="str">
        <f>IFERROR(__xludf.DUMMYFUNCTION("GOOGLETRANSLATE(C865,""fr"",""en"")"),"The prices are very high for young drivers, while I have been a customer for more than 10 years without any declared disaster on 2 vehicles. I am asked more than 2000 € to ensure my daughter on an electric car (overpriced).
")</f>
        <v>The prices are very high for young drivers, while I have been a customer for more than 10 years without any declared disaster on 2 vehicles. I am asked more than 2000 € to ensure my daughter on an electric car (overpriced).
</v>
      </c>
    </row>
    <row r="866" ht="15.75" customHeight="1">
      <c r="A866" s="2">
        <v>4.0</v>
      </c>
      <c r="B866" s="2" t="s">
        <v>2412</v>
      </c>
      <c r="C866" s="2" t="s">
        <v>2413</v>
      </c>
      <c r="D866" s="2" t="s">
        <v>32</v>
      </c>
      <c r="E866" s="2" t="s">
        <v>21</v>
      </c>
      <c r="F866" s="2" t="s">
        <v>15</v>
      </c>
      <c r="G866" s="2" t="s">
        <v>56</v>
      </c>
      <c r="H866" s="2" t="s">
        <v>56</v>
      </c>
      <c r="I866" s="2" t="str">
        <f>IFERROR(__xludf.DUMMYFUNCTION("GOOGLETRANSLATE(C866,""fr"",""en"")"),"Too bad not to have more when subscribing to a new contract by already being a customer.
I would have liked a percentage
Otherwise reactive service")</f>
        <v>Too bad not to have more when subscribing to a new contract by already being a customer.
I would have liked a percentage
Otherwise reactive service</v>
      </c>
    </row>
    <row r="867" ht="15.75" customHeight="1">
      <c r="A867" s="2">
        <v>3.0</v>
      </c>
      <c r="B867" s="2" t="s">
        <v>2414</v>
      </c>
      <c r="C867" s="2" t="s">
        <v>2415</v>
      </c>
      <c r="D867" s="2" t="s">
        <v>1587</v>
      </c>
      <c r="E867" s="2" t="s">
        <v>60</v>
      </c>
      <c r="F867" s="2" t="s">
        <v>15</v>
      </c>
      <c r="G867" s="2" t="s">
        <v>2416</v>
      </c>
      <c r="H867" s="2" t="s">
        <v>35</v>
      </c>
      <c r="I867" s="2" t="str">
        <f>IFERROR(__xludf.DUMMYFUNCTION("GOOGLETRANSLATE(C867,""fr"",""en"")")," I have been riding a motorcycle for 22 years I have never had an accident and I arrived at with proof of my old insurance for a maximum bonus. After three years of insurance with them I sold my motorcycle, I called them they asked me for an act of sale o"&amp;"f the vehicle which is normal, and stop my insurance. Motorcycle, I call them by phone, the advisor informs me that he takes me back under the same conditions, he ensures my motorcycle until then everything is fine. About 15 days later I receive threat em"&amp;"ails (registration in the red list) he accuses me of having made a false declaration by phone and that they have no proof on my part concerning my maximum bonus !! Of course I contacted them to tell them that my last insurance was at home, but nothing did"&amp;" the stupidity there !! The worst part is that I could not leave them for nine months, so not to find myself on the red list I paid a month at a high price and sold the motorcycle. I have since bought new motorcycle and turned to my former insurer who had"&amp;" not seen me for more than three years but still took me back with a maximum bonus because had always had my file. All this to win 47 € per year!")</f>
        <v> I have been riding a motorcycle for 22 years I have never had an accident and I arrived at with proof of my old insurance for a maximum bonus. After three years of insurance with them I sold my motorcycle, I called them they asked me for an act of sale of the vehicle which is normal, and stop my insurance. Motorcycle, I call them by phone, the advisor informs me that he takes me back under the same conditions, he ensures my motorcycle until then everything is fine. About 15 days later I receive threat emails (registration in the red list) he accuses me of having made a false declaration by phone and that they have no proof on my part concerning my maximum bonus !! Of course I contacted them to tell them that my last insurance was at home, but nothing did the stupidity there !! The worst part is that I could not leave them for nine months, so not to find myself on the red list I paid a month at a high price and sold the motorcycle. I have since bought new motorcycle and turned to my former insurer who had not seen me for more than three years but still took me back with a maximum bonus because had always had my file. All this to win 47 € per year!</v>
      </c>
    </row>
    <row r="868" ht="15.75" customHeight="1">
      <c r="A868" s="2">
        <v>1.0</v>
      </c>
      <c r="B868" s="2" t="s">
        <v>2417</v>
      </c>
      <c r="C868" s="2" t="s">
        <v>2418</v>
      </c>
      <c r="D868" s="2" t="s">
        <v>145</v>
      </c>
      <c r="E868" s="2" t="s">
        <v>33</v>
      </c>
      <c r="F868" s="2" t="s">
        <v>15</v>
      </c>
      <c r="G868" s="2" t="s">
        <v>2419</v>
      </c>
      <c r="H868" s="2" t="s">
        <v>84</v>
      </c>
      <c r="I868" s="2" t="str">
        <f>IFERROR(__xludf.DUMMYFUNCTION("GOOGLETRANSLATE(C868,""fr"",""en"")"),"Watch out for leut commercial method The right to withdrawal not respected you charge for months in advance ever seen that with my previous insurance")</f>
        <v>Watch out for leut commercial method The right to withdrawal not respected you charge for months in advance ever seen that with my previous insurance</v>
      </c>
    </row>
    <row r="869" ht="15.75" customHeight="1">
      <c r="A869" s="2">
        <v>1.0</v>
      </c>
      <c r="B869" s="2" t="s">
        <v>2420</v>
      </c>
      <c r="C869" s="2" t="s">
        <v>2421</v>
      </c>
      <c r="D869" s="2" t="s">
        <v>313</v>
      </c>
      <c r="E869" s="2" t="s">
        <v>82</v>
      </c>
      <c r="F869" s="2" t="s">
        <v>15</v>
      </c>
      <c r="G869" s="2" t="s">
        <v>398</v>
      </c>
      <c r="H869" s="2" t="s">
        <v>48</v>
      </c>
      <c r="I869" s="2" t="str">
        <f>IFERROR(__xludf.DUMMYFUNCTION("GOOGLETRANSLATE(C869,""fr"",""en"")"),"An exorbitant price but not the choice because it is a mandatory employer mutual.
Processing deadlines announced 48 hours I am at 2 months of waiting and still nothing. I call them every week but always the same answer you have to wait ...
A real shame "&amp;"this mutual
")</f>
        <v>An exorbitant price but not the choice because it is a mandatory employer mutual.
Processing deadlines announced 48 hours I am at 2 months of waiting and still nothing. I call them every week but always the same answer you have to wait ...
A real shame this mutual
</v>
      </c>
    </row>
    <row r="870" ht="15.75" customHeight="1">
      <c r="A870" s="2">
        <v>4.0</v>
      </c>
      <c r="B870" s="2" t="s">
        <v>2422</v>
      </c>
      <c r="C870" s="2" t="s">
        <v>2423</v>
      </c>
      <c r="D870" s="2" t="s">
        <v>42</v>
      </c>
      <c r="E870" s="2" t="s">
        <v>21</v>
      </c>
      <c r="F870" s="2" t="s">
        <v>15</v>
      </c>
      <c r="G870" s="2" t="s">
        <v>29</v>
      </c>
      <c r="H870" s="2" t="s">
        <v>29</v>
      </c>
      <c r="I870" s="2" t="str">
        <f>IFERROR(__xludf.DUMMYFUNCTION("GOOGLETRANSLATE(C870,""fr"",""en"")"),"it's correct ...
The price could be even better, so we will not wait next time, otherwise the speed is comfortable so thank you again and see you soon")</f>
        <v>it's correct ...
The price could be even better, so we will not wait next time, otherwise the speed is comfortable so thank you again and see you soon</v>
      </c>
    </row>
    <row r="871" ht="15.75" customHeight="1">
      <c r="A871" s="2">
        <v>2.0</v>
      </c>
      <c r="B871" s="2" t="s">
        <v>2424</v>
      </c>
      <c r="C871" s="2" t="s">
        <v>2425</v>
      </c>
      <c r="D871" s="2" t="s">
        <v>32</v>
      </c>
      <c r="E871" s="2" t="s">
        <v>21</v>
      </c>
      <c r="F871" s="2" t="s">
        <v>15</v>
      </c>
      <c r="G871" s="2" t="s">
        <v>2426</v>
      </c>
      <c r="H871" s="2" t="s">
        <v>23</v>
      </c>
      <c r="I871" s="2" t="str">
        <f>IFERROR(__xludf.DUMMYFUNCTION("GOOGLETRANSLATE(C871,""fr"",""en"")"),"Deplorable customer service: at least 5 calls and none of the advisers responds to me the same thing and my problem is still not solved (I just asked Direct Insurance to terminate my contract with my old insurance. It does not seem complicated, But they f"&amp;"ailed to make it despite several calls). It would be necessary and urgent to indicate an email address to the customer in order to be able to expose his request, and receive a clear response by email, because in the case of direct insurance, we do not spe"&amp;"ak the same language ... The impression that the advisers recite their sheet, without even having listening to the question. The tone of certain advisers was at the limit of the insult and the threat")</f>
        <v>Deplorable customer service: at least 5 calls and none of the advisers responds to me the same thing and my problem is still not solved (I just asked Direct Insurance to terminate my contract with my old insurance. It does not seem complicated, But they failed to make it despite several calls). It would be necessary and urgent to indicate an email address to the customer in order to be able to expose his request, and receive a clear response by email, because in the case of direct insurance, we do not speak the same language ... The impression that the advisers recite their sheet, without even having listening to the question. The tone of certain advisers was at the limit of the insult and the threat</v>
      </c>
    </row>
    <row r="872" ht="15.75" customHeight="1">
      <c r="A872" s="2">
        <v>5.0</v>
      </c>
      <c r="B872" s="2" t="s">
        <v>2427</v>
      </c>
      <c r="C872" s="2" t="s">
        <v>2428</v>
      </c>
      <c r="D872" s="2" t="s">
        <v>42</v>
      </c>
      <c r="E872" s="2" t="s">
        <v>21</v>
      </c>
      <c r="F872" s="2" t="s">
        <v>15</v>
      </c>
      <c r="G872" s="2" t="s">
        <v>2429</v>
      </c>
      <c r="H872" s="2" t="s">
        <v>866</v>
      </c>
      <c r="I872" s="2" t="str">
        <f>IFERROR(__xludf.DUMMYFUNCTION("GOOGLETRANSLATE(C872,""fr"",""en"")"),"During my prospecting, I immediately received the detail of chairs offers as well as the monthly/annual prices without having to wait for the reception of an email or the recall 2 days later of an advisor ... I called Customer service before subscription "&amp;"to confirm that I had understood one of the clauses, and once reassured I returned to finalize my request on the Internet. An advisor reminded me of 3 minutes to validate my contract and my online payment and I received my provisional green card immediate"&amp;"ly by email.")</f>
        <v>During my prospecting, I immediately received the detail of chairs offers as well as the monthly/annual prices without having to wait for the reception of an email or the recall 2 days later of an advisor ... I called Customer service before subscription to confirm that I had understood one of the clauses, and once reassured I returned to finalize my request on the Internet. An advisor reminded me of 3 minutes to validate my contract and my online payment and I received my provisional green card immediately by email.</v>
      </c>
    </row>
    <row r="873" ht="15.75" customHeight="1">
      <c r="A873" s="2">
        <v>3.0</v>
      </c>
      <c r="B873" s="2" t="s">
        <v>2430</v>
      </c>
      <c r="C873" s="2" t="s">
        <v>2431</v>
      </c>
      <c r="D873" s="2" t="s">
        <v>303</v>
      </c>
      <c r="E873" s="2" t="s">
        <v>21</v>
      </c>
      <c r="F873" s="2" t="s">
        <v>15</v>
      </c>
      <c r="G873" s="2" t="s">
        <v>2432</v>
      </c>
      <c r="H873" s="2" t="s">
        <v>35</v>
      </c>
      <c r="I873" s="2" t="str">
        <f>IFERROR(__xludf.DUMMYFUNCTION("GOOGLETRANSLATE(C873,""fr"",""en"")"),"Delai between expertise (071217) and expert report (27,1217) shamefully long. In addition, the repairs only begin after this report of or a month and a half of immobilization therefore without car. Finally for an attempted flight with break -ins, 250 euro"&amp;"s franchise for total cost of 500 euros.")</f>
        <v>Delai between expertise (071217) and expert report (27,1217) shamefully long. In addition, the repairs only begin after this report of or a month and a half of immobilization therefore without car. Finally for an attempted flight with break -ins, 250 euros franchise for total cost of 500 euros.</v>
      </c>
    </row>
    <row r="874" ht="15.75" customHeight="1">
      <c r="A874" s="2">
        <v>1.0</v>
      </c>
      <c r="B874" s="2" t="s">
        <v>2433</v>
      </c>
      <c r="C874" s="2" t="s">
        <v>2434</v>
      </c>
      <c r="D874" s="2" t="s">
        <v>342</v>
      </c>
      <c r="E874" s="2" t="s">
        <v>82</v>
      </c>
      <c r="F874" s="2" t="s">
        <v>15</v>
      </c>
      <c r="G874" s="2" t="s">
        <v>2435</v>
      </c>
      <c r="H874" s="2" t="s">
        <v>432</v>
      </c>
      <c r="I874" s="2" t="str">
        <f>IFERROR(__xludf.DUMMYFUNCTION("GOOGLETRANSLATE(C874,""fr"",""en"")"),"Refusal of Cegema to make the closure of my file while my new mutual insurance company had in charge of the information in Cegema of my registration with them (EOVI MCD) with all the documents including my request for termination made within the deadlines"&amp;". Price increase of almost 10% announced on December 1, 2018, I reacted immediately to find another cheaper mutual")</f>
        <v>Refusal of Cegema to make the closure of my file while my new mutual insurance company had in charge of the information in Cegema of my registration with them (EOVI MCD) with all the documents including my request for termination made within the deadlines. Price increase of almost 10% announced on December 1, 2018, I reacted immediately to find another cheaper mutual</v>
      </c>
    </row>
    <row r="875" ht="15.75" customHeight="1">
      <c r="A875" s="2">
        <v>5.0</v>
      </c>
      <c r="B875" s="2" t="s">
        <v>2436</v>
      </c>
      <c r="C875" s="2" t="s">
        <v>2437</v>
      </c>
      <c r="D875" s="2" t="s">
        <v>124</v>
      </c>
      <c r="E875" s="2" t="s">
        <v>60</v>
      </c>
      <c r="F875" s="2" t="s">
        <v>15</v>
      </c>
      <c r="G875" s="2" t="s">
        <v>333</v>
      </c>
      <c r="H875" s="2" t="s">
        <v>48</v>
      </c>
      <c r="I875" s="2" t="str">
        <f>IFERROR(__xludf.DUMMYFUNCTION("GOOGLETRANSLATE(C875,""fr"",""en"")"),"Online insurance to recommend. My Sylvain advisor was very attentive to accompany me in my efforts.
Despite the covid they are very efficient")</f>
        <v>Online insurance to recommend. My Sylvain advisor was very attentive to accompany me in my efforts.
Despite the covid they are very efficient</v>
      </c>
    </row>
    <row r="876" ht="15.75" customHeight="1">
      <c r="A876" s="2">
        <v>4.0</v>
      </c>
      <c r="B876" s="2" t="s">
        <v>2438</v>
      </c>
      <c r="C876" s="2" t="s">
        <v>2439</v>
      </c>
      <c r="D876" s="2" t="s">
        <v>32</v>
      </c>
      <c r="E876" s="2" t="s">
        <v>21</v>
      </c>
      <c r="F876" s="2" t="s">
        <v>15</v>
      </c>
      <c r="G876" s="2" t="s">
        <v>826</v>
      </c>
      <c r="H876" s="2" t="s">
        <v>56</v>
      </c>
      <c r="I876" s="2" t="str">
        <f>IFERROR(__xludf.DUMMYFUNCTION("GOOGLETRANSLATE(C876,""fr"",""en"")"),"I am satisfied with the service, the prices are quite affordable and cheaper than my current insurance.
I would recommend direct insurance to those around me")</f>
        <v>I am satisfied with the service, the prices are quite affordable and cheaper than my current insurance.
I would recommend direct insurance to those around me</v>
      </c>
    </row>
    <row r="877" ht="15.75" customHeight="1">
      <c r="A877" s="2">
        <v>3.0</v>
      </c>
      <c r="B877" s="2" t="s">
        <v>2440</v>
      </c>
      <c r="C877" s="2" t="s">
        <v>2441</v>
      </c>
      <c r="D877" s="2" t="s">
        <v>42</v>
      </c>
      <c r="E877" s="2" t="s">
        <v>21</v>
      </c>
      <c r="F877" s="2" t="s">
        <v>15</v>
      </c>
      <c r="G877" s="2" t="s">
        <v>2442</v>
      </c>
      <c r="H877" s="2" t="s">
        <v>104</v>
      </c>
      <c r="I877" s="2" t="str">
        <f>IFERROR(__xludf.DUMMYFUNCTION("GOOGLETRANSLATE(C877,""fr"",""en"")"),"I am satisfied with the price, the ease of registration of the deadline and the speed of having a quote, the emails ...
I will easily recommend the olive tree")</f>
        <v>I am satisfied with the price, the ease of registration of the deadline and the speed of having a quote, the emails ...
I will easily recommend the olive tree</v>
      </c>
    </row>
    <row r="878" ht="15.75" customHeight="1">
      <c r="A878" s="2">
        <v>3.0</v>
      </c>
      <c r="B878" s="2" t="s">
        <v>2443</v>
      </c>
      <c r="C878" s="2" t="s">
        <v>2444</v>
      </c>
      <c r="D878" s="2" t="s">
        <v>451</v>
      </c>
      <c r="E878" s="2" t="s">
        <v>82</v>
      </c>
      <c r="F878" s="2" t="s">
        <v>15</v>
      </c>
      <c r="G878" s="2" t="s">
        <v>2445</v>
      </c>
      <c r="H878" s="2" t="s">
        <v>412</v>
      </c>
      <c r="I878" s="2" t="str">
        <f>IFERROR(__xludf.DUMMYFUNCTION("GOOGLETRANSLATE(C878,""fr"",""en"")"),"I wanted to obtain information on the mutual insurance company in the event of retirement. I obtained all the modalities to know from the transition from working life to retirement concerning the mutual. I remain awaiting a summary email. Thanks for these"&amp;" informations. My interlocutor was competent.")</f>
        <v>I wanted to obtain information on the mutual insurance company in the event of retirement. I obtained all the modalities to know from the transition from working life to retirement concerning the mutual. I remain awaiting a summary email. Thanks for these informations. My interlocutor was competent.</v>
      </c>
    </row>
    <row r="879" ht="15.75" customHeight="1">
      <c r="A879" s="2">
        <v>4.0</v>
      </c>
      <c r="B879" s="2" t="s">
        <v>2446</v>
      </c>
      <c r="C879" s="2" t="s">
        <v>2447</v>
      </c>
      <c r="D879" s="2" t="s">
        <v>32</v>
      </c>
      <c r="E879" s="2" t="s">
        <v>21</v>
      </c>
      <c r="F879" s="2" t="s">
        <v>15</v>
      </c>
      <c r="G879" s="2" t="s">
        <v>2018</v>
      </c>
      <c r="H879" s="2" t="s">
        <v>48</v>
      </c>
      <c r="I879" s="2" t="str">
        <f>IFERROR(__xludf.DUMMYFUNCTION("GOOGLETRANSLATE(C879,""fr"",""en"")"),"Satisfied with the service, but that could be better if there was the possibility of sending an email from time to time!
I have a telephone appointment this day at 10am that Eje will not be able to hold and impossible to send a message to my corresponden"&amp;"t.")</f>
        <v>Satisfied with the service, but that could be better if there was the possibility of sending an email from time to time!
I have a telephone appointment this day at 10am that Eje will not be able to hold and impossible to send a message to my correspondent.</v>
      </c>
    </row>
    <row r="880" ht="15.75" customHeight="1">
      <c r="A880" s="2">
        <v>4.0</v>
      </c>
      <c r="B880" s="2" t="s">
        <v>2448</v>
      </c>
      <c r="C880" s="2" t="s">
        <v>2449</v>
      </c>
      <c r="D880" s="2" t="s">
        <v>451</v>
      </c>
      <c r="E880" s="2" t="s">
        <v>82</v>
      </c>
      <c r="F880" s="2" t="s">
        <v>15</v>
      </c>
      <c r="G880" s="2" t="s">
        <v>2450</v>
      </c>
      <c r="H880" s="2" t="s">
        <v>159</v>
      </c>
      <c r="I880" s="2" t="str">
        <f>IFERROR(__xludf.DUMMYFUNCTION("GOOGLETRANSLATE(C880,""fr"",""en"")"),"My waiting period was correct.
And I had the information I wanted. Too bad to have to go through the Internet and not directly by phone to add an subscription.
In any case, I had all the information I wanted and the welcome was very good.")</f>
        <v>My waiting period was correct.
And I had the information I wanted. Too bad to have to go through the Internet and not directly by phone to add an subscription.
In any case, I had all the information I wanted and the welcome was very good.</v>
      </c>
    </row>
    <row r="881" ht="15.75" customHeight="1">
      <c r="A881" s="2">
        <v>3.0</v>
      </c>
      <c r="B881" s="2" t="s">
        <v>2451</v>
      </c>
      <c r="C881" s="2" t="s">
        <v>2452</v>
      </c>
      <c r="D881" s="2" t="s">
        <v>200</v>
      </c>
      <c r="E881" s="2" t="s">
        <v>21</v>
      </c>
      <c r="F881" s="2" t="s">
        <v>15</v>
      </c>
      <c r="G881" s="2" t="s">
        <v>2453</v>
      </c>
      <c r="H881" s="2" t="s">
        <v>866</v>
      </c>
      <c r="I881" s="2" t="str">
        <f>IFERROR(__xludf.DUMMYFUNCTION("GOOGLETRANSLATE(C881,""fr"",""en"")"),"Insurance that attracts with its prices, but I do not recommend it strongly, because when you have problems there is no one, it's been 5 months since I expect a refund, I called several times, at the end I have said to go see the consumer service if I'm n"&amp;"ot happy")</f>
        <v>Insurance that attracts with its prices, but I do not recommend it strongly, because when you have problems there is no one, it's been 5 months since I expect a refund, I called several times, at the end I have said to go see the consumer service if I'm not happy</v>
      </c>
    </row>
    <row r="882" ht="15.75" customHeight="1">
      <c r="A882" s="2">
        <v>1.0</v>
      </c>
      <c r="B882" s="2" t="s">
        <v>2454</v>
      </c>
      <c r="C882" s="2" t="s">
        <v>2455</v>
      </c>
      <c r="D882" s="2" t="s">
        <v>169</v>
      </c>
      <c r="E882" s="2" t="s">
        <v>82</v>
      </c>
      <c r="F882" s="2" t="s">
        <v>15</v>
      </c>
      <c r="G882" s="2" t="s">
        <v>2456</v>
      </c>
      <c r="H882" s="2" t="s">
        <v>222</v>
      </c>
      <c r="I882" s="2" t="str">
        <f>IFERROR(__xludf.DUMMYFUNCTION("GOOGLETRANSLATE(C882,""fr"",""en"")"),"Mandatory mutual company incompetent business time reimbursement too much expensive dear in view of the reimbursements shabby website which is used for any tax must be done by mail which obviously never happens")</f>
        <v>Mandatory mutual company incompetent business time reimbursement too much expensive dear in view of the reimbursements shabby website which is used for any tax must be done by mail which obviously never happens</v>
      </c>
    </row>
    <row r="883" ht="15.75" customHeight="1">
      <c r="A883" s="2">
        <v>2.0</v>
      </c>
      <c r="B883" s="2" t="s">
        <v>2457</v>
      </c>
      <c r="C883" s="2" t="s">
        <v>2458</v>
      </c>
      <c r="D883" s="2" t="s">
        <v>32</v>
      </c>
      <c r="E883" s="2" t="s">
        <v>21</v>
      </c>
      <c r="F883" s="2" t="s">
        <v>15</v>
      </c>
      <c r="G883" s="2" t="s">
        <v>2459</v>
      </c>
      <c r="H883" s="2" t="s">
        <v>1091</v>
      </c>
      <c r="I883" s="2" t="str">
        <f>IFERROR(__xludf.DUMMYFUNCTION("GOOGLETRANSLATE(C883,""fr"",""en"")"),"20% increase in the amount of the subscription during the contract due (renewal of the subscription for a new year). Sinister responsible or not it is the same thing, insurance takes 20% in all cases. Dear guarantees (fixed franchise + percentage on the a"&amp;"mount of repairs). Becomes insurance with prices approaching the competition therefore more interesting for the insured.")</f>
        <v>20% increase in the amount of the subscription during the contract due (renewal of the subscription for a new year). Sinister responsible or not it is the same thing, insurance takes 20% in all cases. Dear guarantees (fixed franchise + percentage on the amount of repairs). Becomes insurance with prices approaching the competition therefore more interesting for the insured.</v>
      </c>
    </row>
    <row r="884" ht="15.75" customHeight="1">
      <c r="A884" s="2">
        <v>3.0</v>
      </c>
      <c r="B884" s="2" t="s">
        <v>2460</v>
      </c>
      <c r="C884" s="2" t="s">
        <v>2461</v>
      </c>
      <c r="D884" s="2" t="s">
        <v>641</v>
      </c>
      <c r="E884" s="2" t="s">
        <v>33</v>
      </c>
      <c r="F884" s="2" t="s">
        <v>15</v>
      </c>
      <c r="G884" s="2" t="s">
        <v>2462</v>
      </c>
      <c r="H884" s="2" t="s">
        <v>84</v>
      </c>
      <c r="I884" s="2" t="str">
        <f>IFERROR(__xludf.DUMMYFUNCTION("GOOGLETRANSLATE(C884,""fr"",""en"")"),"I suffered a small disaster damage of waters whose responsibility is the responsibility of a neighbor in a collective building I accepted their proposal to offer the company for repairs but they arrange between them on the back of members to provide a ser"&amp;"vice at most low prices with the consequences that this implies
")</f>
        <v>I suffered a small disaster damage of waters whose responsibility is the responsibility of a neighbor in a collective building I accepted their proposal to offer the company for repairs but they arrange between them on the back of members to provide a service at most low prices with the consequences that this implies
</v>
      </c>
    </row>
    <row r="885" ht="15.75" customHeight="1">
      <c r="A885" s="2">
        <v>5.0</v>
      </c>
      <c r="B885" s="2" t="s">
        <v>2463</v>
      </c>
      <c r="C885" s="2" t="s">
        <v>2464</v>
      </c>
      <c r="D885" s="2" t="s">
        <v>42</v>
      </c>
      <c r="E885" s="2" t="s">
        <v>21</v>
      </c>
      <c r="F885" s="2" t="s">
        <v>15</v>
      </c>
      <c r="G885" s="2" t="s">
        <v>61</v>
      </c>
      <c r="H885" s="2" t="s">
        <v>62</v>
      </c>
      <c r="I885" s="2" t="str">
        <f>IFERROR(__xludf.DUMMYFUNCTION("GOOGLETRANSLATE(C885,""fr"",""en"")"),"Quick contact and information.
The implementation of the contract has been rapid and effective.
The value for money is very good.
I will recommend")</f>
        <v>Quick contact and information.
The implementation of the contract has been rapid and effective.
The value for money is very good.
I will recommend</v>
      </c>
    </row>
    <row r="886" ht="15.75" customHeight="1">
      <c r="A886" s="2">
        <v>2.0</v>
      </c>
      <c r="B886" s="2" t="s">
        <v>2465</v>
      </c>
      <c r="C886" s="2" t="s">
        <v>2466</v>
      </c>
      <c r="D886" s="2" t="s">
        <v>135</v>
      </c>
      <c r="E886" s="2" t="s">
        <v>60</v>
      </c>
      <c r="F886" s="2" t="s">
        <v>15</v>
      </c>
      <c r="G886" s="2" t="s">
        <v>705</v>
      </c>
      <c r="H886" s="2" t="s">
        <v>29</v>
      </c>
      <c r="I886" s="2" t="str">
        <f>IFERROR(__xludf.DUMMYFUNCTION("GOOGLETRANSLATE(C886,""fr"",""en"")"),"Listening responds when we call them to pay for your ultra-fast subscription on the other hand to reimburse you your declared motorcycle wrecks several companies takes care of your file and it is the hot potato conclusion already 2 months and a half and s"&amp;"till no Refund The ICAR group awaits the assignment of the gray card by the prefecture Comclusion must not have an accident at AMV otherwise no vehicle for going to work ???????? very disappointed my good brother who works at the ministry From the inside "&amp;"will take care of my file when you get back from vacation")</f>
        <v>Listening responds when we call them to pay for your ultra-fast subscription on the other hand to reimburse you your declared motorcycle wrecks several companies takes care of your file and it is the hot potato conclusion already 2 months and a half and still no Refund The ICAR group awaits the assignment of the gray card by the prefecture Comclusion must not have an accident at AMV otherwise no vehicle for going to work ???????? very disappointed my good brother who works at the ministry From the inside will take care of my file when you get back from vacation</v>
      </c>
    </row>
    <row r="887" ht="15.75" customHeight="1">
      <c r="A887" s="2">
        <v>5.0</v>
      </c>
      <c r="B887" s="2" t="s">
        <v>2467</v>
      </c>
      <c r="C887" s="2" t="s">
        <v>2468</v>
      </c>
      <c r="D887" s="2" t="s">
        <v>32</v>
      </c>
      <c r="E887" s="2" t="s">
        <v>21</v>
      </c>
      <c r="F887" s="2" t="s">
        <v>15</v>
      </c>
      <c r="G887" s="2" t="s">
        <v>343</v>
      </c>
      <c r="H887" s="2" t="s">
        <v>29</v>
      </c>
      <c r="I887" s="2" t="str">
        <f>IFERROR(__xludf.DUMMYFUNCTION("GOOGLETRANSLATE(C887,""fr"",""en"")"),"I am satisfied with the prices after seeing in the long term how the care is managed during a disaster or other, and very satisfied with accessibility to the site")</f>
        <v>I am satisfied with the prices after seeing in the long term how the care is managed during a disaster or other, and very satisfied with accessibility to the site</v>
      </c>
    </row>
    <row r="888" ht="15.75" customHeight="1">
      <c r="A888" s="2">
        <v>1.0</v>
      </c>
      <c r="B888" s="2" t="s">
        <v>2469</v>
      </c>
      <c r="C888" s="2" t="s">
        <v>2470</v>
      </c>
      <c r="D888" s="2" t="s">
        <v>72</v>
      </c>
      <c r="E888" s="2" t="s">
        <v>21</v>
      </c>
      <c r="F888" s="2" t="s">
        <v>15</v>
      </c>
      <c r="G888" s="2" t="s">
        <v>2471</v>
      </c>
      <c r="H888" s="2" t="s">
        <v>427</v>
      </c>
      <c r="I888" s="2" t="str">
        <f>IFERROR(__xludf.DUMMYFUNCTION("GOOGLETRANSLATE(C888,""fr"",""en"")"),"Client for 40 years at the Matmut I will change insurer: indeed the Declaration of the claims of Aix en Provence is impolish and aggressive and that is why I prefer to call the headquarters. This is not the first time it has happened. I made a statement a"&amp;"fter a rental car came back to me. Impossible to make my interlocutor understand that the driver did not have a document on him. This person was aggressive, discourtise, she raised her tone, refused to set me his first name and pass me his manager and of "&amp;"course customer service.")</f>
        <v>Client for 40 years at the Matmut I will change insurer: indeed the Declaration of the claims of Aix en Provence is impolish and aggressive and that is why I prefer to call the headquarters. This is not the first time it has happened. I made a statement after a rental car came back to me. Impossible to make my interlocutor understand that the driver did not have a document on him. This person was aggressive, discourtise, she raised her tone, refused to set me his first name and pass me his manager and of course customer service.</v>
      </c>
    </row>
    <row r="889" ht="15.75" customHeight="1">
      <c r="A889" s="2">
        <v>4.0</v>
      </c>
      <c r="B889" s="2" t="s">
        <v>2472</v>
      </c>
      <c r="C889" s="2" t="s">
        <v>2473</v>
      </c>
      <c r="D889" s="2" t="s">
        <v>430</v>
      </c>
      <c r="E889" s="2" t="s">
        <v>82</v>
      </c>
      <c r="F889" s="2" t="s">
        <v>15</v>
      </c>
      <c r="G889" s="2" t="s">
        <v>464</v>
      </c>
      <c r="H889" s="2" t="s">
        <v>464</v>
      </c>
      <c r="I889" s="2" t="str">
        <f>IFERROR(__xludf.DUMMYFUNCTION("GOOGLETRANSLATE(C889,""fr"",""en"")"),"Very satisfied with the price and the clarity of information on the mutual contract, fast and effective online services
thank you for your response
Cordially")</f>
        <v>Very satisfied with the price and the clarity of information on the mutual contract, fast and effective online services
thank you for your response
Cordially</v>
      </c>
    </row>
    <row r="890" ht="15.75" customHeight="1">
      <c r="A890" s="2">
        <v>4.0</v>
      </c>
      <c r="B890" s="2" t="s">
        <v>2474</v>
      </c>
      <c r="C890" s="2" t="s">
        <v>2475</v>
      </c>
      <c r="D890" s="2" t="s">
        <v>81</v>
      </c>
      <c r="E890" s="2" t="s">
        <v>82</v>
      </c>
      <c r="F890" s="2" t="s">
        <v>15</v>
      </c>
      <c r="G890" s="2" t="s">
        <v>2476</v>
      </c>
      <c r="H890" s="2" t="s">
        <v>419</v>
      </c>
      <c r="I890" s="2" t="str">
        <f>IFERROR(__xludf.DUMMYFUNCTION("GOOGLETRANSLATE(C890,""fr"",""en"")"),"Customer since 2012 and very satisfied with services.
Satisfied with the recall for new contract and new price")</f>
        <v>Customer since 2012 and very satisfied with services.
Satisfied with the recall for new contract and new price</v>
      </c>
    </row>
    <row r="891" ht="15.75" customHeight="1">
      <c r="A891" s="2">
        <v>4.0</v>
      </c>
      <c r="B891" s="2" t="s">
        <v>2477</v>
      </c>
      <c r="C891" s="2" t="s">
        <v>2478</v>
      </c>
      <c r="D891" s="2" t="s">
        <v>32</v>
      </c>
      <c r="E891" s="2" t="s">
        <v>21</v>
      </c>
      <c r="F891" s="2" t="s">
        <v>15</v>
      </c>
      <c r="G891" s="2" t="s">
        <v>2479</v>
      </c>
      <c r="H891" s="2" t="s">
        <v>39</v>
      </c>
      <c r="I891" s="2" t="str">
        <f>IFERROR(__xludf.DUMMYFUNCTION("GOOGLETRANSLATE(C891,""fr"",""en"")"),"I am satisfied with the service, reasonable price, small downside the franchise paid especially when it is not our fault or no incident declared for a while")</f>
        <v>I am satisfied with the service, reasonable price, small downside the franchise paid especially when it is not our fault or no incident declared for a while</v>
      </c>
    </row>
    <row r="892" ht="15.75" customHeight="1">
      <c r="A892" s="2">
        <v>3.0</v>
      </c>
      <c r="B892" s="2" t="s">
        <v>2480</v>
      </c>
      <c r="C892" s="2" t="s">
        <v>2481</v>
      </c>
      <c r="D892" s="2" t="s">
        <v>98</v>
      </c>
      <c r="E892" s="2" t="s">
        <v>21</v>
      </c>
      <c r="F892" s="2" t="s">
        <v>15</v>
      </c>
      <c r="G892" s="2" t="s">
        <v>594</v>
      </c>
      <c r="H892" s="2" t="s">
        <v>17</v>
      </c>
      <c r="I892" s="2" t="str">
        <f>IFERROR(__xludf.DUMMYFUNCTION("GOOGLETRANSLATE(C892,""fr"",""en"")"),"Fresh caches ...
Want to take up an insurance subscription 2 months before the failure ... and even several days before the date stipulated on their share notice.
Interesting point, on their opinion of failure it is stipulated that they take costs in th"&amp;"e event of rejection rejection .... and as if by chance on their sag in advance in advance, they want to invoice the rejection fees Package on the grounds of ""absent rib"".
I don't seem alone in this case.
It looks like a common practice to inflate the"&amp;"ir benfices.
I'm going to declaire this for the repression of the fraud.")</f>
        <v>Fresh caches ...
Want to take up an insurance subscription 2 months before the failure ... and even several days before the date stipulated on their share notice.
Interesting point, on their opinion of failure it is stipulated that they take costs in the event of rejection rejection .... and as if by chance on their sag in advance in advance, they want to invoice the rejection fees Package on the grounds of "absent rib".
I don't seem alone in this case.
It looks like a common practice to inflate their benfices.
I'm going to declaire this for the repression of the fraud.</v>
      </c>
    </row>
    <row r="893" ht="15.75" customHeight="1">
      <c r="A893" s="2">
        <v>4.0</v>
      </c>
      <c r="B893" s="2" t="s">
        <v>2482</v>
      </c>
      <c r="C893" s="2" t="s">
        <v>2483</v>
      </c>
      <c r="D893" s="2" t="s">
        <v>32</v>
      </c>
      <c r="E893" s="2" t="s">
        <v>21</v>
      </c>
      <c r="F893" s="2" t="s">
        <v>15</v>
      </c>
      <c r="G893" s="2" t="s">
        <v>121</v>
      </c>
      <c r="H893" s="2" t="s">
        <v>104</v>
      </c>
      <c r="I893" s="2" t="str">
        <f>IFERROR(__xludf.DUMMYFUNCTION("GOOGLETRANSLATE(C893,""fr"",""en"")"),"The service is simple and practical and fast.
Some interesting formulated advice
the price is good and competitive
The only surprise is the payment of three monthly payments today")</f>
        <v>The service is simple and practical and fast.
Some interesting formulated advice
the price is good and competitive
The only surprise is the payment of three monthly payments today</v>
      </c>
    </row>
    <row r="894" ht="15.75" customHeight="1">
      <c r="A894" s="2">
        <v>2.0</v>
      </c>
      <c r="B894" s="2" t="s">
        <v>2484</v>
      </c>
      <c r="C894" s="2" t="s">
        <v>2485</v>
      </c>
      <c r="D894" s="2" t="s">
        <v>32</v>
      </c>
      <c r="E894" s="2" t="s">
        <v>21</v>
      </c>
      <c r="F894" s="2" t="s">
        <v>15</v>
      </c>
      <c r="G894" s="2" t="s">
        <v>2486</v>
      </c>
      <c r="H894" s="2" t="s">
        <v>115</v>
      </c>
      <c r="I894" s="2" t="str">
        <f>IFERROR(__xludf.DUMMYFUNCTION("GOOGLETRANSLATE(C894,""fr"",""en"")"),"At the time I have provided two cars with .. but it's the last year, when I make price comparison I find a lot of differences for the same guarantees, in addition, twice offered me reimbursements, that never happens to my account.")</f>
        <v>At the time I have provided two cars with .. but it's the last year, when I make price comparison I find a lot of differences for the same guarantees, in addition, twice offered me reimbursements, that never happens to my account.</v>
      </c>
    </row>
    <row r="895" ht="15.75" customHeight="1">
      <c r="A895" s="2">
        <v>2.0</v>
      </c>
      <c r="B895" s="2" t="s">
        <v>2487</v>
      </c>
      <c r="C895" s="2" t="s">
        <v>2488</v>
      </c>
      <c r="D895" s="2" t="s">
        <v>442</v>
      </c>
      <c r="E895" s="2" t="s">
        <v>157</v>
      </c>
      <c r="F895" s="2" t="s">
        <v>15</v>
      </c>
      <c r="G895" s="2" t="s">
        <v>2489</v>
      </c>
      <c r="H895" s="2" t="s">
        <v>17</v>
      </c>
      <c r="I895" s="2" t="str">
        <f>IFERROR(__xludf.DUMMYFUNCTION("GOOGLETRANSLATE(C895,""fr"",""en"")"),"I submitted a request for the repurchase of Madelin to the Caisse d'Epargne (intermediary) on 08/7/2020. The law provides that this amount must be available to me within 30 days. We are 14 and still nothing. Scandal! Every day passing without this money, "&amp;"has a cost; Money necessary for the company. Maybe we will tell me that my file was incomplete while the content was checked by the Caisse d'Epargne advisor.
In terms of support for businesses ...")</f>
        <v>I submitted a request for the repurchase of Madelin to the Caisse d'Epargne (intermediary) on 08/7/2020. The law provides that this amount must be available to me within 30 days. We are 14 and still nothing. Scandal! Every day passing without this money, has a cost; Money necessary for the company. Maybe we will tell me that my file was incomplete while the content was checked by the Caisse d'Epargne advisor.
In terms of support for businesses ...</v>
      </c>
    </row>
    <row r="896" ht="15.75" customHeight="1">
      <c r="A896" s="2">
        <v>1.0</v>
      </c>
      <c r="B896" s="2" t="s">
        <v>2490</v>
      </c>
      <c r="C896" s="2" t="s">
        <v>2491</v>
      </c>
      <c r="D896" s="2" t="s">
        <v>267</v>
      </c>
      <c r="E896" s="2" t="s">
        <v>33</v>
      </c>
      <c r="F896" s="2" t="s">
        <v>15</v>
      </c>
      <c r="G896" s="2" t="s">
        <v>2492</v>
      </c>
      <c r="H896" s="2" t="s">
        <v>74</v>
      </c>
      <c r="I896" s="2" t="str">
        <f>IFERROR(__xludf.DUMMYFUNCTION("GOOGLETRANSLATE(C896,""fr"",""en"")"),"Highly advised against, if you don't need them, no problem. Following a water leak with 200m3 disappeared from water under the house, their expert did not see the link between this leak and the cracks and subsidence of my house. And all this with a bad ti"&amp;"me despite a counter-expertise made at my expense. The only solution: legal expertise, years of combat and thousands of euros to move forward.")</f>
        <v>Highly advised against, if you don't need them, no problem. Following a water leak with 200m3 disappeared from water under the house, their expert did not see the link between this leak and the cracks and subsidence of my house. And all this with a bad time despite a counter-expertise made at my expense. The only solution: legal expertise, years of combat and thousands of euros to move forward.</v>
      </c>
    </row>
    <row r="897" ht="15.75" customHeight="1">
      <c r="A897" s="2">
        <v>2.0</v>
      </c>
      <c r="B897" s="2" t="s">
        <v>2493</v>
      </c>
      <c r="C897" s="2" t="s">
        <v>2494</v>
      </c>
      <c r="D897" s="2" t="s">
        <v>65</v>
      </c>
      <c r="E897" s="2" t="s">
        <v>60</v>
      </c>
      <c r="F897" s="2" t="s">
        <v>15</v>
      </c>
      <c r="G897" s="2" t="s">
        <v>2495</v>
      </c>
      <c r="H897" s="2" t="s">
        <v>419</v>
      </c>
      <c r="I897" s="2" t="str">
        <f>IFERROR(__xludf.DUMMYFUNCTION("GOOGLETRANSLATE(C897,""fr"",""en"")"),"Insured in January after several reminders on my part,
concerns pdf/jpg, payment of 2 months of insurance, authorization to levy in the rules ... etc
The samples planned have not been taken, no incident on my account, and I receive a letter of collectio"&amp;"n company during my absence (several months), worse that tells me that I am no longer assured!
Impossible to reach April Moto
And no response to the emails !!! I don't know how it will end, but to take another insurance when one has been terminated for "&amp;"""lack of payment"" (while I am not at fault !!!) I suppose that cost!
If you can advise me .....
")</f>
        <v>Insured in January after several reminders on my part,
concerns pdf/jpg, payment of 2 months of insurance, authorization to levy in the rules ... etc
The samples planned have not been taken, no incident on my account, and I receive a letter of collection company during my absence (several months), worse that tells me that I am no longer assured!
Impossible to reach April Moto
And no response to the emails !!! I don't know how it will end, but to take another insurance when one has been terminated for "lack of payment" (while I am not at fault !!!) I suppose that cost!
If you can advise me .....
</v>
      </c>
    </row>
    <row r="898" ht="15.75" customHeight="1">
      <c r="A898" s="2">
        <v>4.0</v>
      </c>
      <c r="B898" s="2" t="s">
        <v>2496</v>
      </c>
      <c r="C898" s="2" t="s">
        <v>2497</v>
      </c>
      <c r="D898" s="2" t="s">
        <v>298</v>
      </c>
      <c r="E898" s="2" t="s">
        <v>157</v>
      </c>
      <c r="F898" s="2" t="s">
        <v>15</v>
      </c>
      <c r="G898" s="2" t="s">
        <v>2498</v>
      </c>
      <c r="H898" s="2" t="s">
        <v>405</v>
      </c>
      <c r="I898" s="2" t="str">
        <f>IFERROR(__xludf.DUMMYFUNCTION("GOOGLETRANSLATE(C898,""fr"",""en"")"),"In prospecting in search of a salary maintenance contract, I consulted the opinions concerning this provident organization, the negative opinions had put me on my guard. So I want to let people know that for my part I was informed in a very professional m"&amp;"anner during my call to the agency of Lille Sud. The person I had on the phone was able to raise all my questions and concerns about the clauses of the guarantee I wanted to subscribe, clauses which had remained unclear for me after my visit to the agency"&amp;" of Lille Center.
The responses were clear and precise, this person (Valérie-Agence de Lille Sud) was able to answer me clearly, in a very professional way, while our exchange was on time to break the agency. I am suddenly reassured about the continuatio"&amp;"n and it convinced me to adhere to interdial, especially since Lille agencies are accessible in physics and telephone, and not only on a telephone or online platform.")</f>
        <v>In prospecting in search of a salary maintenance contract, I consulted the opinions concerning this provident organization, the negative opinions had put me on my guard. So I want to let people know that for my part I was informed in a very professional manner during my call to the agency of Lille Sud. The person I had on the phone was able to raise all my questions and concerns about the clauses of the guarantee I wanted to subscribe, clauses which had remained unclear for me after my visit to the agency of Lille Center.
The responses were clear and precise, this person (Valérie-Agence de Lille Sud) was able to answer me clearly, in a very professional way, while our exchange was on time to break the agency. I am suddenly reassured about the continuation and it convinced me to adhere to interdial, especially since Lille agencies are accessible in physics and telephone, and not only on a telephone or online platform.</v>
      </c>
    </row>
    <row r="899" ht="15.75" customHeight="1">
      <c r="A899" s="2">
        <v>2.0</v>
      </c>
      <c r="B899" s="2" t="s">
        <v>2499</v>
      </c>
      <c r="C899" s="2" t="s">
        <v>2500</v>
      </c>
      <c r="D899" s="2" t="s">
        <v>145</v>
      </c>
      <c r="E899" s="2" t="s">
        <v>33</v>
      </c>
      <c r="F899" s="2" t="s">
        <v>15</v>
      </c>
      <c r="G899" s="2" t="s">
        <v>2501</v>
      </c>
      <c r="H899" s="2" t="s">
        <v>147</v>
      </c>
      <c r="I899" s="2" t="str">
        <f>IFERROR(__xludf.DUMMYFUNCTION("GOOGLETRANSLATE(C899,""fr"",""en"")"),"Insured at the MAAF for over 25 years all insurance combined: housing, cars, motorcycles. We have just received a notice of termination for our housing contract under the pretext: 'Too many claims'! For 25 years, we have had 2 years for water damage for a"&amp;"mounts of less than 200 euros and a flight declaration. It is to take people for milk cows, as long as you pay and you don't ask for anything is fine, although to have information you often come across incompetent on the phone. On the other hand, it only "&amp;"takes a more serious disaster to be terminated your contract! But finally what an insurance is for if it does not want to take care of claims, you have to change jobs.")</f>
        <v>Insured at the MAAF for over 25 years all insurance combined: housing, cars, motorcycles. We have just received a notice of termination for our housing contract under the pretext: 'Too many claims'! For 25 years, we have had 2 years for water damage for amounts of less than 200 euros and a flight declaration. It is to take people for milk cows, as long as you pay and you don't ask for anything is fine, although to have information you often come across incompetent on the phone. On the other hand, it only takes a more serious disaster to be terminated your contract! But finally what an insurance is for if it does not want to take care of claims, you have to change jobs.</v>
      </c>
    </row>
    <row r="900" ht="15.75" customHeight="1">
      <c r="A900" s="2">
        <v>5.0</v>
      </c>
      <c r="B900" s="2" t="s">
        <v>2502</v>
      </c>
      <c r="C900" s="2" t="s">
        <v>2503</v>
      </c>
      <c r="D900" s="2" t="s">
        <v>32</v>
      </c>
      <c r="E900" s="2" t="s">
        <v>21</v>
      </c>
      <c r="F900" s="2" t="s">
        <v>15</v>
      </c>
      <c r="G900" s="2" t="s">
        <v>974</v>
      </c>
      <c r="H900" s="2" t="s">
        <v>62</v>
      </c>
      <c r="I900" s="2" t="str">
        <f>IFERROR(__xludf.DUMMYFUNCTION("GOOGLETRANSLATE(C900,""fr"",""en"")"),"I am satisfied with the service ,, simple and practical, the prices are very suitable and the service is fast; In addition, the Comunation with the Customer is very easy")</f>
        <v>I am satisfied with the service ,, simple and practical, the prices are very suitable and the service is fast; In addition, the Comunation with the Customer is very easy</v>
      </c>
    </row>
    <row r="901" ht="15.75" customHeight="1">
      <c r="A901" s="2">
        <v>3.0</v>
      </c>
      <c r="B901" s="2" t="s">
        <v>2504</v>
      </c>
      <c r="C901" s="2" t="s">
        <v>2505</v>
      </c>
      <c r="D901" s="2" t="s">
        <v>32</v>
      </c>
      <c r="E901" s="2" t="s">
        <v>21</v>
      </c>
      <c r="F901" s="2" t="s">
        <v>15</v>
      </c>
      <c r="G901" s="2" t="s">
        <v>62</v>
      </c>
      <c r="H901" s="2" t="s">
        <v>62</v>
      </c>
      <c r="I901" s="2" t="str">
        <f>IFERROR(__xludf.DUMMYFUNCTION("GOOGLETRANSLATE(C901,""fr"",""en"")"),"I am satisfied but I am not yet business to you. I did not find problems with the life. I have been a client at 3 years, the price of my package should be reduced.")</f>
        <v>I am satisfied but I am not yet business to you. I did not find problems with the life. I have been a client at 3 years, the price of my package should be reduced.</v>
      </c>
    </row>
    <row r="902" ht="15.75" customHeight="1">
      <c r="A902" s="2">
        <v>3.0</v>
      </c>
      <c r="B902" s="2" t="s">
        <v>2506</v>
      </c>
      <c r="C902" s="2" t="s">
        <v>2507</v>
      </c>
      <c r="D902" s="2" t="s">
        <v>430</v>
      </c>
      <c r="E902" s="2" t="s">
        <v>82</v>
      </c>
      <c r="F902" s="2" t="s">
        <v>15</v>
      </c>
      <c r="G902" s="2" t="s">
        <v>1970</v>
      </c>
      <c r="H902" s="2" t="s">
        <v>23</v>
      </c>
      <c r="I902" s="2" t="str">
        <f>IFERROR(__xludf.DUMMYFUNCTION("GOOGLETRANSLATE(C902,""fr"",""en"")"),"I am at April International via my life contract. I've been waiting for a refund of more than 600 euros for two months (recently amounts to more than € 1,000; April does not move my little finger to help me, an answer to one in two, simply saying that The"&amp;"y relaunch the seat, and lies since they tell me that the originals have not reached them while I send everything by post followed and in express, and that certain invoices included in the mail (the cheapest) have been Treaty.")</f>
        <v>I am at April International via my life contract. I've been waiting for a refund of more than 600 euros for two months (recently amounts to more than € 1,000; April does not move my little finger to help me, an answer to one in two, simply saying that They relaunch the seat, and lies since they tell me that the originals have not reached them while I send everything by post followed and in express, and that certain invoices included in the mail (the cheapest) have been Treaty.</v>
      </c>
    </row>
    <row r="903" ht="15.75" customHeight="1">
      <c r="A903" s="2">
        <v>2.0</v>
      </c>
      <c r="B903" s="2" t="s">
        <v>2508</v>
      </c>
      <c r="C903" s="2" t="s">
        <v>2509</v>
      </c>
      <c r="D903" s="2" t="s">
        <v>303</v>
      </c>
      <c r="E903" s="2" t="s">
        <v>60</v>
      </c>
      <c r="F903" s="2" t="s">
        <v>15</v>
      </c>
      <c r="G903" s="2" t="s">
        <v>2510</v>
      </c>
      <c r="H903" s="2" t="s">
        <v>35</v>
      </c>
      <c r="I903" s="2" t="str">
        <f>IFERROR(__xludf.DUMMYFUNCTION("GOOGLETRANSLATE(C903,""fr"",""en"")"),"Customer for 40 years I note today that the Macif has become unable to manage a simple file. Flight attempt 2 wheels with violence. The vehicle was not stolen but damaged. Without saying it, the Macif delegated the management of the file to its subcontrac"&amp;"tor, the expertise firm and does not ensure any follow-up. More than 2 months and multiple reminders of the expert to obtain an expert report. And another one additional month and several calls to the Macif to arrive at an office payment without having in"&amp;"formed or consulted of a sum in place of the repair of damage. The worst is of course follow -up. Having known the time when the Macif was a serious and competent mutual, what a tumble ... I flee.")</f>
        <v>Customer for 40 years I note today that the Macif has become unable to manage a simple file. Flight attempt 2 wheels with violence. The vehicle was not stolen but damaged. Without saying it, the Macif delegated the management of the file to its subcontractor, the expertise firm and does not ensure any follow-up. More than 2 months and multiple reminders of the expert to obtain an expert report. And another one additional month and several calls to the Macif to arrive at an office payment without having informed or consulted of a sum in place of the repair of damage. The worst is of course follow -up. Having known the time when the Macif was a serious and competent mutual, what a tumble ... I flee.</v>
      </c>
    </row>
    <row r="904" ht="15.75" customHeight="1">
      <c r="A904" s="2">
        <v>1.0</v>
      </c>
      <c r="B904" s="2" t="s">
        <v>2511</v>
      </c>
      <c r="C904" s="2" t="s">
        <v>2512</v>
      </c>
      <c r="D904" s="2" t="s">
        <v>59</v>
      </c>
      <c r="E904" s="2" t="s">
        <v>33</v>
      </c>
      <c r="F904" s="2" t="s">
        <v>15</v>
      </c>
      <c r="G904" s="2" t="s">
        <v>1847</v>
      </c>
      <c r="H904" s="2" t="s">
        <v>62</v>
      </c>
      <c r="I904" s="2" t="str">
        <f>IFERROR(__xludf.DUMMYFUNCTION("GOOGLETRANSLATE(C904,""fr"",""en"")"),"The advisers are not very trained and make inconsistent answers and full of spelling mistakes, it is quite lamentable because they especially seek not to compensate the insured, it is the home insurance in my case.")</f>
        <v>The advisers are not very trained and make inconsistent answers and full of spelling mistakes, it is quite lamentable because they especially seek not to compensate the insured, it is the home insurance in my case.</v>
      </c>
    </row>
    <row r="905" ht="15.75" customHeight="1">
      <c r="A905" s="2">
        <v>2.0</v>
      </c>
      <c r="B905" s="2" t="s">
        <v>2513</v>
      </c>
      <c r="C905" s="2" t="s">
        <v>2514</v>
      </c>
      <c r="D905" s="2" t="s">
        <v>42</v>
      </c>
      <c r="E905" s="2" t="s">
        <v>21</v>
      </c>
      <c r="F905" s="2" t="s">
        <v>15</v>
      </c>
      <c r="G905" s="2" t="s">
        <v>766</v>
      </c>
      <c r="H905" s="2" t="s">
        <v>74</v>
      </c>
      <c r="I905" s="2" t="str">
        <f>IFERROR(__xludf.DUMMYFUNCTION("GOOGLETRANSLATE(C905,""fr"",""en"")"),"I had been sinister for 15 days now on this date it has been 3 times that I am told that an expert is contacted nothing at all the lack of serious competence also I think to call on the defense of the consonants if nothing happens In the days that arrive "&amp;"I strongly advise you against")</f>
        <v>I had been sinister for 15 days now on this date it has been 3 times that I am told that an expert is contacted nothing at all the lack of serious competence also I think to call on the defense of the consonants if nothing happens In the days that arrive I strongly advise you against</v>
      </c>
    </row>
    <row r="906" ht="15.75" customHeight="1">
      <c r="A906" s="2">
        <v>1.0</v>
      </c>
      <c r="B906" s="2" t="s">
        <v>2515</v>
      </c>
      <c r="C906" s="2" t="s">
        <v>2516</v>
      </c>
      <c r="D906" s="2" t="s">
        <v>65</v>
      </c>
      <c r="E906" s="2" t="s">
        <v>60</v>
      </c>
      <c r="F906" s="2" t="s">
        <v>15</v>
      </c>
      <c r="G906" s="2" t="s">
        <v>772</v>
      </c>
      <c r="H906" s="2" t="s">
        <v>52</v>
      </c>
      <c r="I906" s="2" t="str">
        <f>IFERROR(__xludf.DUMMYFUNCTION("GOOGLETRANSLATE(C906,""fr"",""en"")"),"Here is my opinion I had sent a letter to April_moto with the photocopies of my gray card and the assurance of my scooter; to ask them why the validity date of my gray card does not correspond to that of insurance, and On the letter I and ask them if I ne"&amp;"eded proof from EU to put my scooter with scooter because it does not tighten me. And I put I what is not recommended by having an answer From Eu by mail never had any news. I make them by their sites always the same answers. And in their but there is an "&amp;"address it is false. And in another site I must always change either password Or that I my customer number. I have to do it each time, they do not answer normally to explain the questions of asked.")</f>
        <v>Here is my opinion I had sent a letter to April_moto with the photocopies of my gray card and the assurance of my scooter; to ask them why the validity date of my gray card does not correspond to that of insurance, and On the letter I and ask them if I needed proof from EU to put my scooter with scooter because it does not tighten me. And I put I what is not recommended by having an answer From Eu by mail never had any news. I make them by their sites always the same answers. And in their but there is an address it is false. And in another site I must always change either password Or that I my customer number. I have to do it each time, they do not answer normally to explain the questions of asked.</v>
      </c>
    </row>
    <row r="907" ht="15.75" customHeight="1">
      <c r="A907" s="2">
        <v>3.0</v>
      </c>
      <c r="B907" s="2" t="s">
        <v>2517</v>
      </c>
      <c r="C907" s="2" t="s">
        <v>2518</v>
      </c>
      <c r="D907" s="2" t="s">
        <v>59</v>
      </c>
      <c r="E907" s="2" t="s">
        <v>157</v>
      </c>
      <c r="F907" s="2" t="s">
        <v>15</v>
      </c>
      <c r="G907" s="2" t="s">
        <v>2519</v>
      </c>
      <c r="H907" s="2" t="s">
        <v>95</v>
      </c>
      <c r="I907" s="2" t="str">
        <f>IFERROR(__xludf.DUMMYFUNCTION("GOOGLETRANSLATE(C907,""fr"",""en"")"),"To what it is for that I pay a complementary Santée in Axa, so that it is Neoliane Health Provident who reimburses me, I cannot pay 2 that will do me too much, moreover I have nothing to ask and I sign nothing ..")</f>
        <v>To what it is for that I pay a complementary Santée in Axa, so that it is Neoliane Health Provident who reimburses me, I cannot pay 2 that will do me too much, moreover I have nothing to ask and I sign nothing ..</v>
      </c>
    </row>
    <row r="908" ht="15.75" customHeight="1">
      <c r="A908" s="2">
        <v>1.0</v>
      </c>
      <c r="B908" s="2" t="s">
        <v>2520</v>
      </c>
      <c r="C908" s="2" t="s">
        <v>2521</v>
      </c>
      <c r="D908" s="2" t="s">
        <v>430</v>
      </c>
      <c r="E908" s="2" t="s">
        <v>27</v>
      </c>
      <c r="F908" s="2" t="s">
        <v>15</v>
      </c>
      <c r="G908" s="2" t="s">
        <v>1957</v>
      </c>
      <c r="H908" s="2" t="s">
        <v>74</v>
      </c>
      <c r="I908" s="2" t="str">
        <f>IFERROR(__xludf.DUMMYFUNCTION("GOOGLETRANSLATE(C908,""fr"",""en"")"),"Bad faith. Date of failure not in connection with the date of the credit. Slow . Always requests documents to slow out the terminations.
To avoid. Too old organization.")</f>
        <v>Bad faith. Date of failure not in connection with the date of the credit. Slow . Always requests documents to slow out the terminations.
To avoid. Too old organization.</v>
      </c>
    </row>
    <row r="909" ht="15.75" customHeight="1">
      <c r="A909" s="2">
        <v>4.0</v>
      </c>
      <c r="B909" s="2" t="s">
        <v>2522</v>
      </c>
      <c r="C909" s="2" t="s">
        <v>2523</v>
      </c>
      <c r="D909" s="2" t="s">
        <v>32</v>
      </c>
      <c r="E909" s="2" t="s">
        <v>21</v>
      </c>
      <c r="F909" s="2" t="s">
        <v>15</v>
      </c>
      <c r="G909" s="2" t="s">
        <v>843</v>
      </c>
      <c r="H909" s="2" t="s">
        <v>104</v>
      </c>
      <c r="I909" s="2" t="str">
        <f>IFERROR(__xludf.DUMMYFUNCTION("GOOGLETRANSLATE(C909,""fr"",""en"")"),"containing prices and conditions as well as explanations given hoping that our reports will last a long time in a good thing that has not taken place with other insurers")</f>
        <v>containing prices and conditions as well as explanations given hoping that our reports will last a long time in a good thing that has not taken place with other insurers</v>
      </c>
    </row>
    <row r="910" ht="15.75" customHeight="1">
      <c r="A910" s="2">
        <v>4.0</v>
      </c>
      <c r="B910" s="2" t="s">
        <v>2524</v>
      </c>
      <c r="C910" s="2" t="s">
        <v>2525</v>
      </c>
      <c r="D910" s="2" t="s">
        <v>32</v>
      </c>
      <c r="E910" s="2" t="s">
        <v>21</v>
      </c>
      <c r="F910" s="2" t="s">
        <v>15</v>
      </c>
      <c r="G910" s="2" t="s">
        <v>1599</v>
      </c>
      <c r="H910" s="2" t="s">
        <v>48</v>
      </c>
      <c r="I910" s="2" t="str">
        <f>IFERROR(__xludf.DUMMYFUNCTION("GOOGLETRANSLATE(C910,""fr"",""en"")"),"Simple and practical
Cheaper than competition
Satisfied with this service
The subscription path is clear, practical, effective. In a few clicks")</f>
        <v>Simple and practical
Cheaper than competition
Satisfied with this service
The subscription path is clear, practical, effective. In a few clicks</v>
      </c>
    </row>
    <row r="911" ht="15.75" customHeight="1">
      <c r="A911" s="2">
        <v>1.0</v>
      </c>
      <c r="B911" s="2" t="s">
        <v>2526</v>
      </c>
      <c r="C911" s="2" t="s">
        <v>2527</v>
      </c>
      <c r="D911" s="2" t="s">
        <v>303</v>
      </c>
      <c r="E911" s="2" t="s">
        <v>33</v>
      </c>
      <c r="F911" s="2" t="s">
        <v>15</v>
      </c>
      <c r="G911" s="2" t="s">
        <v>2528</v>
      </c>
      <c r="H911" s="2" t="s">
        <v>278</v>
      </c>
      <c r="I911" s="2" t="str">
        <f>IFERROR(__xludf.DUMMYFUNCTION("GOOGLETRANSLATE(C911,""fr"",""en"")"),"I had a water leak at home, I contacted the Macif (Dupleix agency) they told me to take a plumber to search for the leak and that this service is reimbursed. I took a plumber and I moved once again to give them your own the plumber's bill 115.50 euros. Th"&amp;"e young lady made the photocopy and promised me that someone Imha will contact me. 2 months later I contact the IMHA who tell me that they had received nothing from the Macif and that I had to return the bill. I returned it by email on July 3, 2018 but no"&amp;" one calls! I contact them on July 26 and the gentleman tells me that he received my email on July 20 !! At the end when I told him they wandered people because they were accomplices with the Macif, he told me stated and confirmed that yes they were accom"&amp;"plices with the Macif because they work for them. Currently I am preparing 2 recommended letters for these 2 establishments in which I demand the recording of calls. Could you advise me an insurance company that respects its customers?")</f>
        <v>I had a water leak at home, I contacted the Macif (Dupleix agency) they told me to take a plumber to search for the leak and that this service is reimbursed. I took a plumber and I moved once again to give them your own the plumber's bill 115.50 euros. The young lady made the photocopy and promised me that someone Imha will contact me. 2 months later I contact the IMHA who tell me that they had received nothing from the Macif and that I had to return the bill. I returned it by email on July 3, 2018 but no one calls! I contact them on July 26 and the gentleman tells me that he received my email on July 20 !! At the end when I told him they wandered people because they were accomplices with the Macif, he told me stated and confirmed that yes they were accomplices with the Macif because they work for them. Currently I am preparing 2 recommended letters for these 2 establishments in which I demand the recording of calls. Could you advise me an insurance company that respects its customers?</v>
      </c>
    </row>
    <row r="912" ht="15.75" customHeight="1">
      <c r="A912" s="2">
        <v>4.0</v>
      </c>
      <c r="B912" s="2" t="s">
        <v>2529</v>
      </c>
      <c r="C912" s="2" t="s">
        <v>2530</v>
      </c>
      <c r="D912" s="2" t="s">
        <v>42</v>
      </c>
      <c r="E912" s="2" t="s">
        <v>21</v>
      </c>
      <c r="F912" s="2" t="s">
        <v>15</v>
      </c>
      <c r="G912" s="2" t="s">
        <v>234</v>
      </c>
      <c r="H912" s="2" t="s">
        <v>29</v>
      </c>
      <c r="I912" s="2" t="str">
        <f>IFERROR(__xludf.DUMMYFUNCTION("GOOGLETRANSLATE(C912,""fr"",""en"")"),"Very good telephone reception, speed, very intuitive site. Only downside a partnership with IGRAAL for cash back of € 55 impossible to validate when finalizing by the payment of the deposit in CB. With each message ""hey an error is produced please contac"&amp;"t an advisor"".
Too bad 55 € is not a small sum….")</f>
        <v>Very good telephone reception, speed, very intuitive site. Only downside a partnership with IGRAAL for cash back of € 55 impossible to validate when finalizing by the payment of the deposit in CB. With each message "hey an error is produced please contact an advisor".
Too bad 55 € is not a small sum….</v>
      </c>
    </row>
    <row r="913" ht="15.75" customHeight="1">
      <c r="A913" s="2">
        <v>5.0</v>
      </c>
      <c r="B913" s="2" t="s">
        <v>2531</v>
      </c>
      <c r="C913" s="2" t="s">
        <v>2532</v>
      </c>
      <c r="D913" s="2" t="s">
        <v>32</v>
      </c>
      <c r="E913" s="2" t="s">
        <v>21</v>
      </c>
      <c r="F913" s="2" t="s">
        <v>15</v>
      </c>
      <c r="G913" s="2" t="s">
        <v>243</v>
      </c>
      <c r="H913" s="2" t="s">
        <v>52</v>
      </c>
      <c r="I913" s="2" t="str">
        <f>IFERROR(__xludf.DUMMYFUNCTION("GOOGLETRANSLATE(C913,""fr"",""en"")"),"Very very very difficult to connect to send documents good relationship with the customer
Reminder immediately when there is a pbl
I need to send you documents that doesn't happen
")</f>
        <v>Very very very difficult to connect to send documents good relationship with the customer
Reminder immediately when there is a pbl
I need to send you documents that doesn't happen
</v>
      </c>
    </row>
    <row r="914" ht="15.75" customHeight="1">
      <c r="A914" s="2">
        <v>3.0</v>
      </c>
      <c r="B914" s="2" t="s">
        <v>2533</v>
      </c>
      <c r="C914" s="2" t="s">
        <v>2534</v>
      </c>
      <c r="D914" s="2" t="s">
        <v>32</v>
      </c>
      <c r="E914" s="2" t="s">
        <v>21</v>
      </c>
      <c r="F914" s="2" t="s">
        <v>15</v>
      </c>
      <c r="G914" s="2" t="s">
        <v>1467</v>
      </c>
      <c r="H914" s="2" t="s">
        <v>52</v>
      </c>
      <c r="I914" s="2" t="str">
        <f>IFERROR(__xludf.DUMMYFUNCTION("GOOGLETRANSLATE(C914,""fr"",""en"")"),"I am satisfied with the service, the prices could be a little more attractive, an effort could be there. If not responsive to our solisations")</f>
        <v>I am satisfied with the service, the prices could be a little more attractive, an effort could be there. If not responsive to our solisations</v>
      </c>
    </row>
    <row r="915" ht="15.75" customHeight="1">
      <c r="A915" s="2">
        <v>5.0</v>
      </c>
      <c r="B915" s="2" t="s">
        <v>2535</v>
      </c>
      <c r="C915" s="2" t="s">
        <v>2536</v>
      </c>
      <c r="D915" s="2" t="s">
        <v>32</v>
      </c>
      <c r="E915" s="2" t="s">
        <v>21</v>
      </c>
      <c r="F915" s="2" t="s">
        <v>15</v>
      </c>
      <c r="G915" s="2" t="s">
        <v>943</v>
      </c>
      <c r="H915" s="2" t="s">
        <v>104</v>
      </c>
      <c r="I915" s="2" t="str">
        <f>IFERROR(__xludf.DUMMYFUNCTION("GOOGLETRANSLATE(C915,""fr"",""en"")"),"I am satisfied with the service, prices suit me and people are helpful and effective.
Speed ​​and wise advice etc etc .....")</f>
        <v>I am satisfied with the service, prices suit me and people are helpful and effective.
Speed ​​and wise advice etc etc .....</v>
      </c>
    </row>
    <row r="916" ht="15.75" customHeight="1">
      <c r="A916" s="2">
        <v>5.0</v>
      </c>
      <c r="B916" s="2" t="s">
        <v>2537</v>
      </c>
      <c r="C916" s="2" t="s">
        <v>2538</v>
      </c>
      <c r="D916" s="2" t="s">
        <v>32</v>
      </c>
      <c r="E916" s="2" t="s">
        <v>21</v>
      </c>
      <c r="F916" s="2" t="s">
        <v>15</v>
      </c>
      <c r="G916" s="2" t="s">
        <v>2539</v>
      </c>
      <c r="H916" s="2" t="s">
        <v>29</v>
      </c>
      <c r="I916" s="2" t="str">
        <f>IFERROR(__xludf.DUMMYFUNCTION("GOOGLETRANSLATE(C916,""fr"",""en"")"),"Fluid, auto contracts and housing subscribed with ease with a very professional advisor and whom I thank.
I therefore recommend this insurance.")</f>
        <v>Fluid, auto contracts and housing subscribed with ease with a very professional advisor and whom I thank.
I therefore recommend this insurance.</v>
      </c>
    </row>
    <row r="917" ht="15.75" customHeight="1">
      <c r="A917" s="2">
        <v>1.0</v>
      </c>
      <c r="B917" s="2" t="s">
        <v>2540</v>
      </c>
      <c r="C917" s="2" t="s">
        <v>2541</v>
      </c>
      <c r="D917" s="2" t="s">
        <v>303</v>
      </c>
      <c r="E917" s="2" t="s">
        <v>157</v>
      </c>
      <c r="F917" s="2" t="s">
        <v>15</v>
      </c>
      <c r="G917" s="2" t="s">
        <v>432</v>
      </c>
      <c r="H917" s="2" t="s">
        <v>432</v>
      </c>
      <c r="I917" s="2" t="str">
        <f>IFERROR(__xludf.DUMMYFUNCTION("GOOGLETRANSLATE(C917,""fr"",""en"")"),"A disaster This insurance. To terminate my family provident regime insurance accident, contracted in the same as as car insurance (I did not even know), I am asked to pay 79.18 euros for the cancellation of the maturity !!! Unheard of with no insurance, I"&amp;"'m not ready to advertise you!
I specify mail sent on time and rar")</f>
        <v>A disaster This insurance. To terminate my family provident regime insurance accident, contracted in the same as as car insurance (I did not even know), I am asked to pay 79.18 euros for the cancellation of the maturity !!! Unheard of with no insurance, I'm not ready to advertise you!
I specify mail sent on time and rar</v>
      </c>
    </row>
    <row r="918" ht="15.75" customHeight="1">
      <c r="A918" s="2">
        <v>2.0</v>
      </c>
      <c r="B918" s="2" t="s">
        <v>2542</v>
      </c>
      <c r="C918" s="2" t="s">
        <v>2543</v>
      </c>
      <c r="D918" s="2" t="s">
        <v>98</v>
      </c>
      <c r="E918" s="2" t="s">
        <v>21</v>
      </c>
      <c r="F918" s="2" t="s">
        <v>15</v>
      </c>
      <c r="G918" s="2" t="s">
        <v>2544</v>
      </c>
      <c r="H918" s="2" t="s">
        <v>661</v>
      </c>
      <c r="I918" s="2" t="str">
        <f>IFERROR(__xludf.DUMMYFUNCTION("GOOGLETRANSLATE(C918,""fr"",""en"")"),"This insurer requests many documents and gives a month to send them. In October 2017 there was the implementation of the gray card by internet which could cause delays. This was my case with a termination of the contract under the following conditions: 1 "&amp;"month of paid insurance; Registration file fees; Termination file and termination fees. Out of 130 € they will give me around thirty ... after a month of insurance!")</f>
        <v>This insurer requests many documents and gives a month to send them. In October 2017 there was the implementation of the gray card by internet which could cause delays. This was my case with a termination of the contract under the following conditions: 1 month of paid insurance; Registration file fees; Termination file and termination fees. Out of 130 € they will give me around thirty ... after a month of insurance!</v>
      </c>
    </row>
    <row r="919" ht="15.75" customHeight="1">
      <c r="A919" s="2">
        <v>5.0</v>
      </c>
      <c r="B919" s="2" t="s">
        <v>2545</v>
      </c>
      <c r="C919" s="2" t="s">
        <v>2546</v>
      </c>
      <c r="D919" s="2" t="s">
        <v>32</v>
      </c>
      <c r="E919" s="2" t="s">
        <v>21</v>
      </c>
      <c r="F919" s="2" t="s">
        <v>15</v>
      </c>
      <c r="G919" s="2" t="s">
        <v>470</v>
      </c>
      <c r="H919" s="2" t="s">
        <v>56</v>
      </c>
      <c r="I919" s="2" t="str">
        <f>IFERROR(__xludf.DUMMYFUNCTION("GOOGLETRANSLATE(C919,""fr"",""en"")"),"I have been satisfied with the price compared to the Macif for over 40 years to see later if I would be completely satisfied by thanking Mr. Desarzens")</f>
        <v>I have been satisfied with the price compared to the Macif for over 40 years to see later if I would be completely satisfied by thanking Mr. Desarzens</v>
      </c>
    </row>
    <row r="920" ht="15.75" customHeight="1">
      <c r="A920" s="2">
        <v>4.0</v>
      </c>
      <c r="B920" s="2" t="s">
        <v>2547</v>
      </c>
      <c r="C920" s="2" t="s">
        <v>2548</v>
      </c>
      <c r="D920" s="2" t="s">
        <v>42</v>
      </c>
      <c r="E920" s="2" t="s">
        <v>21</v>
      </c>
      <c r="F920" s="2" t="s">
        <v>15</v>
      </c>
      <c r="G920" s="2" t="s">
        <v>1904</v>
      </c>
      <c r="H920" s="2" t="s">
        <v>52</v>
      </c>
      <c r="I920" s="2" t="str">
        <f>IFERROR(__xludf.DUMMYFUNCTION("GOOGLETRANSLATE(C920,""fr"",""en"")"),"Satisfactory and attractive price and quick response by phone. The agent I had on the phone was very nice. Completed insurance conditions.")</f>
        <v>Satisfactory and attractive price and quick response by phone. The agent I had on the phone was very nice. Completed insurance conditions.</v>
      </c>
    </row>
    <row r="921" ht="15.75" customHeight="1">
      <c r="A921" s="2">
        <v>1.0</v>
      </c>
      <c r="B921" s="2" t="s">
        <v>2549</v>
      </c>
      <c r="C921" s="2" t="s">
        <v>2550</v>
      </c>
      <c r="D921" s="2" t="s">
        <v>459</v>
      </c>
      <c r="E921" s="2" t="s">
        <v>27</v>
      </c>
      <c r="F921" s="2" t="s">
        <v>15</v>
      </c>
      <c r="G921" s="2" t="s">
        <v>1991</v>
      </c>
      <c r="H921" s="2" t="s">
        <v>35</v>
      </c>
      <c r="I921" s="2" t="str">
        <f>IFERROR(__xludf.DUMMYFUNCTION("GOOGLETRANSLATE(C921,""fr"",""en"")"),"WARNING ! Today I had to grasp the insurance mediator to find a solution to my dispute with them. It's been 8 months since they never unit me.
At 35, following grade 3 breast cancer, I am in ITT. They stopped compensation without reasons. I am up to date"&amp;" with payment of my contributions and subjects myself to all their requests for information (medical certificate signed by my doctor) even the most ""curious"" as information having nothing to do with my cancer pathology. Shipments are lost, despite the r"&amp;"ecommended. Treatment times are abusive: 2 months! And at the end of this period they constantly claim new documents to me. They demand the same document up to 4 times. Customer service is extremely difficult to reach. Never respond to emails.
When one u"&amp;"ndergoes such a heavy disease that has caused mastectomy, chemotherapy and radiotherapy, we must also undergo the lack of respect and professional conscience of the insurance which is supposed to guarantee us and take a weight. I took insurance to protect"&amp;" myself, in the end I have more problems than anything else. I am extremely disappointed.")</f>
        <v>WARNING ! Today I had to grasp the insurance mediator to find a solution to my dispute with them. It's been 8 months since they never unit me.
At 35, following grade 3 breast cancer, I am in ITT. They stopped compensation without reasons. I am up to date with payment of my contributions and subjects myself to all their requests for information (medical certificate signed by my doctor) even the most "curious" as information having nothing to do with my cancer pathology. Shipments are lost, despite the recommended. Treatment times are abusive: 2 months! And at the end of this period they constantly claim new documents to me. They demand the same document up to 4 times. Customer service is extremely difficult to reach. Never respond to emails.
When one undergoes such a heavy disease that has caused mastectomy, chemotherapy and radiotherapy, we must also undergo the lack of respect and professional conscience of the insurance which is supposed to guarantee us and take a weight. I took insurance to protect myself, in the end I have more problems than anything else. I am extremely disappointed.</v>
      </c>
    </row>
    <row r="922" ht="15.75" customHeight="1">
      <c r="A922" s="2">
        <v>5.0</v>
      </c>
      <c r="B922" s="2" t="s">
        <v>2551</v>
      </c>
      <c r="C922" s="2" t="s">
        <v>2552</v>
      </c>
      <c r="D922" s="2" t="s">
        <v>65</v>
      </c>
      <c r="E922" s="2" t="s">
        <v>60</v>
      </c>
      <c r="F922" s="2" t="s">
        <v>15</v>
      </c>
      <c r="G922" s="2" t="s">
        <v>1035</v>
      </c>
      <c r="H922" s="2" t="s">
        <v>62</v>
      </c>
      <c r="I922" s="2" t="str">
        <f>IFERROR(__xludf.DUMMYFUNCTION("GOOGLETRANSLATE(C922,""fr"",""en"")"),"Nickel! Fast and efficient I was able to ensure my 50cm3 motorcycle in less than 20 minutes! Thank you.
Cheap insurance and courteous customer service.")</f>
        <v>Nickel! Fast and efficient I was able to ensure my 50cm3 motorcycle in less than 20 minutes! Thank you.
Cheap insurance and courteous customer service.</v>
      </c>
    </row>
    <row r="923" ht="15.75" customHeight="1">
      <c r="A923" s="2">
        <v>4.0</v>
      </c>
      <c r="B923" s="2" t="s">
        <v>2553</v>
      </c>
      <c r="C923" s="2" t="s">
        <v>2554</v>
      </c>
      <c r="D923" s="2" t="s">
        <v>32</v>
      </c>
      <c r="E923" s="2" t="s">
        <v>21</v>
      </c>
      <c r="F923" s="2" t="s">
        <v>15</v>
      </c>
      <c r="G923" s="2" t="s">
        <v>1375</v>
      </c>
      <c r="H923" s="2" t="s">
        <v>126</v>
      </c>
      <c r="I923" s="2" t="str">
        <f>IFERROR(__xludf.DUMMYFUNCTION("GOOGLETRANSLATE(C923,""fr"",""en"")"),"Service satisfactory and fast service and completely accessible, very good prices, already a customer at Direct Insurance I will not fail to turn to them for a new vehicle.")</f>
        <v>Service satisfactory and fast service and completely accessible, very good prices, already a customer at Direct Insurance I will not fail to turn to them for a new vehicle.</v>
      </c>
    </row>
    <row r="924" ht="15.75" customHeight="1">
      <c r="A924" s="2">
        <v>2.0</v>
      </c>
      <c r="B924" s="2" t="s">
        <v>2555</v>
      </c>
      <c r="C924" s="2" t="s">
        <v>2556</v>
      </c>
      <c r="D924" s="2" t="s">
        <v>135</v>
      </c>
      <c r="E924" s="2" t="s">
        <v>60</v>
      </c>
      <c r="F924" s="2" t="s">
        <v>15</v>
      </c>
      <c r="G924" s="2" t="s">
        <v>505</v>
      </c>
      <c r="H924" s="2" t="s">
        <v>56</v>
      </c>
      <c r="I924" s="2" t="str">
        <f>IFERROR(__xludf.DUMMYFUNCTION("GOOGLETRANSLATE(C924,""fr"",""en"")"),"I am satisfied with the quote, a faithful customer presentation should have been applied but that does not seem to exist at AMV. I assure this vehicle today for a second -hand purchase")</f>
        <v>I am satisfied with the quote, a faithful customer presentation should have been applied but that does not seem to exist at AMV. I assure this vehicle today for a second -hand purchase</v>
      </c>
    </row>
    <row r="925" ht="15.75" customHeight="1">
      <c r="A925" s="2">
        <v>1.0</v>
      </c>
      <c r="B925" s="2" t="s">
        <v>2557</v>
      </c>
      <c r="C925" s="2" t="s">
        <v>2558</v>
      </c>
      <c r="D925" s="2" t="s">
        <v>145</v>
      </c>
      <c r="E925" s="2" t="s">
        <v>21</v>
      </c>
      <c r="F925" s="2" t="s">
        <v>15</v>
      </c>
      <c r="G925" s="2" t="s">
        <v>2559</v>
      </c>
      <c r="H925" s="2" t="s">
        <v>206</v>
      </c>
      <c r="I925" s="2" t="str">
        <f>IFERROR(__xludf.DUMMYFUNCTION("GOOGLETRANSLATE(C925,""fr"",""en"")"),"Thank you the maaf after+ 40 years of loyalty I am throwing me because of a disaster. It is incredible loyalty no longer pays. I will never believe that. While I still have good you")</f>
        <v>Thank you the maaf after+ 40 years of loyalty I am throwing me because of a disaster. It is incredible loyalty no longer pays. I will never believe that. While I still have good you</v>
      </c>
    </row>
    <row r="926" ht="15.75" customHeight="1">
      <c r="A926" s="2">
        <v>4.0</v>
      </c>
      <c r="B926" s="2" t="s">
        <v>2560</v>
      </c>
      <c r="C926" s="2" t="s">
        <v>2561</v>
      </c>
      <c r="D926" s="2" t="s">
        <v>42</v>
      </c>
      <c r="E926" s="2" t="s">
        <v>21</v>
      </c>
      <c r="F926" s="2" t="s">
        <v>15</v>
      </c>
      <c r="G926" s="2" t="s">
        <v>527</v>
      </c>
      <c r="H926" s="2" t="s">
        <v>29</v>
      </c>
      <c r="I926" s="2" t="str">
        <f>IFERROR(__xludf.DUMMYFUNCTION("GOOGLETRANSLATE(C926,""fr"",""en"")"),"Simple subscription, very clear description of the different possible car insurance covers. Customer service is hyper responsive and good advice, and online subscription function in 2 clicks!")</f>
        <v>Simple subscription, very clear description of the different possible car insurance covers. Customer service is hyper responsive and good advice, and online subscription function in 2 clicks!</v>
      </c>
    </row>
    <row r="927" ht="15.75" customHeight="1">
      <c r="A927" s="2">
        <v>2.0</v>
      </c>
      <c r="B927" s="2" t="s">
        <v>2562</v>
      </c>
      <c r="C927" s="2" t="s">
        <v>2563</v>
      </c>
      <c r="D927" s="2" t="s">
        <v>20</v>
      </c>
      <c r="E927" s="2" t="s">
        <v>21</v>
      </c>
      <c r="F927" s="2" t="s">
        <v>15</v>
      </c>
      <c r="G927" s="2" t="s">
        <v>2564</v>
      </c>
      <c r="H927" s="2" t="s">
        <v>104</v>
      </c>
      <c r="I927" s="2" t="str">
        <f>IFERROR(__xludf.DUMMYFUNCTION("GOOGLETRANSLATE(C927,""fr"",""en"")"),"After 35 years of loyalty to the MAIF I leave this insurance following a threat of termination of my daughter who had 3 accidents in 4 years
No way to parliament even for a faithful member
Too bad I was so far satisfied and never looked for insurance
c"&amp;"ompeting
Satisfaction my other daughter will also go to competition")</f>
        <v>After 35 years of loyalty to the MAIF I leave this insurance following a threat of termination of my daughter who had 3 accidents in 4 years
No way to parliament even for a faithful member
Too bad I was so far satisfied and never looked for insurance
competing
Satisfaction my other daughter will also go to competition</v>
      </c>
    </row>
    <row r="928" ht="15.75" customHeight="1">
      <c r="A928" s="2">
        <v>4.0</v>
      </c>
      <c r="B928" s="2" t="s">
        <v>2565</v>
      </c>
      <c r="C928" s="2" t="s">
        <v>2566</v>
      </c>
      <c r="D928" s="2" t="s">
        <v>135</v>
      </c>
      <c r="E928" s="2" t="s">
        <v>60</v>
      </c>
      <c r="F928" s="2" t="s">
        <v>15</v>
      </c>
      <c r="G928" s="2" t="s">
        <v>2539</v>
      </c>
      <c r="H928" s="2" t="s">
        <v>29</v>
      </c>
      <c r="I928" s="2" t="str">
        <f>IFERROR(__xludf.DUMMYFUNCTION("GOOGLETRANSLATE(C928,""fr"",""en"")"),"Very competitive price and well detailed information by phone. See if everything is in accordance with a disaster?
Registration is easy and quick.")</f>
        <v>Very competitive price and well detailed information by phone. See if everything is in accordance with a disaster?
Registration is easy and quick.</v>
      </c>
    </row>
    <row r="929" ht="15.75" customHeight="1">
      <c r="A929" s="2">
        <v>2.0</v>
      </c>
      <c r="B929" s="2" t="s">
        <v>2567</v>
      </c>
      <c r="C929" s="2" t="s">
        <v>2568</v>
      </c>
      <c r="D929" s="2" t="s">
        <v>42</v>
      </c>
      <c r="E929" s="2" t="s">
        <v>21</v>
      </c>
      <c r="F929" s="2" t="s">
        <v>15</v>
      </c>
      <c r="G929" s="2" t="s">
        <v>2569</v>
      </c>
      <c r="H929" s="2" t="s">
        <v>474</v>
      </c>
      <c r="I929" s="2" t="str">
        <f>IFERROR(__xludf.DUMMYFUNCTION("GOOGLETRANSLATE(C929,""fr"",""en"")"),"Cheap at first glance, we were struck following a disaster (too late brake with percussion of the front vehicle which was stopped). Result, for a car that is worth less than 4000 euros, we find ourselves paying almost 200 euros more than last year.
For"&amp;"tunately, we didn't have to pay a franchise, but still ...
Have that in mind!")</f>
        <v>Cheap at first glance, we were struck following a disaster (too late brake with percussion of the front vehicle which was stopped). Result, for a car that is worth less than 4000 euros, we find ourselves paying almost 200 euros more than last year.
Fortunately, we didn't have to pay a franchise, but still ...
Have that in mind!</v>
      </c>
    </row>
    <row r="930" ht="15.75" customHeight="1">
      <c r="A930" s="2">
        <v>1.0</v>
      </c>
      <c r="B930" s="2" t="s">
        <v>2570</v>
      </c>
      <c r="C930" s="2" t="s">
        <v>2571</v>
      </c>
      <c r="D930" s="2" t="s">
        <v>839</v>
      </c>
      <c r="E930" s="2" t="s">
        <v>220</v>
      </c>
      <c r="F930" s="2" t="s">
        <v>15</v>
      </c>
      <c r="G930" s="2" t="s">
        <v>2572</v>
      </c>
      <c r="H930" s="2" t="s">
        <v>78</v>
      </c>
      <c r="I930" s="2" t="str">
        <f>IFERROR(__xludf.DUMMYFUNCTION("GOOGLETRANSLATE(C930,""fr"",""en"")"),"Very bad opinion does everything to keep your capital. This refuge behind the state. If I could put Zero it would be with pleasure.
The pension insurance is only there to fly to you in addition to keeping your capital we take contributions from your paym"&amp;"ents.")</f>
        <v>Very bad opinion does everything to keep your capital. This refuge behind the state. If I could put Zero it would be with pleasure.
The pension insurance is only there to fly to you in addition to keeping your capital we take contributions from your payments.</v>
      </c>
    </row>
    <row r="931" ht="15.75" customHeight="1">
      <c r="A931" s="2">
        <v>4.0</v>
      </c>
      <c r="B931" s="2" t="s">
        <v>2573</v>
      </c>
      <c r="C931" s="2" t="s">
        <v>2574</v>
      </c>
      <c r="D931" s="2" t="s">
        <v>42</v>
      </c>
      <c r="E931" s="2" t="s">
        <v>21</v>
      </c>
      <c r="F931" s="2" t="s">
        <v>15</v>
      </c>
      <c r="G931" s="2" t="s">
        <v>2539</v>
      </c>
      <c r="H931" s="2" t="s">
        <v>29</v>
      </c>
      <c r="I931" s="2" t="str">
        <f>IFERROR(__xludf.DUMMYFUNCTION("GOOGLETRANSLATE(C931,""fr"",""en"")"),"Good, fast and correct price level (even if other well -known net insurance is much cheaper)
I hope that this little extra will be passed on to the case of the quality of the service in particular")</f>
        <v>Good, fast and correct price level (even if other well -known net insurance is much cheaper)
I hope that this little extra will be passed on to the case of the quality of the service in particular</v>
      </c>
    </row>
    <row r="932" ht="15.75" customHeight="1">
      <c r="A932" s="2">
        <v>5.0</v>
      </c>
      <c r="B932" s="2" t="s">
        <v>2575</v>
      </c>
      <c r="C932" s="2" t="s">
        <v>2576</v>
      </c>
      <c r="D932" s="2" t="s">
        <v>430</v>
      </c>
      <c r="E932" s="2" t="s">
        <v>82</v>
      </c>
      <c r="F932" s="2" t="s">
        <v>15</v>
      </c>
      <c r="G932" s="2" t="s">
        <v>2577</v>
      </c>
      <c r="H932" s="2" t="s">
        <v>464</v>
      </c>
      <c r="I932" s="2" t="str">
        <f>IFERROR(__xludf.DUMMYFUNCTION("GOOGLETRANSLATE(C932,""fr"",""en"")"),"Very well received. The advisor I was able to have was at the top. Very welcoming, understanding in relation to my needs. It deserves an increase.")</f>
        <v>Very well received. The advisor I was able to have was at the top. Very welcoming, understanding in relation to my needs. It deserves an increase.</v>
      </c>
    </row>
    <row r="933" ht="15.75" customHeight="1">
      <c r="A933" s="2">
        <v>2.0</v>
      </c>
      <c r="B933" s="2" t="s">
        <v>2578</v>
      </c>
      <c r="C933" s="2" t="s">
        <v>2579</v>
      </c>
      <c r="D933" s="2" t="s">
        <v>135</v>
      </c>
      <c r="E933" s="2" t="s">
        <v>60</v>
      </c>
      <c r="F933" s="2" t="s">
        <v>15</v>
      </c>
      <c r="G933" s="2" t="s">
        <v>2580</v>
      </c>
      <c r="H933" s="2" t="s">
        <v>300</v>
      </c>
      <c r="I933" s="2" t="str">
        <f>IFERROR(__xludf.DUMMYFUNCTION("GOOGLETRANSLATE(C933,""fr"",""en"")"),"To flee ------------- without comments -------------------------------------------------------------------------- ------------------------------------------------------------------------------------------ --------------")</f>
        <v>To flee ------------- without comments -------------------------------------------------------------------------- ------------------------------------------------------------------------------------------ --------------</v>
      </c>
    </row>
    <row r="934" ht="15.75" customHeight="1">
      <c r="A934" s="2">
        <v>4.0</v>
      </c>
      <c r="B934" s="2" t="s">
        <v>2581</v>
      </c>
      <c r="C934" s="2" t="s">
        <v>2582</v>
      </c>
      <c r="D934" s="2" t="s">
        <v>65</v>
      </c>
      <c r="E934" s="2" t="s">
        <v>60</v>
      </c>
      <c r="F934" s="2" t="s">
        <v>15</v>
      </c>
      <c r="G934" s="2" t="s">
        <v>1058</v>
      </c>
      <c r="H934" s="2" t="s">
        <v>62</v>
      </c>
      <c r="I934" s="2" t="str">
        <f>IFERROR(__xludf.DUMMYFUNCTION("GOOGLETRANSLATE(C934,""fr"",""en"")"),"Hello everything went well, the connection is fast, the information is clear and detailed, the digitization of the documents seems difficult and one cannot advance if it lacks documents.")</f>
        <v>Hello everything went well, the connection is fast, the information is clear and detailed, the digitization of the documents seems difficult and one cannot advance if it lacks documents.</v>
      </c>
    </row>
    <row r="935" ht="15.75" customHeight="1">
      <c r="A935" s="2">
        <v>1.0</v>
      </c>
      <c r="B935" s="2" t="s">
        <v>2583</v>
      </c>
      <c r="C935" s="2" t="s">
        <v>2584</v>
      </c>
      <c r="D935" s="2" t="s">
        <v>183</v>
      </c>
      <c r="E935" s="2" t="s">
        <v>21</v>
      </c>
      <c r="F935" s="2" t="s">
        <v>15</v>
      </c>
      <c r="G935" s="2" t="s">
        <v>905</v>
      </c>
      <c r="H935" s="2" t="s">
        <v>17</v>
      </c>
      <c r="I935" s="2" t="str">
        <f>IFERROR(__xludf.DUMMYFUNCTION("GOOGLETRANSLATE(C935,""fr"",""en"")"),"Far too expensive for the same services than other insurance
No call on the part of the insurer to offer prices discounts, not competitive!")</f>
        <v>Far too expensive for the same services than other insurance
No call on the part of the insurer to offer prices discounts, not competitive!</v>
      </c>
    </row>
    <row r="936" ht="15.75" customHeight="1">
      <c r="A936" s="2">
        <v>5.0</v>
      </c>
      <c r="B936" s="2" t="s">
        <v>2585</v>
      </c>
      <c r="C936" s="2" t="s">
        <v>2586</v>
      </c>
      <c r="D936" s="2" t="s">
        <v>42</v>
      </c>
      <c r="E936" s="2" t="s">
        <v>21</v>
      </c>
      <c r="F936" s="2" t="s">
        <v>15</v>
      </c>
      <c r="G936" s="2" t="s">
        <v>2587</v>
      </c>
      <c r="H936" s="2" t="s">
        <v>52</v>
      </c>
      <c r="I936" s="2" t="str">
        <f>IFERROR(__xludf.DUMMYFUNCTION("GOOGLETRANSLATE(C936,""fr"",""en"")"),"Very satisfied I recommend the Olivier Insurance Consulting and listening to the TOP TOPE TOP TO MUCL Insurance professionals do not hesitate I advise them")</f>
        <v>Very satisfied I recommend the Olivier Insurance Consulting and listening to the TOP TOPE TOP TO MUCL Insurance professionals do not hesitate I advise them</v>
      </c>
    </row>
    <row r="937" ht="15.75" customHeight="1">
      <c r="A937" s="2">
        <v>4.0</v>
      </c>
      <c r="B937" s="2" t="s">
        <v>2588</v>
      </c>
      <c r="C937" s="2" t="s">
        <v>2589</v>
      </c>
      <c r="D937" s="2" t="s">
        <v>42</v>
      </c>
      <c r="E937" s="2" t="s">
        <v>21</v>
      </c>
      <c r="F937" s="2" t="s">
        <v>15</v>
      </c>
      <c r="G937" s="2" t="s">
        <v>1323</v>
      </c>
      <c r="H937" s="2" t="s">
        <v>250</v>
      </c>
      <c r="I937" s="2" t="str">
        <f>IFERROR(__xludf.DUMMYFUNCTION("GOOGLETRANSLATE(C937,""fr"",""en"")"),"I have been a customer for a few months at the Olivier Insurance and I am currently completely satisfied. The advisers are attentive and really very pleasant, the prices are very correct and I have no problem with them")</f>
        <v>I have been a customer for a few months at the Olivier Insurance and I am currently completely satisfied. The advisers are attentive and really very pleasant, the prices are very correct and I have no problem with them</v>
      </c>
    </row>
    <row r="938" ht="15.75" customHeight="1">
      <c r="A938" s="2">
        <v>3.0</v>
      </c>
      <c r="B938" s="2" t="s">
        <v>2590</v>
      </c>
      <c r="C938" s="2" t="s">
        <v>2591</v>
      </c>
      <c r="D938" s="2" t="s">
        <v>183</v>
      </c>
      <c r="E938" s="2" t="s">
        <v>33</v>
      </c>
      <c r="F938" s="2" t="s">
        <v>15</v>
      </c>
      <c r="G938" s="2" t="s">
        <v>2592</v>
      </c>
      <c r="H938" s="2" t="s">
        <v>412</v>
      </c>
      <c r="I938" s="2" t="str">
        <f>IFERROR(__xludf.DUMMYFUNCTION("GOOGLETRANSLATE(C938,""fr"",""en"")"),"I declared a water damage on 10/22! I have relaunched ten times! Finally, I have a care but they tried to put my word in doubt despite photographs and called the entrepreneur who made the quote!
In the end I will still have for 500euro of my pocket (quot"&amp;"e too high and frankness).
The prices are advantageous but I realize that in the event of a disaster it is the galley !!!!")</f>
        <v>I declared a water damage on 10/22! I have relaunched ten times! Finally, I have a care but they tried to put my word in doubt despite photographs and called the entrepreneur who made the quote!
In the end I will still have for 500euro of my pocket (quote too high and frankness).
The prices are advantageous but I realize that in the event of a disaster it is the galley !!!!</v>
      </c>
    </row>
    <row r="939" ht="15.75" customHeight="1">
      <c r="A939" s="2">
        <v>4.0</v>
      </c>
      <c r="B939" s="2" t="s">
        <v>2593</v>
      </c>
      <c r="C939" s="2" t="s">
        <v>2594</v>
      </c>
      <c r="D939" s="2" t="s">
        <v>32</v>
      </c>
      <c r="E939" s="2" t="s">
        <v>21</v>
      </c>
      <c r="F939" s="2" t="s">
        <v>15</v>
      </c>
      <c r="G939" s="2" t="s">
        <v>339</v>
      </c>
      <c r="H939" s="2" t="s">
        <v>62</v>
      </c>
      <c r="I939" s="2" t="str">
        <f>IFERROR(__xludf.DUMMYFUNCTION("GOOGLETRANSLATE(C939,""fr"",""en"")"),"Fast topppppp and attractive and attractive price !!!!!!! Thank you
To see in the long term because new client !!!!!
Sponsorship of 20th !!!!!
I recommend")</f>
        <v>Fast topppppp and attractive and attractive price !!!!!!! Thank you
To see in the long term because new client !!!!!
Sponsorship of 20th !!!!!
I recommend</v>
      </c>
    </row>
    <row r="940" ht="15.75" customHeight="1">
      <c r="A940" s="2">
        <v>1.0</v>
      </c>
      <c r="B940" s="2" t="s">
        <v>2595</v>
      </c>
      <c r="C940" s="2" t="s">
        <v>2596</v>
      </c>
      <c r="D940" s="2" t="s">
        <v>42</v>
      </c>
      <c r="E940" s="2" t="s">
        <v>21</v>
      </c>
      <c r="F940" s="2" t="s">
        <v>15</v>
      </c>
      <c r="G940" s="2" t="s">
        <v>2597</v>
      </c>
      <c r="H940" s="2" t="s">
        <v>676</v>
      </c>
      <c r="I940" s="2" t="str">
        <f>IFERROR(__xludf.DUMMYFUNCTION("GOOGLETRANSLATE(C940,""fr"",""en"")"),"incompetent insurer; The interlocutors on the phone are unable to inform properly, never the same answer with each call; If there is a sinister, it is not regulated before a very long time. I decide to who this insurance")</f>
        <v>incompetent insurer; The interlocutors on the phone are unable to inform properly, never the same answer with each call; If there is a sinister, it is not regulated before a very long time. I decide to who this insurance</v>
      </c>
    </row>
    <row r="941" ht="15.75" customHeight="1">
      <c r="A941" s="2">
        <v>4.0</v>
      </c>
      <c r="B941" s="2" t="s">
        <v>2598</v>
      </c>
      <c r="C941" s="2" t="s">
        <v>2599</v>
      </c>
      <c r="D941" s="2" t="s">
        <v>81</v>
      </c>
      <c r="E941" s="2" t="s">
        <v>82</v>
      </c>
      <c r="F941" s="2" t="s">
        <v>15</v>
      </c>
      <c r="G941" s="2" t="s">
        <v>804</v>
      </c>
      <c r="H941" s="2" t="s">
        <v>29</v>
      </c>
      <c r="I941" s="2" t="str">
        <f>IFERROR(__xludf.DUMMYFUNCTION("GOOGLETRANSLATE(C941,""fr"",""en"")"),"Aminata is a competent and effective collaborator
problem solved
Aminata is a competent and effective collaborator
problem solved
Aminata is a competent and effective collaborator
problem solved
")</f>
        <v>Aminata is a competent and effective collaborator
problem solved
Aminata is a competent and effective collaborator
problem solved
Aminata is a competent and effective collaborator
problem solved
</v>
      </c>
    </row>
    <row r="942" ht="15.75" customHeight="1">
      <c r="A942" s="2">
        <v>1.0</v>
      </c>
      <c r="B942" s="2" t="s">
        <v>2600</v>
      </c>
      <c r="C942" s="2" t="s">
        <v>2601</v>
      </c>
      <c r="D942" s="2" t="s">
        <v>183</v>
      </c>
      <c r="E942" s="2" t="s">
        <v>21</v>
      </c>
      <c r="F942" s="2" t="s">
        <v>15</v>
      </c>
      <c r="G942" s="2" t="s">
        <v>176</v>
      </c>
      <c r="H942" s="2" t="s">
        <v>177</v>
      </c>
      <c r="I942" s="2" t="str">
        <f>IFERROR(__xludf.DUMMYFUNCTION("GOOGLETRANSLATE(C942,""fr"",""en"")"),"Hello, my case is very simple, I subscribed to car insurance in early September at Allianz (Golf 7). Well, the whole subscription procedure no worries, on the other hand, once finished I am claimed documents that I send immediately. The contract is well d"&amp;"isplayed in my space all the documents its OK, perfect. On the other hand I always received recovery emails to tell me that it was always missing a document, well I check, everything seems to me ok. So I call an advisor from Allianz, who confirms to me th"&amp;"at everything is ok no worries, the bot that spam I should not take it into account, ok. Except that the currently, I paid a quarter or € 280, and today the problem is still not solved is I received an email indicating the end of my contract in early Nove"&amp;"mber ?? How is it possible for such a long information processing time! I therefore find myself without auto insurance and impossible to have information on my contract because it is a contract signed by telephone (contract starting with AF). Shameful, I "&amp;"do not recommend this insurance, customer service 0 pointed gentlemen")</f>
        <v>Hello, my case is very simple, I subscribed to car insurance in early September at Allianz (Golf 7). Well, the whole subscription procedure no worries, on the other hand, once finished I am claimed documents that I send immediately. The contract is well displayed in my space all the documents its OK, perfect. On the other hand I always received recovery emails to tell me that it was always missing a document, well I check, everything seems to me ok. So I call an advisor from Allianz, who confirms to me that everything is ok no worries, the bot that spam I should not take it into account, ok. Except that the currently, I paid a quarter or € 280, and today the problem is still not solved is I received an email indicating the end of my contract in early November ?? How is it possible for such a long information processing time! I therefore find myself without auto insurance and impossible to have information on my contract because it is a contract signed by telephone (contract starting with AF). Shameful, I do not recommend this insurance, customer service 0 pointed gentlemen</v>
      </c>
    </row>
    <row r="943" ht="15.75" customHeight="1">
      <c r="A943" s="2">
        <v>1.0</v>
      </c>
      <c r="B943" s="2" t="s">
        <v>2602</v>
      </c>
      <c r="C943" s="2" t="s">
        <v>2603</v>
      </c>
      <c r="D943" s="2" t="s">
        <v>169</v>
      </c>
      <c r="E943" s="2" t="s">
        <v>82</v>
      </c>
      <c r="F943" s="2" t="s">
        <v>15</v>
      </c>
      <c r="G943" s="2" t="s">
        <v>376</v>
      </c>
      <c r="H943" s="2" t="s">
        <v>104</v>
      </c>
      <c r="I943" s="2" t="str">
        <f>IFERROR(__xludf.DUMMYFUNCTION("GOOGLETRANSLATE(C943,""fr"",""en"")"),"I have subscribed to dependence insurance at AG2R since 1994, today I need but impossible to have a real adviser who has taken care of the file for a month, it is shameful I do not recommend this insurance")</f>
        <v>I have subscribed to dependence insurance at AG2R since 1994, today I need but impossible to have a real adviser who has taken care of the file for a month, it is shameful I do not recommend this insurance</v>
      </c>
    </row>
    <row r="944" ht="15.75" customHeight="1">
      <c r="A944" s="2">
        <v>4.0</v>
      </c>
      <c r="B944" s="2" t="s">
        <v>2604</v>
      </c>
      <c r="C944" s="2" t="s">
        <v>2605</v>
      </c>
      <c r="D944" s="2" t="s">
        <v>42</v>
      </c>
      <c r="E944" s="2" t="s">
        <v>21</v>
      </c>
      <c r="F944" s="2" t="s">
        <v>15</v>
      </c>
      <c r="G944" s="2" t="s">
        <v>2606</v>
      </c>
      <c r="H944" s="2" t="s">
        <v>62</v>
      </c>
      <c r="I944" s="2" t="str">
        <f>IFERROR(__xludf.DUMMYFUNCTION("GOOGLETRANSLATE(C944,""fr"",""en"")"),"Very satisfied at the moment. A little complicated to reach an advisor via the cat from the site he advises to call directly but hey, excluding it, it remains correct.")</f>
        <v>Very satisfied at the moment. A little complicated to reach an advisor via the cat from the site he advises to call directly but hey, excluding it, it remains correct.</v>
      </c>
    </row>
    <row r="945" ht="15.75" customHeight="1">
      <c r="A945" s="2">
        <v>2.0</v>
      </c>
      <c r="B945" s="2" t="s">
        <v>2607</v>
      </c>
      <c r="C945" s="2" t="s">
        <v>2608</v>
      </c>
      <c r="D945" s="2" t="s">
        <v>183</v>
      </c>
      <c r="E945" s="2" t="s">
        <v>21</v>
      </c>
      <c r="F945" s="2" t="s">
        <v>15</v>
      </c>
      <c r="G945" s="2" t="s">
        <v>1957</v>
      </c>
      <c r="H945" s="2" t="s">
        <v>74</v>
      </c>
      <c r="I945" s="2" t="str">
        <f>IFERROR(__xludf.DUMMYFUNCTION("GOOGLETRANSLATE(C945,""fr"",""en"")"),"Membership via e-Allianz for car insurance. Accident with a deer 15 days ago: assistance intervention, vehicle routing to garage and since no news, insurance or an expert! Claim declared on the Allianz customer area having disappeared since then! Attempts"&amp;" to contact by email and telephone, daily and still no answer! All the interlocutors refer the ball and leave the file without management! We are disgusted! Laxism, negligence, disorganization, bad will? All this is unworthy of Allianz, insurance ""with y"&amp;"ou from A to Z""!")</f>
        <v>Membership via e-Allianz for car insurance. Accident with a deer 15 days ago: assistance intervention, vehicle routing to garage and since no news, insurance or an expert! Claim declared on the Allianz customer area having disappeared since then! Attempts to contact by email and telephone, daily and still no answer! All the interlocutors refer the ball and leave the file without management! We are disgusted! Laxism, negligence, disorganization, bad will? All this is unworthy of Allianz, insurance "with you from A to Z"!</v>
      </c>
    </row>
    <row r="946" ht="15.75" customHeight="1">
      <c r="A946" s="2">
        <v>3.0</v>
      </c>
      <c r="B946" s="2" t="s">
        <v>2609</v>
      </c>
      <c r="C946" s="2" t="s">
        <v>2610</v>
      </c>
      <c r="D946" s="2" t="s">
        <v>81</v>
      </c>
      <c r="E946" s="2" t="s">
        <v>82</v>
      </c>
      <c r="F946" s="2" t="s">
        <v>15</v>
      </c>
      <c r="G946" s="2" t="s">
        <v>2611</v>
      </c>
      <c r="H946" s="2" t="s">
        <v>100</v>
      </c>
      <c r="I946" s="2" t="str">
        <f>IFERROR(__xludf.DUMMYFUNCTION("GOOGLETRANSLATE(C946,""fr"",""en"")"),"I was contacted on December 18, 2017 and agreed to take out a mutual health insurance (Neoliane Serenite 4) at a price of € 134.34 per month and foresight Epsil (at a price of € 30.80 per month.
On December 20, after reflection, I try to join my advice, "&amp;"but in vain. I have contact with an adviser to whom I share the cancellation of Epsil Preturning.
My advisor reminds me later and we agree to keep only the Neoliane Serenite contract.
On December 27, I received a membership certificate as well as a sche"&amp;"dule of Neoliane and Epsil.
On January 01 and 03, 2018, I receive an email from Neoliane and Epsil telling me that my contracts are canceled.
I call Santiane who, after 20 minutes of waiting confirms to me that my contracts are well canceled.
Finding m"&amp;"yself without a mutual insurance company, I ask to keep my health contract. I ask me to send an email to Santiane@owliance to confirm my request.
Since sending this email, no news until January 24, day or wanting to go to my customer area, an advisor cal"&amp;"led me and allowed to restart my file.
As of January 25, I still don't know if my file is reactivated.
")</f>
        <v>I was contacted on December 18, 2017 and agreed to take out a mutual health insurance (Neoliane Serenite 4) at a price of € 134.34 per month and foresight Epsil (at a price of € 30.80 per month.
On December 20, after reflection, I try to join my advice, but in vain. I have contact with an adviser to whom I share the cancellation of Epsil Preturning.
My advisor reminds me later and we agree to keep only the Neoliane Serenite contract.
On December 27, I received a membership certificate as well as a schedule of Neoliane and Epsil.
On January 01 and 03, 2018, I receive an email from Neoliane and Epsil telling me that my contracts are canceled.
I call Santiane who, after 20 minutes of waiting confirms to me that my contracts are well canceled.
Finding myself without a mutual insurance company, I ask to keep my health contract. I ask me to send an email to Santiane@owliance to confirm my request.
Since sending this email, no news until January 24, day or wanting to go to my customer area, an advisor called me and allowed to restart my file.
As of January 25, I still don't know if my file is reactivated.
</v>
      </c>
    </row>
    <row r="947" ht="15.75" customHeight="1">
      <c r="A947" s="2">
        <v>3.0</v>
      </c>
      <c r="B947" s="2" t="s">
        <v>2612</v>
      </c>
      <c r="C947" s="2" t="s">
        <v>2613</v>
      </c>
      <c r="D947" s="2" t="s">
        <v>32</v>
      </c>
      <c r="E947" s="2" t="s">
        <v>21</v>
      </c>
      <c r="F947" s="2" t="s">
        <v>15</v>
      </c>
      <c r="G947" s="2" t="s">
        <v>2614</v>
      </c>
      <c r="H947" s="2" t="s">
        <v>39</v>
      </c>
      <c r="I947" s="2" t="str">
        <f>IFERROR(__xludf.DUMMYFUNCTION("GOOGLETRANSLATE(C947,""fr"",""en"")"),"Surprised to see that I have a deductible on the broken ice cream
You are one of the only companies to do it in all risks, you did not ask the question when signing the contract, but hey I contact you for a possible breach of the contracts
Goodbye")</f>
        <v>Surprised to see that I have a deductible on the broken ice cream
You are one of the only companies to do it in all risks, you did not ask the question when signing the contract, but hey I contact you for a possible breach of the contracts
Goodbye</v>
      </c>
    </row>
    <row r="948" ht="15.75" customHeight="1">
      <c r="A948" s="2">
        <v>1.0</v>
      </c>
      <c r="B948" s="2" t="s">
        <v>2615</v>
      </c>
      <c r="C948" s="2" t="s">
        <v>2616</v>
      </c>
      <c r="D948" s="2" t="s">
        <v>90</v>
      </c>
      <c r="E948" s="2" t="s">
        <v>82</v>
      </c>
      <c r="F948" s="2" t="s">
        <v>15</v>
      </c>
      <c r="G948" s="2" t="s">
        <v>2617</v>
      </c>
      <c r="H948" s="2" t="s">
        <v>474</v>
      </c>
      <c r="I948" s="2" t="str">
        <f>IFERROR(__xludf.DUMMYFUNCTION("GOOGLETRANSLATE(C948,""fr"",""en"")"),"Null mutual, increase 27 percent or 20 euros following age change.")</f>
        <v>Null mutual, increase 27 percent or 20 euros following age change.</v>
      </c>
    </row>
    <row r="949" ht="15.75" customHeight="1">
      <c r="A949" s="2">
        <v>5.0</v>
      </c>
      <c r="B949" s="2" t="s">
        <v>2618</v>
      </c>
      <c r="C949" s="2" t="s">
        <v>2619</v>
      </c>
      <c r="D949" s="2" t="s">
        <v>42</v>
      </c>
      <c r="E949" s="2" t="s">
        <v>21</v>
      </c>
      <c r="F949" s="2" t="s">
        <v>15</v>
      </c>
      <c r="G949" s="2" t="s">
        <v>2620</v>
      </c>
      <c r="H949" s="2" t="s">
        <v>56</v>
      </c>
      <c r="I949" s="2" t="str">
        <f>IFERROR(__xludf.DUMMYFUNCTION("GOOGLETRANSLATE(C949,""fr"",""en"")"),"I am delighted with your insurance it is good as insurance is well spoken well with customers thank you cordially Mr. Madame for all the information")</f>
        <v>I am delighted with your insurance it is good as insurance is well spoken well with customers thank you cordially Mr. Madame for all the information</v>
      </c>
    </row>
    <row r="950" ht="15.75" customHeight="1">
      <c r="A950" s="2">
        <v>4.0</v>
      </c>
      <c r="B950" s="2" t="s">
        <v>2621</v>
      </c>
      <c r="C950" s="2" t="s">
        <v>2622</v>
      </c>
      <c r="D950" s="2" t="s">
        <v>42</v>
      </c>
      <c r="E950" s="2" t="s">
        <v>21</v>
      </c>
      <c r="F950" s="2" t="s">
        <v>15</v>
      </c>
      <c r="G950" s="2" t="s">
        <v>355</v>
      </c>
      <c r="H950" s="2" t="s">
        <v>48</v>
      </c>
      <c r="I950" s="2" t="str">
        <f>IFERROR(__xludf.DUMMYFUNCTION("GOOGLETRANSLATE(C950,""fr"",""en"")"),"I am very satisfied with the service, I had to do with very nice people and above all listening to my needs.
I hope you will improve the price a bit")</f>
        <v>I am very satisfied with the service, I had to do with very nice people and above all listening to my needs.
I hope you will improve the price a bit</v>
      </c>
    </row>
    <row r="951" ht="15.75" customHeight="1">
      <c r="A951" s="2">
        <v>1.0</v>
      </c>
      <c r="B951" s="2" t="s">
        <v>2623</v>
      </c>
      <c r="C951" s="2" t="s">
        <v>2624</v>
      </c>
      <c r="D951" s="2" t="s">
        <v>303</v>
      </c>
      <c r="E951" s="2" t="s">
        <v>33</v>
      </c>
      <c r="F951" s="2" t="s">
        <v>15</v>
      </c>
      <c r="G951" s="2" t="s">
        <v>2625</v>
      </c>
      <c r="H951" s="2" t="s">
        <v>453</v>
      </c>
      <c r="I951" s="2" t="str">
        <f>IFERROR(__xludf.DUMMYFUNCTION("GOOGLETRANSLATE(C951,""fr"",""en"")"),"My father has just died and I sell his apartment, I keep paying home insurance during the sale but I have to pay a registration fee while my father was a customer at home for 55 years, it's really shameful")</f>
        <v>My father has just died and I sell his apartment, I keep paying home insurance during the sale but I have to pay a registration fee while my father was a customer at home for 55 years, it's really shameful</v>
      </c>
    </row>
    <row r="952" ht="15.75" customHeight="1">
      <c r="A952" s="2">
        <v>1.0</v>
      </c>
      <c r="B952" s="2" t="s">
        <v>2626</v>
      </c>
      <c r="C952" s="2" t="s">
        <v>2627</v>
      </c>
      <c r="D952" s="2" t="s">
        <v>42</v>
      </c>
      <c r="E952" s="2" t="s">
        <v>21</v>
      </c>
      <c r="F952" s="2" t="s">
        <v>15</v>
      </c>
      <c r="G952" s="2" t="s">
        <v>43</v>
      </c>
      <c r="H952" s="2" t="s">
        <v>44</v>
      </c>
      <c r="I952" s="2" t="str">
        <f>IFERROR(__xludf.DUMMYFUNCTION("GOOGLETRANSLATE(C952,""fr"",""en"")"),"After receiving my maturity notice dated 07/11/19 and received on 12/13/19, an LRAR was sent on 27/11/19 (with the postmark) to the olive tree in sight termination of my auto contract within the framework of the Chatel law.
Not only do the latter want to"&amp;" comply with the Chatel law and terminate my contract as requested within the 20 -day prartured, but in addition the amount deducted from 332.22 euros is much higher than the amount they had proposed and that I I refused! Hence my request for termination!"&amp;"
So I was debited from this sum of 322.30 euros when I am not even assured at home! A shame ! The olive tree an assurance to be recommended under any pretext")</f>
        <v>After receiving my maturity notice dated 07/11/19 and received on 12/13/19, an LRAR was sent on 27/11/19 (with the postmark) to the olive tree in sight termination of my auto contract within the framework of the Chatel law.
Not only do the latter want to comply with the Chatel law and terminate my contract as requested within the 20 -day prartured, but in addition the amount deducted from 332.22 euros is much higher than the amount they had proposed and that I I refused! Hence my request for termination!
So I was debited from this sum of 322.30 euros when I am not even assured at home! A shame ! The olive tree an assurance to be recommended under any pretext</v>
      </c>
    </row>
    <row r="953" ht="15.75" customHeight="1">
      <c r="A953" s="2">
        <v>1.0</v>
      </c>
      <c r="B953" s="2" t="s">
        <v>2628</v>
      </c>
      <c r="C953" s="2" t="s">
        <v>2629</v>
      </c>
      <c r="D953" s="2" t="s">
        <v>65</v>
      </c>
      <c r="E953" s="2" t="s">
        <v>60</v>
      </c>
      <c r="F953" s="2" t="s">
        <v>15</v>
      </c>
      <c r="G953" s="2" t="s">
        <v>2630</v>
      </c>
      <c r="H953" s="2" t="s">
        <v>250</v>
      </c>
      <c r="I953" s="2" t="str">
        <f>IFERROR(__xludf.DUMMYFUNCTION("GOOGLETRANSLATE(C953,""fr"",""en"")"),"Insured for years at April Moto for my scooter, I contacted them to make a change of address. They made an endorsement paid on my contract under the pretext that I could be in a more ""accident -causing"" area, dixit the advisor (I moved 1 km in the same "&amp;"city!).
I received my new green card addressed ..... at my old address. Too strong April Moto!")</f>
        <v>Insured for years at April Moto for my scooter, I contacted them to make a change of address. They made an endorsement paid on my contract under the pretext that I could be in a more "accident -causing" area, dixit the advisor (I moved 1 km in the same city!).
I received my new green card addressed ..... at my old address. Too strong April Moto!</v>
      </c>
    </row>
    <row r="954" ht="15.75" customHeight="1">
      <c r="A954" s="2">
        <v>1.0</v>
      </c>
      <c r="B954" s="2" t="s">
        <v>2631</v>
      </c>
      <c r="C954" s="2" t="s">
        <v>2632</v>
      </c>
      <c r="D954" s="2" t="s">
        <v>313</v>
      </c>
      <c r="E954" s="2" t="s">
        <v>82</v>
      </c>
      <c r="F954" s="2" t="s">
        <v>15</v>
      </c>
      <c r="G954" s="2" t="s">
        <v>2429</v>
      </c>
      <c r="H954" s="2" t="s">
        <v>866</v>
      </c>
      <c r="I954" s="2" t="str">
        <f>IFERROR(__xludf.DUMMYFUNCTION("GOOGLETRANSLATE(C954,""fr"",""en"")"),"For more than 15 days access to my account has been blocked, since the implementation of the new MFA security standard, no response to my many problem solving requests")</f>
        <v>For more than 15 days access to my account has been blocked, since the implementation of the new MFA security standard, no response to my many problem solving requests</v>
      </c>
    </row>
    <row r="955" ht="15.75" customHeight="1">
      <c r="A955" s="2">
        <v>1.0</v>
      </c>
      <c r="B955" s="2" t="s">
        <v>2633</v>
      </c>
      <c r="C955" s="2" t="s">
        <v>2634</v>
      </c>
      <c r="D955" s="2" t="s">
        <v>72</v>
      </c>
      <c r="E955" s="2" t="s">
        <v>33</v>
      </c>
      <c r="F955" s="2" t="s">
        <v>15</v>
      </c>
      <c r="G955" s="2" t="s">
        <v>2495</v>
      </c>
      <c r="H955" s="2" t="s">
        <v>419</v>
      </c>
      <c r="I955" s="2" t="str">
        <f>IFERROR(__xludf.DUMMYFUNCTION("GOOGLETRANSLATE(C955,""fr"",""en"")"),"An insurance file that has been dragging on appeal to the damage since 2015 and arriving at a completely laughable and ridiculous sum is really absurd")</f>
        <v>An insurance file that has been dragging on appeal to the damage since 2015 and arriving at a completely laughable and ridiculous sum is really absurd</v>
      </c>
    </row>
    <row r="956" ht="15.75" customHeight="1">
      <c r="A956" s="2">
        <v>2.0</v>
      </c>
      <c r="B956" s="2" t="s">
        <v>2635</v>
      </c>
      <c r="C956" s="2" t="s">
        <v>2636</v>
      </c>
      <c r="D956" s="2" t="s">
        <v>430</v>
      </c>
      <c r="E956" s="2" t="s">
        <v>82</v>
      </c>
      <c r="F956" s="2" t="s">
        <v>15</v>
      </c>
      <c r="G956" s="2" t="s">
        <v>2637</v>
      </c>
      <c r="H956" s="2" t="s">
        <v>74</v>
      </c>
      <c r="I956" s="2" t="str">
        <f>IFERROR(__xludf.DUMMYFUNCTION("GOOGLETRANSLATE(C956,""fr"",""en"")"),"Since 09/28/2020 I have been waiting for my confidential code to access my account since 05/10/2020 I expect a response concerning dental care .............. If I had to give a nickname to this insurance ...... turtle ............... when it comes to havi"&amp;"ng a very reactive contract signed ......... ... to respond to emails person .................. Like all insurance we are only good to pay ............ ....")</f>
        <v>Since 09/28/2020 I have been waiting for my confidential code to access my account since 05/10/2020 I expect a response concerning dental care .............. If I had to give a nickname to this insurance ...... turtle ............... when it comes to having a very reactive contract signed ......... ... to respond to emails person .................. Like all insurance we are only good to pay ............ ....</v>
      </c>
    </row>
    <row r="957" ht="15.75" customHeight="1">
      <c r="A957" s="2">
        <v>4.0</v>
      </c>
      <c r="B957" s="2" t="s">
        <v>2638</v>
      </c>
      <c r="C957" s="2" t="s">
        <v>2639</v>
      </c>
      <c r="D957" s="2" t="s">
        <v>135</v>
      </c>
      <c r="E957" s="2" t="s">
        <v>60</v>
      </c>
      <c r="F957" s="2" t="s">
        <v>15</v>
      </c>
      <c r="G957" s="2" t="s">
        <v>2640</v>
      </c>
      <c r="H957" s="2" t="s">
        <v>56</v>
      </c>
      <c r="I957" s="2" t="str">
        <f>IFERROR(__xludf.DUMMYFUNCTION("GOOGLETRANSLATE(C957,""fr"",""en"")"),"Despite a problem of understanding on the phone with one of your employees (I did not ask to withdraw all the options), I remain satisfied with your services")</f>
        <v>Despite a problem of understanding on the phone with one of your employees (I did not ask to withdraw all the options), I remain satisfied with your services</v>
      </c>
    </row>
    <row r="958" ht="15.75" customHeight="1">
      <c r="A958" s="2">
        <v>2.0</v>
      </c>
      <c r="B958" s="2" t="s">
        <v>2641</v>
      </c>
      <c r="C958" s="2" t="s">
        <v>2642</v>
      </c>
      <c r="D958" s="2" t="s">
        <v>477</v>
      </c>
      <c r="E958" s="2" t="s">
        <v>14</v>
      </c>
      <c r="F958" s="2" t="s">
        <v>15</v>
      </c>
      <c r="G958" s="2" t="s">
        <v>52</v>
      </c>
      <c r="H958" s="2" t="s">
        <v>52</v>
      </c>
      <c r="I958" s="2" t="str">
        <f>IFERROR(__xludf.DUMMYFUNCTION("GOOGLETRANSLATE(C958,""fr"",""en"")"),"I have been at Santevet for more than 10 years, no particular concern so far but I have just received the renewal of my contract, more than 12 € of monthly increase! I have never seen such a increase in a contribution of € 50 per month which is enormous w"&amp;"hen it is retired .....")</f>
        <v>I have been at Santevet for more than 10 years, no particular concern so far but I have just received the renewal of my contract, more than 12 € of monthly increase! I have never seen such a increase in a contribution of € 50 per month which is enormous when it is retired .....</v>
      </c>
    </row>
    <row r="959" ht="15.75" customHeight="1">
      <c r="A959" s="2">
        <v>1.0</v>
      </c>
      <c r="B959" s="2" t="s">
        <v>2643</v>
      </c>
      <c r="C959" s="2" t="s">
        <v>2644</v>
      </c>
      <c r="D959" s="2" t="s">
        <v>13</v>
      </c>
      <c r="E959" s="2" t="s">
        <v>14</v>
      </c>
      <c r="F959" s="2" t="s">
        <v>15</v>
      </c>
      <c r="G959" s="2" t="s">
        <v>2645</v>
      </c>
      <c r="H959" s="2" t="s">
        <v>74</v>
      </c>
      <c r="I959" s="2" t="str">
        <f>IFERROR(__xludf.DUMMYFUNCTION("GOOGLETRANSLATE(C959,""fr"",""en"")"),"I am the happy owner of a French bulldog, insured for 3 years, my dog ​​was operated following an effusion, I received an email informing me that my subscription would go from € 42 to € 66 per months from January 1, 2021. I called the quality service whic"&amp;"h offers to modify my guarantees, namely 60 % of care (instead of 80 % currently) for a monthly payment of € 52. I solve. To flee")</f>
        <v>I am the happy owner of a French bulldog, insured for 3 years, my dog ​​was operated following an effusion, I received an email informing me that my subscription would go from € 42 to € 66 per months from January 1, 2021. I called the quality service which offers to modify my guarantees, namely 60 % of care (instead of 80 % currently) for a monthly payment of € 52. I solve. To flee</v>
      </c>
    </row>
    <row r="960" ht="15.75" customHeight="1">
      <c r="A960" s="2">
        <v>2.0</v>
      </c>
      <c r="B960" s="2" t="s">
        <v>2646</v>
      </c>
      <c r="C960" s="2" t="s">
        <v>2647</v>
      </c>
      <c r="D960" s="2" t="s">
        <v>32</v>
      </c>
      <c r="E960" s="2" t="s">
        <v>21</v>
      </c>
      <c r="F960" s="2" t="s">
        <v>15</v>
      </c>
      <c r="G960" s="2" t="s">
        <v>2648</v>
      </c>
      <c r="H960" s="2" t="s">
        <v>405</v>
      </c>
      <c r="I960" s="2" t="str">
        <f>IFERROR(__xludf.DUMMYFUNCTION("GOOGLETRANSLATE(C960,""fr"",""en"")"),"A truck hit my vehicle when I was waiting for a red light. The driver probably did not realize it. I continued it, in vain to finally take its license plate. He never found it ... A few months later, customer service calls me to close the file and the per"&amp;"son dares to tell me that exceptionally I was not going to pay anything .. but or are we ???")</f>
        <v>A truck hit my vehicle when I was waiting for a red light. The driver probably did not realize it. I continued it, in vain to finally take its license plate. He never found it ... A few months later, customer service calls me to close the file and the person dares to tell me that exceptionally I was not going to pay anything .. but or are we ???</v>
      </c>
    </row>
    <row r="961" ht="15.75" customHeight="1">
      <c r="A961" s="2">
        <v>1.0</v>
      </c>
      <c r="B961" s="2" t="s">
        <v>2649</v>
      </c>
      <c r="C961" s="2" t="s">
        <v>2650</v>
      </c>
      <c r="D961" s="2" t="s">
        <v>59</v>
      </c>
      <c r="E961" s="2" t="s">
        <v>21</v>
      </c>
      <c r="F961" s="2" t="s">
        <v>15</v>
      </c>
      <c r="G961" s="2" t="s">
        <v>2651</v>
      </c>
      <c r="H961" s="2" t="s">
        <v>166</v>
      </c>
      <c r="I961" s="2" t="str">
        <f>IFERROR(__xludf.DUMMYFUNCTION("GOOGLETRANSLATE(C961,""fr"",""en"")"),"Unhappy. No exchange following a claim in July 2017. I have never received any Courier or Mail concerning the follow -up of the file except to receive my green sticker and note an increase. I had to call to find out what this increase corresponded to. And"&amp;" my learned that I have the penalty. Recognized a half responsible. Any increase must be justified to the customer. To the agency, this arrogant person did not understand my dissatisfaction to certify what do not have the obligation to inform me, raise yo"&amp;"ur eyes and look at Collegues who was behind my back. not professional at all. Following this exchange with this person I chose to find another insurer.")</f>
        <v>Unhappy. No exchange following a claim in July 2017. I have never received any Courier or Mail concerning the follow -up of the file except to receive my green sticker and note an increase. I had to call to find out what this increase corresponded to. And my learned that I have the penalty. Recognized a half responsible. Any increase must be justified to the customer. To the agency, this arrogant person did not understand my dissatisfaction to certify what do not have the obligation to inform me, raise your eyes and look at Collegues who was behind my back. not professional at all. Following this exchange with this person I chose to find another insurer.</v>
      </c>
    </row>
    <row r="962" ht="15.75" customHeight="1">
      <c r="A962" s="2">
        <v>3.0</v>
      </c>
      <c r="B962" s="2" t="s">
        <v>2652</v>
      </c>
      <c r="C962" s="2" t="s">
        <v>2653</v>
      </c>
      <c r="D962" s="2" t="s">
        <v>81</v>
      </c>
      <c r="E962" s="2" t="s">
        <v>82</v>
      </c>
      <c r="F962" s="2" t="s">
        <v>15</v>
      </c>
      <c r="G962" s="2" t="s">
        <v>1634</v>
      </c>
      <c r="H962" s="2" t="s">
        <v>260</v>
      </c>
      <c r="I962" s="2" t="str">
        <f>IFERROR(__xludf.DUMMYFUNCTION("GOOGLETRANSLATE(C962,""fr"",""en"")"),"Following my conversation with Youness
I have remained my current insurement the certificate of terminaion thank you I thought that the transfer was without poroblème")</f>
        <v>Following my conversation with Youness
I have remained my current insurement the certificate of terminaion thank you I thought that the transfer was without poroblème</v>
      </c>
    </row>
    <row r="963" ht="15.75" customHeight="1">
      <c r="A963" s="2">
        <v>5.0</v>
      </c>
      <c r="B963" s="2" t="s">
        <v>2654</v>
      </c>
      <c r="C963" s="2" t="s">
        <v>2655</v>
      </c>
      <c r="D963" s="2" t="s">
        <v>32</v>
      </c>
      <c r="E963" s="2" t="s">
        <v>21</v>
      </c>
      <c r="F963" s="2" t="s">
        <v>15</v>
      </c>
      <c r="G963" s="2" t="s">
        <v>787</v>
      </c>
      <c r="H963" s="2" t="s">
        <v>29</v>
      </c>
      <c r="I963" s="2" t="str">
        <f>IFERROR(__xludf.DUMMYFUNCTION("GOOGLETRANSLATE(C963,""fr"",""en"")"),"I am very satisfied with this company, practical and fast, I am already a customer for another vehicle and I can call back to you or recommend you.")</f>
        <v>I am very satisfied with this company, practical and fast, I am already a customer for another vehicle and I can call back to you or recommend you.</v>
      </c>
    </row>
    <row r="964" ht="15.75" customHeight="1">
      <c r="A964" s="2">
        <v>4.0</v>
      </c>
      <c r="B964" s="2" t="s">
        <v>2656</v>
      </c>
      <c r="C964" s="2" t="s">
        <v>2657</v>
      </c>
      <c r="D964" s="2" t="s">
        <v>451</v>
      </c>
      <c r="E964" s="2" t="s">
        <v>82</v>
      </c>
      <c r="F964" s="2" t="s">
        <v>15</v>
      </c>
      <c r="G964" s="2" t="s">
        <v>2235</v>
      </c>
      <c r="H964" s="2" t="s">
        <v>52</v>
      </c>
      <c r="I964" s="2" t="str">
        <f>IFERROR(__xludf.DUMMYFUNCTION("GOOGLETRANSLATE(C964,""fr"",""en"")"),"By changing work, I had to regret leaving this mutual insurance company with regret.
His advisers are reactive, always reachable and attentive.
I never had a problem that was not solved quickly.
I certainly recommend !!
")</f>
        <v>By changing work, I had to regret leaving this mutual insurance company with regret.
His advisers are reactive, always reachable and attentive.
I never had a problem that was not solved quickly.
I certainly recommend !!
</v>
      </c>
    </row>
    <row r="965" ht="15.75" customHeight="1">
      <c r="A965" s="2">
        <v>1.0</v>
      </c>
      <c r="B965" s="2" t="s">
        <v>2658</v>
      </c>
      <c r="C965" s="2" t="s">
        <v>2659</v>
      </c>
      <c r="D965" s="2" t="s">
        <v>42</v>
      </c>
      <c r="E965" s="2" t="s">
        <v>21</v>
      </c>
      <c r="F965" s="2" t="s">
        <v>15</v>
      </c>
      <c r="G965" s="2" t="s">
        <v>2660</v>
      </c>
      <c r="H965" s="2" t="s">
        <v>240</v>
      </c>
      <c r="I965" s="2" t="str">
        <f>IFERROR(__xludf.DUMMYFUNCTION("GOOGLETRANSLATE(C965,""fr"",""en"")"),"Insurance with mediocre customer service, unable to attach them to Tel (office hours, and wait more than 20 min). Unable termination despite sale of vehicle and all supporting documents. Obliged to fight for more than 6 months in order to obtain a termina"&amp;"tion of a vehicle that there is no longer in my possession. AJD Opposition withdrawal from my bank to block and I am threatened to file at AGIRA for unpaid.
Insurance to avoid, loss of time and money (paradoxical in view of the low prices practiced by th"&amp;"is insurer!)
This insurance makes me live a hell from the simple sale of one of my vehicles!")</f>
        <v>Insurance with mediocre customer service, unable to attach them to Tel (office hours, and wait more than 20 min). Unable termination despite sale of vehicle and all supporting documents. Obliged to fight for more than 6 months in order to obtain a termination of a vehicle that there is no longer in my possession. AJD Opposition withdrawal from my bank to block and I am threatened to file at AGIRA for unpaid.
Insurance to avoid, loss of time and money (paradoxical in view of the low prices practiced by this insurer!)
This insurance makes me live a hell from the simple sale of one of my vehicles!</v>
      </c>
    </row>
    <row r="966" ht="15.75" customHeight="1">
      <c r="A966" s="2">
        <v>5.0</v>
      </c>
      <c r="B966" s="2" t="s">
        <v>2661</v>
      </c>
      <c r="C966" s="2" t="s">
        <v>2662</v>
      </c>
      <c r="D966" s="2" t="s">
        <v>129</v>
      </c>
      <c r="E966" s="2" t="s">
        <v>21</v>
      </c>
      <c r="F966" s="2" t="s">
        <v>15</v>
      </c>
      <c r="G966" s="2" t="s">
        <v>111</v>
      </c>
      <c r="H966" s="2" t="s">
        <v>52</v>
      </c>
      <c r="I966" s="2" t="str">
        <f>IFERROR(__xludf.DUMMYFUNCTION("GOOGLETRANSLATE(C966,""fr"",""en"")"),"Nothing to report the site is well done easy download of certificates and advisers can easily be reached I recommend this insurance")</f>
        <v>Nothing to report the site is well done easy download of certificates and advisers can easily be reached I recommend this insurance</v>
      </c>
    </row>
    <row r="967" ht="15.75" customHeight="1">
      <c r="A967" s="2">
        <v>4.0</v>
      </c>
      <c r="B967" s="2" t="s">
        <v>2663</v>
      </c>
      <c r="C967" s="2" t="s">
        <v>2664</v>
      </c>
      <c r="D967" s="2" t="s">
        <v>32</v>
      </c>
      <c r="E967" s="2" t="s">
        <v>21</v>
      </c>
      <c r="F967" s="2" t="s">
        <v>15</v>
      </c>
      <c r="G967" s="2" t="s">
        <v>914</v>
      </c>
      <c r="H967" s="2" t="s">
        <v>104</v>
      </c>
      <c r="I967" s="2" t="str">
        <f>IFERROR(__xludf.DUMMYFUNCTION("GOOGLETRANSLATE(C967,""fr"",""en"")"),"Prices suit me.
Good telephone exchanges with advisers. The
procedures
are easy and quickly
carried out. Thank you")</f>
        <v>Prices suit me.
Good telephone exchanges with advisers. The
procedures
are easy and quickly
carried out. Thank you</v>
      </c>
    </row>
    <row r="968" ht="15.75" customHeight="1">
      <c r="A968" s="2">
        <v>1.0</v>
      </c>
      <c r="B968" s="2" t="s">
        <v>2665</v>
      </c>
      <c r="C968" s="2" t="s">
        <v>2666</v>
      </c>
      <c r="D968" s="2" t="s">
        <v>183</v>
      </c>
      <c r="E968" s="2" t="s">
        <v>21</v>
      </c>
      <c r="F968" s="2" t="s">
        <v>15</v>
      </c>
      <c r="G968" s="2" t="s">
        <v>2667</v>
      </c>
      <c r="H968" s="2" t="s">
        <v>300</v>
      </c>
      <c r="I968" s="2" t="str">
        <f>IFERROR(__xludf.DUMMYFUNCTION("GOOGLETRANSLATE(C968,""fr"",""en"")"),"I ensured a new car without looking for elsewhere, but when I received the contract I noticed that the price was very high. I contacted them and I was given explanations that are not valid. So I did their research and I found that ""Allianz is more than 5"&amp;"0% more expensive and with much less benefit. Unfortunately I am forced to stay with them for a year, they refuse to terminate the contract.
")</f>
        <v>I ensured a new car without looking for elsewhere, but when I received the contract I noticed that the price was very high. I contacted them and I was given explanations that are not valid. So I did their research and I found that "Allianz is more than 50% more expensive and with much less benefit. Unfortunately I am forced to stay with them for a year, they refuse to terminate the contract.
</v>
      </c>
    </row>
    <row r="969" ht="15.75" customHeight="1">
      <c r="A969" s="2">
        <v>1.0</v>
      </c>
      <c r="B969" s="2" t="s">
        <v>2668</v>
      </c>
      <c r="C969" s="2" t="s">
        <v>2669</v>
      </c>
      <c r="D969" s="2" t="s">
        <v>169</v>
      </c>
      <c r="E969" s="2" t="s">
        <v>157</v>
      </c>
      <c r="F969" s="2" t="s">
        <v>15</v>
      </c>
      <c r="G969" s="2" t="s">
        <v>2429</v>
      </c>
      <c r="H969" s="2" t="s">
        <v>866</v>
      </c>
      <c r="I969" s="2" t="str">
        <f>IFERROR(__xludf.DUMMYFUNCTION("GOOGLETRANSLATE(C969,""fr"",""en"")"),"A disaster ... an insurer who takes you every quarter ... for a contract for which you are not insured !!!
A completely incompetent after -sales service, which absolutely does not know what he is talking about, and which hangs up the noses of his interlo"&amp;"cutors when they are faces to their mistakes. In short ... Flee !!!")</f>
        <v>A disaster ... an insurer who takes you every quarter ... for a contract for which you are not insured !!!
A completely incompetent after -sales service, which absolutely does not know what he is talking about, and which hangs up the noses of his interlocutors when they are faces to their mistakes. In short ... Flee !!!</v>
      </c>
    </row>
    <row r="970" ht="15.75" customHeight="1">
      <c r="A970" s="2">
        <v>5.0</v>
      </c>
      <c r="B970" s="2" t="s">
        <v>2670</v>
      </c>
      <c r="C970" s="2" t="s">
        <v>2671</v>
      </c>
      <c r="D970" s="2" t="s">
        <v>32</v>
      </c>
      <c r="E970" s="2" t="s">
        <v>21</v>
      </c>
      <c r="F970" s="2" t="s">
        <v>15</v>
      </c>
      <c r="G970" s="2" t="s">
        <v>2672</v>
      </c>
      <c r="H970" s="2" t="s">
        <v>56</v>
      </c>
      <c r="I970" s="2" t="str">
        <f>IFERROR(__xludf.DUMMYFUNCTION("GOOGLETRANSLATE(C970,""fr"",""en"")"),"I am satisfied with your price thank you again
These thanks to my son Garnier Kevin whom I came to your place
I hope not to be disappointed
Here is thank you cordially")</f>
        <v>I am satisfied with your price thank you again
These thanks to my son Garnier Kevin whom I came to your place
I hope not to be disappointed
Here is thank you cordially</v>
      </c>
    </row>
    <row r="971" ht="15.75" customHeight="1">
      <c r="A971" s="2">
        <v>2.0</v>
      </c>
      <c r="B971" s="2" t="s">
        <v>2673</v>
      </c>
      <c r="C971" s="2" t="s">
        <v>2674</v>
      </c>
      <c r="D971" s="2" t="s">
        <v>42</v>
      </c>
      <c r="E971" s="2" t="s">
        <v>21</v>
      </c>
      <c r="F971" s="2" t="s">
        <v>15</v>
      </c>
      <c r="G971" s="2" t="s">
        <v>1108</v>
      </c>
      <c r="H971" s="2" t="s">
        <v>474</v>
      </c>
      <c r="I971" s="2" t="str">
        <f>IFERROR(__xludf.DUMMYFUNCTION("GOOGLETRANSLATE(C971,""fr"",""en"")"),"I terminated the insurance thanks to the Chatel law, they nevertheless levied my upcoming insurance premium, and now 2 weeks that I write to have the reimbursement without anyone never answering me (if It is not the automatic SMS which tells me that I wil"&amp;"l be contacted in 48 hours without ever being of race), if no refund by 48 hours as they say, I seize the competent authorities.")</f>
        <v>I terminated the insurance thanks to the Chatel law, they nevertheless levied my upcoming insurance premium, and now 2 weeks that I write to have the reimbursement without anyone never answering me (if It is not the automatic SMS which tells me that I will be contacted in 48 hours without ever being of race), if no refund by 48 hours as they say, I seize the competent authorities.</v>
      </c>
    </row>
    <row r="972" ht="15.75" customHeight="1">
      <c r="A972" s="2">
        <v>5.0</v>
      </c>
      <c r="B972" s="2" t="s">
        <v>2675</v>
      </c>
      <c r="C972" s="2" t="s">
        <v>2676</v>
      </c>
      <c r="D972" s="2" t="s">
        <v>65</v>
      </c>
      <c r="E972" s="2" t="s">
        <v>60</v>
      </c>
      <c r="F972" s="2" t="s">
        <v>15</v>
      </c>
      <c r="G972" s="2" t="s">
        <v>2015</v>
      </c>
      <c r="H972" s="2" t="s">
        <v>62</v>
      </c>
      <c r="I972" s="2" t="str">
        <f>IFERROR(__xludf.DUMMYFUNCTION("GOOGLETRANSLATE(C972,""fr"",""en"")"),"I have subscribed to the best insurance offer that was the one offered by April in terms of cost and cover options.
Easy and quick internet subscription.")</f>
        <v>I have subscribed to the best insurance offer that was the one offered by April in terms of cost and cover options.
Easy and quick internet subscription.</v>
      </c>
    </row>
    <row r="973" ht="15.75" customHeight="1">
      <c r="A973" s="2">
        <v>4.0</v>
      </c>
      <c r="B973" s="2" t="s">
        <v>2677</v>
      </c>
      <c r="C973" s="2" t="s">
        <v>2678</v>
      </c>
      <c r="D973" s="2" t="s">
        <v>32</v>
      </c>
      <c r="E973" s="2" t="s">
        <v>21</v>
      </c>
      <c r="F973" s="2" t="s">
        <v>15</v>
      </c>
      <c r="G973" s="2" t="s">
        <v>505</v>
      </c>
      <c r="H973" s="2" t="s">
        <v>56</v>
      </c>
      <c r="I973" s="2" t="str">
        <f>IFERROR(__xludf.DUMMYFUNCTION("GOOGLETRANSLATE(C973,""fr"",""en"")"),"Very well. I had the possibility of ensuring my vehicle instantly with a very attractive price. The guarantees offered are complete and that suits me well.")</f>
        <v>Very well. I had the possibility of ensuring my vehicle instantly with a very attractive price. The guarantees offered are complete and that suits me well.</v>
      </c>
    </row>
    <row r="974" ht="15.75" customHeight="1">
      <c r="A974" s="2">
        <v>1.0</v>
      </c>
      <c r="B974" s="2" t="s">
        <v>2679</v>
      </c>
      <c r="C974" s="2" t="s">
        <v>2680</v>
      </c>
      <c r="D974" s="2" t="s">
        <v>267</v>
      </c>
      <c r="E974" s="2" t="s">
        <v>21</v>
      </c>
      <c r="F974" s="2" t="s">
        <v>15</v>
      </c>
      <c r="G974" s="2" t="s">
        <v>1786</v>
      </c>
      <c r="H974" s="2" t="s">
        <v>56</v>
      </c>
      <c r="I974" s="2" t="str">
        <f>IFERROR(__xludf.DUMMYFUNCTION("GOOGLETRANSLATE(C974,""fr"",""en"")"),"Following an ice cream I contacted my Pacifica insurance for taking charge to have my vehicle repaired I am told to advance the costs and I have been reimbursed after and since it is impossible to be reimbursed for this invoice")</f>
        <v>Following an ice cream I contacted my Pacifica insurance for taking charge to have my vehicle repaired I am told to advance the costs and I have been reimbursed after and since it is impossible to be reimbursed for this invoice</v>
      </c>
    </row>
    <row r="975" ht="15.75" customHeight="1">
      <c r="A975" s="2">
        <v>5.0</v>
      </c>
      <c r="B975" s="2" t="s">
        <v>2681</v>
      </c>
      <c r="C975" s="2" t="s">
        <v>2682</v>
      </c>
      <c r="D975" s="2" t="s">
        <v>32</v>
      </c>
      <c r="E975" s="2" t="s">
        <v>21</v>
      </c>
      <c r="F975" s="2" t="s">
        <v>15</v>
      </c>
      <c r="G975" s="2" t="s">
        <v>2672</v>
      </c>
      <c r="H975" s="2" t="s">
        <v>56</v>
      </c>
      <c r="I975" s="2" t="str">
        <f>IFERROR(__xludf.DUMMYFUNCTION("GOOGLETRANSLATE(C975,""fr"",""en"")"),"I am satisfied with the service The price is correct and suits myself perfectly. It's simple and quick I recommend for all young drivers looking for insurance, for a first car.")</f>
        <v>I am satisfied with the service The price is correct and suits myself perfectly. It's simple and quick I recommend for all young drivers looking for insurance, for a first car.</v>
      </c>
    </row>
    <row r="976" ht="15.75" customHeight="1">
      <c r="A976" s="2">
        <v>3.0</v>
      </c>
      <c r="B976" s="2" t="s">
        <v>2683</v>
      </c>
      <c r="C976" s="2" t="s">
        <v>2684</v>
      </c>
      <c r="D976" s="2" t="s">
        <v>129</v>
      </c>
      <c r="E976" s="2" t="s">
        <v>21</v>
      </c>
      <c r="F976" s="2" t="s">
        <v>15</v>
      </c>
      <c r="G976" s="2" t="s">
        <v>1904</v>
      </c>
      <c r="H976" s="2" t="s">
        <v>52</v>
      </c>
      <c r="I976" s="2" t="str">
        <f>IFERROR(__xludf.DUMMYFUNCTION("GOOGLETRANSLATE(C976,""fr"",""en"")"),"I am satisfied with the service, practice to have an agency not far where we can receive us for any problem. heartwarming welcome.
Site fairly easy to use.")</f>
        <v>I am satisfied with the service, practice to have an agency not far where we can receive us for any problem. heartwarming welcome.
Site fairly easy to use.</v>
      </c>
    </row>
    <row r="977" ht="15.75" customHeight="1">
      <c r="A977" s="2">
        <v>4.0</v>
      </c>
      <c r="B977" s="2" t="s">
        <v>2685</v>
      </c>
      <c r="C977" s="2" t="s">
        <v>2686</v>
      </c>
      <c r="D977" s="2" t="s">
        <v>65</v>
      </c>
      <c r="E977" s="2" t="s">
        <v>60</v>
      </c>
      <c r="F977" s="2" t="s">
        <v>15</v>
      </c>
      <c r="G977" s="2" t="s">
        <v>343</v>
      </c>
      <c r="H977" s="2" t="s">
        <v>29</v>
      </c>
      <c r="I977" s="2" t="str">
        <f>IFERROR(__xludf.DUMMYFUNCTION("GOOGLETRANSLATE(C977,""fr"",""en"")"),"Very well on the phone as well as the prices offered by the agents, I am really satisfied, that is why I subscribed to you thank you very much")</f>
        <v>Very well on the phone as well as the prices offered by the agents, I am really satisfied, that is why I subscribed to you thank you very much</v>
      </c>
    </row>
    <row r="978" ht="15.75" customHeight="1">
      <c r="A978" s="2">
        <v>1.0</v>
      </c>
      <c r="B978" s="2" t="s">
        <v>2687</v>
      </c>
      <c r="C978" s="2" t="s">
        <v>2688</v>
      </c>
      <c r="D978" s="2" t="s">
        <v>169</v>
      </c>
      <c r="E978" s="2" t="s">
        <v>157</v>
      </c>
      <c r="F978" s="2" t="s">
        <v>15</v>
      </c>
      <c r="G978" s="2" t="s">
        <v>2689</v>
      </c>
      <c r="H978" s="2" t="s">
        <v>17</v>
      </c>
      <c r="I978" s="2" t="str">
        <f>IFERROR(__xludf.DUMMYFUNCTION("GOOGLETRANSLATE(C978,""fr"",""en"")"),"They are painful for 6 months already that I have deposited a work stoppage at home and still not treat. And in addition their customer service does not understand anything and does not want to know")</f>
        <v>They are painful for 6 months already that I have deposited a work stoppage at home and still not treat. And in addition their customer service does not understand anything and does not want to know</v>
      </c>
    </row>
    <row r="979" ht="15.75" customHeight="1">
      <c r="A979" s="2">
        <v>5.0</v>
      </c>
      <c r="B979" s="2" t="s">
        <v>2690</v>
      </c>
      <c r="C979" s="2" t="s">
        <v>2691</v>
      </c>
      <c r="D979" s="2" t="s">
        <v>42</v>
      </c>
      <c r="E979" s="2" t="s">
        <v>21</v>
      </c>
      <c r="F979" s="2" t="s">
        <v>15</v>
      </c>
      <c r="G979" s="2" t="s">
        <v>1615</v>
      </c>
      <c r="H979" s="2" t="s">
        <v>464</v>
      </c>
      <c r="I979" s="2" t="str">
        <f>IFERROR(__xludf.DUMMYFUNCTION("GOOGLETRANSLATE(C979,""fr"",""en"")"),"I am completely satisfied with the service offered and telephone agents.
Thanks to them. I am delighted to be part of the insurance olive tree !!!!!")</f>
        <v>I am completely satisfied with the service offered and telephone agents.
Thanks to them. I am delighted to be part of the insurance olive tree !!!!!</v>
      </c>
    </row>
    <row r="980" ht="15.75" customHeight="1">
      <c r="A980" s="2">
        <v>4.0</v>
      </c>
      <c r="B980" s="2" t="s">
        <v>2692</v>
      </c>
      <c r="C980" s="2" t="s">
        <v>2693</v>
      </c>
      <c r="D980" s="2" t="s">
        <v>32</v>
      </c>
      <c r="E980" s="2" t="s">
        <v>21</v>
      </c>
      <c r="F980" s="2" t="s">
        <v>15</v>
      </c>
      <c r="G980" s="2" t="s">
        <v>2694</v>
      </c>
      <c r="H980" s="2" t="s">
        <v>104</v>
      </c>
      <c r="I980" s="2" t="str">
        <f>IFERROR(__xludf.DUMMYFUNCTION("GOOGLETRANSLATE(C980,""fr"",""en"")"),"I am generally satisfied with the service, fast and simple.
Always competitive price.
Service not suitable for hearing impaired or deaf (SMS, ...).")</f>
        <v>I am generally satisfied with the service, fast and simple.
Always competitive price.
Service not suitable for hearing impaired or deaf (SMS, ...).</v>
      </c>
    </row>
    <row r="981" ht="15.75" customHeight="1">
      <c r="A981" s="2">
        <v>5.0</v>
      </c>
      <c r="B981" s="2" t="s">
        <v>2695</v>
      </c>
      <c r="C981" s="2" t="s">
        <v>2696</v>
      </c>
      <c r="D981" s="2" t="s">
        <v>1511</v>
      </c>
      <c r="E981" s="2" t="s">
        <v>60</v>
      </c>
      <c r="F981" s="2" t="s">
        <v>15</v>
      </c>
      <c r="G981" s="2" t="s">
        <v>753</v>
      </c>
      <c r="H981" s="2" t="s">
        <v>300</v>
      </c>
      <c r="I981" s="2" t="str">
        <f>IFERROR(__xludf.DUMMYFUNCTION("GOOGLETRANSLATE(C981,""fr"",""en"")"),"A listening team, a super fast quote, a 2 -minute subscription, a charming advisor and in addition to unbeatable prices !!
I was looking for insurance for my piaggo, I made a quote on their website, an advisor reminded me to take up with her the quote an"&amp;"d given the price I subscribed in stride.")</f>
        <v>A listening team, a super fast quote, a 2 -minute subscription, a charming advisor and in addition to unbeatable prices !!
I was looking for insurance for my piaggo, I made a quote on their website, an advisor reminded me to take up with her the quote and given the price I subscribed in stride.</v>
      </c>
    </row>
    <row r="982" ht="15.75" customHeight="1">
      <c r="A982" s="2">
        <v>3.0</v>
      </c>
      <c r="B982" s="2" t="s">
        <v>2697</v>
      </c>
      <c r="C982" s="2" t="s">
        <v>2698</v>
      </c>
      <c r="D982" s="2" t="s">
        <v>442</v>
      </c>
      <c r="E982" s="2" t="s">
        <v>157</v>
      </c>
      <c r="F982" s="2" t="s">
        <v>15</v>
      </c>
      <c r="G982" s="2" t="s">
        <v>2699</v>
      </c>
      <c r="H982" s="2" t="s">
        <v>35</v>
      </c>
      <c r="I982" s="2" t="str">
        <f>IFERROR(__xludf.DUMMYFUNCTION("GOOGLETRANSLATE(C982,""fr"",""en"")"),"I am fighting to set up a care file for the participation in the costs following the long illness of my spouse, therefore of loss of salary. We will have to be courageous because it is not won!")</f>
        <v>I am fighting to set up a care file for the participation in the costs following the long illness of my spouse, therefore of loss of salary. We will have to be courageous because it is not won!</v>
      </c>
    </row>
    <row r="983" ht="15.75" customHeight="1">
      <c r="A983" s="2">
        <v>4.0</v>
      </c>
      <c r="B983" s="2" t="s">
        <v>2700</v>
      </c>
      <c r="C983" s="2" t="s">
        <v>2701</v>
      </c>
      <c r="D983" s="2" t="s">
        <v>42</v>
      </c>
      <c r="E983" s="2" t="s">
        <v>21</v>
      </c>
      <c r="F983" s="2" t="s">
        <v>15</v>
      </c>
      <c r="G983" s="2" t="s">
        <v>2702</v>
      </c>
      <c r="H983" s="2" t="s">
        <v>260</v>
      </c>
      <c r="I983" s="2" t="str">
        <f>IFERROR(__xludf.DUMMYFUNCTION("GOOGLETRANSLATE(C983,""fr"",""en"")"),"Good!
")</f>
        <v>Good!
</v>
      </c>
    </row>
    <row r="984" ht="15.75" customHeight="1">
      <c r="A984" s="2">
        <v>5.0</v>
      </c>
      <c r="B984" s="2" t="s">
        <v>2703</v>
      </c>
      <c r="C984" s="2" t="s">
        <v>2704</v>
      </c>
      <c r="D984" s="2" t="s">
        <v>42</v>
      </c>
      <c r="E984" s="2" t="s">
        <v>21</v>
      </c>
      <c r="F984" s="2" t="s">
        <v>15</v>
      </c>
      <c r="G984" s="2" t="s">
        <v>2705</v>
      </c>
      <c r="H984" s="2" t="s">
        <v>95</v>
      </c>
      <c r="I984" s="2" t="str">
        <f>IFERROR(__xludf.DUMMYFUNCTION("GOOGLETRANSLATE(C984,""fr"",""en"")"),"Young driver I am very satisfied with the price that I was offered.
I was able to benefit from sponsorship by one of my relatives and I was also able to sponsor, 50 € each time !!!
I recommend")</f>
        <v>Young driver I am very satisfied with the price that I was offered.
I was able to benefit from sponsorship by one of my relatives and I was also able to sponsor, 50 € each time !!!
I recommend</v>
      </c>
    </row>
    <row r="985" ht="15.75" customHeight="1">
      <c r="A985" s="2">
        <v>4.0</v>
      </c>
      <c r="B985" s="2" t="s">
        <v>2706</v>
      </c>
      <c r="C985" s="2" t="s">
        <v>2707</v>
      </c>
      <c r="D985" s="2" t="s">
        <v>42</v>
      </c>
      <c r="E985" s="2" t="s">
        <v>21</v>
      </c>
      <c r="F985" s="2" t="s">
        <v>15</v>
      </c>
      <c r="G985" s="2" t="s">
        <v>62</v>
      </c>
      <c r="H985" s="2" t="s">
        <v>62</v>
      </c>
      <c r="I985" s="2" t="str">
        <f>IFERROR(__xludf.DUMMYFUNCTION("GOOGLETRANSLATE(C985,""fr"",""en"")"),"Simple and practical
Very useful electronic signature
Very good reception telephonic
I recommend 100%
Very easy for a change of insurance, the insurance olive tree takes care of everything")</f>
        <v>Simple and practical
Very useful electronic signature
Very good reception telephonic
I recommend 100%
Very easy for a change of insurance, the insurance olive tree takes care of everything</v>
      </c>
    </row>
    <row r="986" ht="15.75" customHeight="1">
      <c r="A986" s="2">
        <v>3.0</v>
      </c>
      <c r="B986" s="2" t="s">
        <v>2708</v>
      </c>
      <c r="C986" s="2" t="s">
        <v>2709</v>
      </c>
      <c r="D986" s="2" t="s">
        <v>81</v>
      </c>
      <c r="E986" s="2" t="s">
        <v>82</v>
      </c>
      <c r="F986" s="2" t="s">
        <v>15</v>
      </c>
      <c r="G986" s="2" t="s">
        <v>132</v>
      </c>
      <c r="H986" s="2" t="s">
        <v>104</v>
      </c>
      <c r="I986" s="2" t="str">
        <f>IFERROR(__xludf.DUMMYFUNCTION("GOOGLETRANSLATE(C986,""fr"",""en"")"),"Hello, I noted three stars for satisfaction because I have a double sample problem. I tried to reach twice by email, the person I had on the phone for the signing of the contract, but to date I still have no response from him. So I phoned Santiane and I h"&amp;"ad Lamia on the phone. Fortunately I had it because she is a very kind, very patient and very competent person. She immediately understood my situation, she explained to me step by step the process to follow to solve my problem. I thank her very much. If "&amp;"I had only had to do with Lamia, I would have put the 5 stars for satisfaction.")</f>
        <v>Hello, I noted three stars for satisfaction because I have a double sample problem. I tried to reach twice by email, the person I had on the phone for the signing of the contract, but to date I still have no response from him. So I phoned Santiane and I had Lamia on the phone. Fortunately I had it because she is a very kind, very patient and very competent person. She immediately understood my situation, she explained to me step by step the process to follow to solve my problem. I thank her very much. If I had only had to do with Lamia, I would have put the 5 stars for satisfaction.</v>
      </c>
    </row>
    <row r="987" ht="15.75" customHeight="1">
      <c r="A987" s="2">
        <v>2.0</v>
      </c>
      <c r="B987" s="2" t="s">
        <v>2710</v>
      </c>
      <c r="C987" s="2" t="s">
        <v>2711</v>
      </c>
      <c r="D987" s="2" t="s">
        <v>42</v>
      </c>
      <c r="E987" s="2" t="s">
        <v>21</v>
      </c>
      <c r="F987" s="2" t="s">
        <v>15</v>
      </c>
      <c r="G987" s="2" t="s">
        <v>2712</v>
      </c>
      <c r="H987" s="2" t="s">
        <v>23</v>
      </c>
      <c r="I987" s="2" t="str">
        <f>IFERROR(__xludf.DUMMYFUNCTION("GOOGLETRANSLATE(C987,""fr"",""en"")"),"Insured since 07/01/2017 following the purchase of a new vehicle, I chose this insurance because the prices were attractive. The advisers responsible for subscription are very pleasant. But despite sending all the supporting documents I have still not rec"&amp;"eived my final green card (the documents are still awaiting validation on the site). When I read the comments of others insured in the same case, I am disappointed to have chosen this insurance because it seems that in 2015, 2016 and 2017 we always serve "&amp;"the same message to the insured when we manage to join the Customer service on the phone ""The processing deadlines are abnormally long, we work to resolve the problem"". For the moment, I ask myself the question of what will happen when my provisional gr"&amp;"een card will be expired and I should use my vehicle to go to work.")</f>
        <v>Insured since 07/01/2017 following the purchase of a new vehicle, I chose this insurance because the prices were attractive. The advisers responsible for subscription are very pleasant. But despite sending all the supporting documents I have still not received my final green card (the documents are still awaiting validation on the site). When I read the comments of others insured in the same case, I am disappointed to have chosen this insurance because it seems that in 2015, 2016 and 2017 we always serve the same message to the insured when we manage to join the Customer service on the phone "The processing deadlines are abnormally long, we work to resolve the problem". For the moment, I ask myself the question of what will happen when my provisional green card will be expired and I should use my vehicle to go to work.</v>
      </c>
    </row>
    <row r="988" ht="15.75" customHeight="1">
      <c r="A988" s="2">
        <v>5.0</v>
      </c>
      <c r="B988" s="2" t="s">
        <v>2713</v>
      </c>
      <c r="C988" s="2" t="s">
        <v>2714</v>
      </c>
      <c r="D988" s="2" t="s">
        <v>59</v>
      </c>
      <c r="E988" s="2" t="s">
        <v>21</v>
      </c>
      <c r="F988" s="2" t="s">
        <v>15</v>
      </c>
      <c r="G988" s="2" t="s">
        <v>1245</v>
      </c>
      <c r="H988" s="2" t="s">
        <v>151</v>
      </c>
      <c r="I988" s="2" t="str">
        <f>IFERROR(__xludf.DUMMYFUNCTION("GOOGLETRANSLATE(C988,""fr"",""en"")"),"Compared to my request, my insurer contacted me quickly and met my expectations. Some changes on my auto insurance contract have satisfied me.")</f>
        <v>Compared to my request, my insurer contacted me quickly and met my expectations. Some changes on my auto insurance contract have satisfied me.</v>
      </c>
    </row>
    <row r="989" ht="15.75" customHeight="1">
      <c r="A989" s="2">
        <v>3.0</v>
      </c>
      <c r="B989" s="2" t="s">
        <v>2715</v>
      </c>
      <c r="C989" s="2" t="s">
        <v>2716</v>
      </c>
      <c r="D989" s="2" t="s">
        <v>42</v>
      </c>
      <c r="E989" s="2" t="s">
        <v>21</v>
      </c>
      <c r="F989" s="2" t="s">
        <v>15</v>
      </c>
      <c r="G989" s="2" t="s">
        <v>1826</v>
      </c>
      <c r="H989" s="2" t="s">
        <v>48</v>
      </c>
      <c r="I989" s="2" t="str">
        <f>IFERROR(__xludf.DUMMYFUNCTION("GOOGLETRANSLATE(C989,""fr"",""en"")"),"Still no claim, so satisfied, to see in the future ...
The prices are affordable, but on some vehicles they remain very expensive compared to the competitor, especially for a Toyota IQ ... And I do not forget that my BMX X6, you asked me to go to see els"&amp;"ewhere. .")</f>
        <v>Still no claim, so satisfied, to see in the future ...
The prices are affordable, but on some vehicles they remain very expensive compared to the competitor, especially for a Toyota IQ ... And I do not forget that my BMX X6, you asked me to go to see elsewhere. .</v>
      </c>
    </row>
    <row r="990" ht="15.75" customHeight="1">
      <c r="A990" s="2">
        <v>3.0</v>
      </c>
      <c r="B990" s="2" t="s">
        <v>2717</v>
      </c>
      <c r="C990" s="2" t="s">
        <v>2718</v>
      </c>
      <c r="D990" s="2" t="s">
        <v>32</v>
      </c>
      <c r="E990" s="2" t="s">
        <v>21</v>
      </c>
      <c r="F990" s="2" t="s">
        <v>15</v>
      </c>
      <c r="G990" s="2" t="s">
        <v>591</v>
      </c>
      <c r="H990" s="2" t="s">
        <v>52</v>
      </c>
      <c r="I990" s="2" t="str">
        <f>IFERROR(__xludf.DUMMYFUNCTION("GOOGLETRANSLATE(C990,""fr"",""en"")"),"Certainly the tender offers on the market.
Then it may be necessary to add a few services and I have just saved around 50% on my previous car insurance bill at competition.")</f>
        <v>Certainly the tender offers on the market.
Then it may be necessary to add a few services and I have just saved around 50% on my previous car insurance bill at competition.</v>
      </c>
    </row>
    <row r="991" ht="15.75" customHeight="1">
      <c r="A991" s="2">
        <v>5.0</v>
      </c>
      <c r="B991" s="2" t="s">
        <v>2719</v>
      </c>
      <c r="C991" s="2" t="s">
        <v>2720</v>
      </c>
      <c r="D991" s="2" t="s">
        <v>129</v>
      </c>
      <c r="E991" s="2" t="s">
        <v>21</v>
      </c>
      <c r="F991" s="2" t="s">
        <v>15</v>
      </c>
      <c r="G991" s="2" t="s">
        <v>1058</v>
      </c>
      <c r="H991" s="2" t="s">
        <v>62</v>
      </c>
      <c r="I991" s="2" t="str">
        <f>IFERROR(__xludf.DUMMYFUNCTION("GOOGLETRANSLATE(C991,""fr"",""en"")"),"I am satisfied with the service. Fast and effective. All the answers to the questions asked are clear and well explained. The agency reception is pleasant and fast.")</f>
        <v>I am satisfied with the service. Fast and effective. All the answers to the questions asked are clear and well explained. The agency reception is pleasant and fast.</v>
      </c>
    </row>
    <row r="992" ht="15.75" customHeight="1">
      <c r="A992" s="2">
        <v>3.0</v>
      </c>
      <c r="B992" s="2" t="s">
        <v>2721</v>
      </c>
      <c r="C992" s="2" t="s">
        <v>2722</v>
      </c>
      <c r="D992" s="2" t="s">
        <v>303</v>
      </c>
      <c r="E992" s="2" t="s">
        <v>157</v>
      </c>
      <c r="F992" s="2" t="s">
        <v>15</v>
      </c>
      <c r="G992" s="2" t="s">
        <v>2723</v>
      </c>
      <c r="H992" s="2" t="s">
        <v>240</v>
      </c>
      <c r="I992" s="2" t="str">
        <f>IFERROR(__xludf.DUMMYFUNCTION("GOOGLETRANSLATE(C992,""fr"",""en"")"),"My mom :
Died in November 2016 at 90 years old
Insured Macif for about 50 years.
Following the recent sale of its 2 real estate, I terminate its Macif insurance.
She paid, in addition to her home insurance, accident guarantee insurance (family pension"&amp;" plan accident): option 3.
This insurance, in fact, does not cover people beyond 70 years. My mother therefore paid 20 years (from 70 to 90 years old) for nothing. Macif comment: Too bad, she did not take into account the mail that was probably sent to h"&amp;"er 20 years ago.
Morality: around 7000 euros paid induument by my mom. Thank you Macif.")</f>
        <v>My mom :
Died in November 2016 at 90 years old
Insured Macif for about 50 years.
Following the recent sale of its 2 real estate, I terminate its Macif insurance.
She paid, in addition to her home insurance, accident guarantee insurance (family pension plan accident): option 3.
This insurance, in fact, does not cover people beyond 70 years. My mother therefore paid 20 years (from 70 to 90 years old) for nothing. Macif comment: Too bad, she did not take into account the mail that was probably sent to her 20 years ago.
Morality: around 7000 euros paid induument by my mom. Thank you Macif.</v>
      </c>
    </row>
    <row r="993" ht="15.75" customHeight="1">
      <c r="A993" s="2">
        <v>4.0</v>
      </c>
      <c r="B993" s="2" t="s">
        <v>2724</v>
      </c>
      <c r="C993" s="2" t="s">
        <v>2725</v>
      </c>
      <c r="D993" s="2" t="s">
        <v>32</v>
      </c>
      <c r="E993" s="2" t="s">
        <v>21</v>
      </c>
      <c r="F993" s="2" t="s">
        <v>15</v>
      </c>
      <c r="G993" s="2" t="s">
        <v>1599</v>
      </c>
      <c r="H993" s="2" t="s">
        <v>48</v>
      </c>
      <c r="I993" s="2" t="str">
        <f>IFERROR(__xludf.DUMMYFUNCTION("GOOGLETRANSLATE(C993,""fr"",""en"")"),"I cannot judge since I just subscribed for 3 auto contracts.
My interlocutor was very pleasant but the feeling of a very distant distance to listening is not very pleasant. Can be improved telephone communications tools.
I came to Direct Insurance only "&amp;"for the price ...
We will see in the long run if the prices are not soaring, if not, I will go to competition at the cheapest, as in my habit.")</f>
        <v>I cannot judge since I just subscribed for 3 auto contracts.
My interlocutor was very pleasant but the feeling of a very distant distance to listening is not very pleasant. Can be improved telephone communications tools.
I came to Direct Insurance only for the price ...
We will see in the long run if the prices are not soaring, if not, I will go to competition at the cheapest, as in my habit.</v>
      </c>
    </row>
    <row r="994" ht="15.75" customHeight="1">
      <c r="A994" s="2">
        <v>5.0</v>
      </c>
      <c r="B994" s="2" t="s">
        <v>2726</v>
      </c>
      <c r="C994" s="2" t="s">
        <v>2727</v>
      </c>
      <c r="D994" s="2" t="s">
        <v>196</v>
      </c>
      <c r="E994" s="2" t="s">
        <v>82</v>
      </c>
      <c r="F994" s="2" t="s">
        <v>15</v>
      </c>
      <c r="G994" s="2" t="s">
        <v>2728</v>
      </c>
      <c r="H994" s="2" t="s">
        <v>432</v>
      </c>
      <c r="I994" s="2" t="str">
        <f>IFERROR(__xludf.DUMMYFUNCTION("GOOGLETRANSLATE(C994,""fr"",""en"")"),"I was very sastifais from that I had all the information I wanted")</f>
        <v>I was very sastifais from that I had all the information I wanted</v>
      </c>
    </row>
    <row r="995" ht="15.75" customHeight="1">
      <c r="A995" s="2">
        <v>1.0</v>
      </c>
      <c r="B995" s="2" t="s">
        <v>2729</v>
      </c>
      <c r="C995" s="2" t="s">
        <v>2730</v>
      </c>
      <c r="D995" s="2" t="s">
        <v>183</v>
      </c>
      <c r="E995" s="2" t="s">
        <v>21</v>
      </c>
      <c r="F995" s="2" t="s">
        <v>15</v>
      </c>
      <c r="G995" s="2" t="s">
        <v>2731</v>
      </c>
      <c r="H995" s="2" t="s">
        <v>1347</v>
      </c>
      <c r="I995" s="2" t="str">
        <f>IFERROR(__xludf.DUMMYFUNCTION("GOOGLETRANSLATE(C995,""fr"",""en"")"),"Insurance to really recommend !! I had two claims the 1st not responsible and never compensated because it was a foreign car and the second opposing insurance tells me that I have 100% reason (but still defends their client) and Allianz tells me that I Am"&amp;" 100% wrong, do not want to hear anything tells me that that's how that's it and hangs up my nose squarely !!! My propore assurance that doesn't even try to defend me, they don't care !! It's really a shame, I even called the police who told me that it wa"&amp;"s the other who was 100% wrong and in the end it is I who will take for him because at Allianz they are completely incompetent, they only think about money. I am frankly disgusted with this insurance, I will leave as soon as possible !!!")</f>
        <v>Insurance to really recommend !! I had two claims the 1st not responsible and never compensated because it was a foreign car and the second opposing insurance tells me that I have 100% reason (but still defends their client) and Allianz tells me that I Am 100% wrong, do not want to hear anything tells me that that's how that's it and hangs up my nose squarely !!! My propore assurance that doesn't even try to defend me, they don't care !! It's really a shame, I even called the police who told me that it was the other who was 100% wrong and in the end it is I who will take for him because at Allianz they are completely incompetent, they only think about money. I am frankly disgusted with this insurance, I will leave as soon as possible !!!</v>
      </c>
    </row>
    <row r="996" ht="15.75" customHeight="1">
      <c r="A996" s="2">
        <v>2.0</v>
      </c>
      <c r="B996" s="2" t="s">
        <v>2732</v>
      </c>
      <c r="C996" s="2" t="s">
        <v>2733</v>
      </c>
      <c r="D996" s="2" t="s">
        <v>656</v>
      </c>
      <c r="E996" s="2" t="s">
        <v>14</v>
      </c>
      <c r="F996" s="2" t="s">
        <v>15</v>
      </c>
      <c r="G996" s="2" t="s">
        <v>2734</v>
      </c>
      <c r="H996" s="2" t="s">
        <v>453</v>
      </c>
      <c r="I996" s="2" t="str">
        <f>IFERROR(__xludf.DUMMYFUNCTION("GOOGLETRANSLATE(C996,""fr"",""en"")"),"I strongly advise against.
Above all, read all the annotations on the management of diseases, their appearance and the 5 days of declarations.
Contact and answer only by email.
2 months notice to terminate on date of maturity !!
I have animals for 20 "&amp;"years it is a real mistake on my part to have subscribed to them.")</f>
        <v>I strongly advise against.
Above all, read all the annotations on the management of diseases, their appearance and the 5 days of declarations.
Contact and answer only by email.
2 months notice to terminate on date of maturity !!
I have animals for 20 years it is a real mistake on my part to have subscribed to them.</v>
      </c>
    </row>
    <row r="997" ht="15.75" customHeight="1">
      <c r="A997" s="2">
        <v>4.0</v>
      </c>
      <c r="B997" s="2" t="s">
        <v>2735</v>
      </c>
      <c r="C997" s="2" t="s">
        <v>2736</v>
      </c>
      <c r="D997" s="2" t="s">
        <v>32</v>
      </c>
      <c r="E997" s="2" t="s">
        <v>21</v>
      </c>
      <c r="F997" s="2" t="s">
        <v>15</v>
      </c>
      <c r="G997" s="2" t="s">
        <v>339</v>
      </c>
      <c r="H997" s="2" t="s">
        <v>62</v>
      </c>
      <c r="I997" s="2" t="str">
        <f>IFERROR(__xludf.DUMMYFUNCTION("GOOGLETRANSLATE(C997,""fr"",""en"")"),"A little confused, it had been a long time since I had a self -listed self -listed, and today I received a refund, but without any detail?!? Otherwise it is always very impersonal to speak to a machine, and there I am a little lost, but I prefer for this "&amp;"kind of discussion correspond by email, at least we can reread what we had previously written, in the same way for the answers.")</f>
        <v>A little confused, it had been a long time since I had a self -listed self -listed, and today I received a refund, but without any detail?!? Otherwise it is always very impersonal to speak to a machine, and there I am a little lost, but I prefer for this kind of discussion correspond by email, at least we can reread what we had previously written, in the same way for the answers.</v>
      </c>
    </row>
    <row r="998" ht="15.75" customHeight="1">
      <c r="A998" s="2">
        <v>4.0</v>
      </c>
      <c r="B998" s="2" t="s">
        <v>2737</v>
      </c>
      <c r="C998" s="2" t="s">
        <v>2738</v>
      </c>
      <c r="D998" s="2" t="s">
        <v>129</v>
      </c>
      <c r="E998" s="2" t="s">
        <v>21</v>
      </c>
      <c r="F998" s="2" t="s">
        <v>15</v>
      </c>
      <c r="G998" s="2" t="s">
        <v>2171</v>
      </c>
      <c r="H998" s="2" t="s">
        <v>48</v>
      </c>
      <c r="I998" s="2" t="str">
        <f>IFERROR(__xludf.DUMMYFUNCTION("GOOGLETRANSLATE(C998,""fr"",""en"")"),"Good customer service. Insurance increases slightly every year but the service is top. When we have a problem they are reactive. I recommend")</f>
        <v>Good customer service. Insurance increases slightly every year but the service is top. When we have a problem they are reactive. I recommend</v>
      </c>
    </row>
    <row r="999" ht="15.75" customHeight="1">
      <c r="A999" s="2">
        <v>1.0</v>
      </c>
      <c r="B999" s="2" t="s">
        <v>2739</v>
      </c>
      <c r="C999" s="2" t="s">
        <v>2740</v>
      </c>
      <c r="D999" s="2" t="s">
        <v>59</v>
      </c>
      <c r="E999" s="2" t="s">
        <v>21</v>
      </c>
      <c r="F999" s="2" t="s">
        <v>15</v>
      </c>
      <c r="G999" s="2" t="s">
        <v>2741</v>
      </c>
      <c r="H999" s="2" t="s">
        <v>395</v>
      </c>
      <c r="I999" s="2" t="str">
        <f>IFERROR(__xludf.DUMMYFUNCTION("GOOGLETRANSLATE(C999,""fr"",""en"")"),"I am in an anger without a word against this insurance my fiancé had a serious car accident of which he is 0% responsible and it is refused the care is unacceptable.")</f>
        <v>I am in an anger without a word against this insurance my fiancé had a serious car accident of which he is 0% responsible and it is refused the care is unacceptable.</v>
      </c>
    </row>
    <row r="1000" ht="15.75" customHeight="1">
      <c r="A1000" s="2">
        <v>1.0</v>
      </c>
      <c r="B1000" s="2" t="s">
        <v>2742</v>
      </c>
      <c r="C1000" s="2" t="s">
        <v>2743</v>
      </c>
      <c r="D1000" s="2" t="s">
        <v>219</v>
      </c>
      <c r="E1000" s="2" t="s">
        <v>220</v>
      </c>
      <c r="F1000" s="2" t="s">
        <v>15</v>
      </c>
      <c r="G1000" s="2" t="s">
        <v>321</v>
      </c>
      <c r="H1000" s="2" t="s">
        <v>104</v>
      </c>
      <c r="I1000" s="2" t="str">
        <f>IFERROR(__xludf.DUMMYFUNCTION("GOOGLETRANSLATE(C1000,""fr"",""en"")"),"To flee. My mother took more than 4 months to recover her money. AFER constantly asks the same papers, however sent by registered mail A.R. I don't think she would have recovered her money if she had not taken a lawyer. She had put all her under to their "&amp;"homes, and suddenly, was in debit to the bank because they did not want to return her money to her! Do not make this error, go elsewhere.")</f>
        <v>To flee. My mother took more than 4 months to recover her money. AFER constantly asks the same papers, however sent by registered mail A.R. I don't think she would have recovered her money if she had not taken a lawyer. She had put all her under to their homes, and suddenly, was in debit to the bank because they did not want to return her money to her! Do not make this error, go elsewhere.</v>
      </c>
    </row>
    <row r="1001" ht="15.75" customHeight="1">
      <c r="A1001" s="2">
        <v>4.0</v>
      </c>
      <c r="B1001" s="2" t="s">
        <v>2744</v>
      </c>
      <c r="C1001" s="2" t="s">
        <v>2745</v>
      </c>
      <c r="D1001" s="2" t="s">
        <v>42</v>
      </c>
      <c r="E1001" s="2" t="s">
        <v>21</v>
      </c>
      <c r="F1001" s="2" t="s">
        <v>15</v>
      </c>
      <c r="G1001" s="2" t="s">
        <v>1148</v>
      </c>
      <c r="H1001" s="2" t="s">
        <v>104</v>
      </c>
      <c r="I1001" s="2" t="str">
        <f>IFERROR(__xludf.DUMMYFUNCTION("GOOGLETRANSLATE(C1001,""fr"",""en"")"),"I am very satisfied with the insurance olive tree.
The prices are suitable and the vehicle is very well covered.
I really recommend this insurance")</f>
        <v>I am very satisfied with the insurance olive tree.
The prices are suitable and the vehicle is very well covered.
I really recommend this insurance</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2022-12-16T15:48:27Z</dcterms:created>
</cp:coreProperties>
</file>