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devinci-my.sharepoint.com/personal/aurelien_pouxviel_edu_devinci_fr/Documents/ONE DRIVE PC/A5/NLP/Project2/Traduction avis clients/"/>
    </mc:Choice>
  </mc:AlternateContent>
  <xr:revisionPtr revIDLastSave="2" documentId="11_962B802BBDFA0BBDC941F8441FE2412509BA81A7" xr6:coauthVersionLast="47" xr6:coauthVersionMax="47" xr10:uidLastSave="{BBB38A10-0CDF-41AF-8E48-375303F024A5}"/>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idNMx0NrCv1VCygKbb/Ust24g4AQ=="/>
    </ext>
  </extLst>
</workbook>
</file>

<file path=xl/calcChain.xml><?xml version="1.0" encoding="utf-8"?>
<calcChain xmlns="http://schemas.openxmlformats.org/spreadsheetml/2006/main">
  <c r="I2" i="1" l="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alcChain>
</file>

<file path=xl/sharedStrings.xml><?xml version="1.0" encoding="utf-8"?>
<sst xmlns="http://schemas.openxmlformats.org/spreadsheetml/2006/main" count="7011" uniqueCount="2712">
  <si>
    <t>note</t>
  </si>
  <si>
    <t>auteur</t>
  </si>
  <si>
    <t>avis</t>
  </si>
  <si>
    <t>assureur</t>
  </si>
  <si>
    <t>produit</t>
  </si>
  <si>
    <t>type</t>
  </si>
  <si>
    <t>date_publication</t>
  </si>
  <si>
    <t>date_exp</t>
  </si>
  <si>
    <t>avis_en</t>
  </si>
  <si>
    <t>avis_cor</t>
  </si>
  <si>
    <t>avis_cor_en</t>
  </si>
  <si>
    <t>brahim--k-131532</t>
  </si>
  <si>
    <t xml:space="preserve">Meilleurs assurances, prix, solutions, écoute, rapidité, et je recommande cette compagnie pour vous 
Des prix attractif et services de qualité et rapidité </t>
  </si>
  <si>
    <t>Direct Assurance</t>
  </si>
  <si>
    <t>auto</t>
  </si>
  <si>
    <t>train</t>
  </si>
  <si>
    <t>06/09/2021</t>
  </si>
  <si>
    <t>01/09/2021</t>
  </si>
  <si>
    <t>bernard-g-112497</t>
  </si>
  <si>
    <t xml:space="preserve">je suis globalement satisfait , sauf que vous avez un problème avec votre site internet ,impossible de déclarer un sinistre en ligne après plusieurs tentatives déclaration faite par téléphone ou tout c'est très bien passé , interlocutrice compétente et très agréable </t>
  </si>
  <si>
    <t>03/05/2021</t>
  </si>
  <si>
    <t>01/05/2021</t>
  </si>
  <si>
    <t>virginie-t-107352</t>
  </si>
  <si>
    <t>Prix tres abordable plusieurs options s'offrent a nous comme le boitier connecter à la voiture, l'option tranquiliter et zero franchise ce qui est tout a fait plaisant</t>
  </si>
  <si>
    <t>21/03/2021</t>
  </si>
  <si>
    <t>01/03/2021</t>
  </si>
  <si>
    <t>boulain-f-116580</t>
  </si>
  <si>
    <t xml:space="preserve">je satisfait du service, une réponse très rapide de votre service .je vous en remercie, vous êtes une assurance la moins cher sur le marche, Cordialement. </t>
  </si>
  <si>
    <t>L'olivier Assurance</t>
  </si>
  <si>
    <t>10/06/2021</t>
  </si>
  <si>
    <t>01/06/2021</t>
  </si>
  <si>
    <t>ouaille31-51798</t>
  </si>
  <si>
    <t xml:space="preserve">Client depuis plus de 25 ans, très déçu de cette "mutuelle" qui n'a plus rien d'une Mutuelle, la recherche du profit immédiat est devenu leur priorité. à l'agence on ne sait que essayer de vous fourguer des contrats inutiles, on vous fait payer une protection juridique sur chaque contrat mais vous ne serez défendu qu'une fois!  dès qu'il y a le moindre sinistre il ne sont pas là pour vous défendre mais au contraire pour vous mettre d'office tous les tords pour faire descendre votre bonus qui est trop haut ! Bref ils n'ont plus qu'un seul but vous faire payer le plus possible. Hélas c'est maintenant le lot de tous les assureurs. Donc cherchez à payer le moins possible et surtout de ne pas avoir besoin d'eux !!! </t>
  </si>
  <si>
    <t>Matmut</t>
  </si>
  <si>
    <t>29/01/2017</t>
  </si>
  <si>
    <t>01/01/2017</t>
  </si>
  <si>
    <t>spam-62064</t>
  </si>
  <si>
    <t>Vente forcée par téléphone, prétextant des évènements graves pour mes proches, mais sans même connaître ma date de naissance !
Néoliane va dire que c'est la faute de la plateforme téléphonique au Magreb, mais ce démarchage est abusif et angoissant. De plus, je suis iscrit sur BLOCTEL
A fuir et à reporter aux services de répressions des fraude</t>
  </si>
  <si>
    <t>Néoliane Santé</t>
  </si>
  <si>
    <t>sante</t>
  </si>
  <si>
    <t>06/03/2018</t>
  </si>
  <si>
    <t>01/03/2018</t>
  </si>
  <si>
    <t>ludovic-b-135966</t>
  </si>
  <si>
    <t xml:space="preserve">Nouveau client satisfait du prix et des services.
Je ne donnerai pas plus d'avis car je suis nouveau client chez vous. J'espère que tout se passera bien merci  </t>
  </si>
  <si>
    <t>APRIL</t>
  </si>
  <si>
    <t>05/10/2021</t>
  </si>
  <si>
    <t>01/10/2021</t>
  </si>
  <si>
    <t>laetitia741-97523</t>
  </si>
  <si>
    <t>Un assureur m'a contacté par telephone pour me vendre cette assurance pour mon chiot en me vendant que les jolis détails, j'ai donc souscrit à l'assurance pour etre remboursée à 80%.
Je vais ensuite chez le vétérinaire pour vacciner mon chiot, et on me prescrit une pommade pour des boutons qu'il a, santé vet ne me la rembourse pas car il y a une carrence de 45 jours dont on ne m'avait pas parlé, ce détail passe encore.
 1 mois plus tard je fais le rappel du vaccin pour mon chiot (comme pour tous les chiots et achète des vermifuges), j'envoie donc une facture de 118 euros et la on me dit que l'on ne me rembourse pas car je n'ai droit qu'à 50 euros de frais par an (que l'on ne m'avait pas dis non plus sinon je n'aurais jamais souscrit, le but de l'assurance est d'etre remboursé)
J'appelle l'assurance pour résilier et la bien entendu on me dit que je dois attendre 1 an pour me rétracter chose qu'on ne m'avait jamais dite.
Fuyez cette assurance!!</t>
  </si>
  <si>
    <t>SantéVet</t>
  </si>
  <si>
    <t>animaux</t>
  </si>
  <si>
    <t>17/09/2020</t>
  </si>
  <si>
    <t>01/09/2020</t>
  </si>
  <si>
    <t>gbernard10-102485</t>
  </si>
  <si>
    <t>Je ne peux que rejoindre les nombreux avis négatifs. Je regrette même d'avoir dû mettre 1 étoile tant le service ET les remboursements sont inexistants. En attente de remboursements optique et ostéopathie depuis plus de 10 semaines maintenant et toujours le même discours bien rodé : "Nous avons du retard mais vos demandes vont être traitées avant la fin de semaine!". Compter en moyenne 45 minutes par appel pour enfin avoir un "conseiller" avec qui il faudra à nouveau reparcourir tous les dossiers ouverts (alors qu'ils sont sensés avoir pleine visibilité dans leur système). Le pire, leur site annonce des remboursements traités alors que ceux-ci n'ont toujours pas été crédités sur mon compte bancaire!</t>
  </si>
  <si>
    <t>Mercer</t>
  </si>
  <si>
    <t>12/01/2021</t>
  </si>
  <si>
    <t>01/01/2021</t>
  </si>
  <si>
    <t>rezo31-62544</t>
  </si>
  <si>
    <t>GENERALI ASSURANCES VIE PATRIMOINE Très mauvais service client, pas sérieux, mauvais payeur si on demande une avance sur son éparge Générali Vie</t>
  </si>
  <si>
    <t>Generali</t>
  </si>
  <si>
    <t>vie</t>
  </si>
  <si>
    <t>21/03/2018</t>
  </si>
  <si>
    <t>rod-90080</t>
  </si>
  <si>
    <t>c'est une honte totale. nous avons toutes nos assurances avec allianz. ils traitent notre réclamation avec incompétence, nous menaçons de les quitter, ils annulent néanmoins notre assurance à la fin de ce contrat. éviter!</t>
  </si>
  <si>
    <t>Allianz</t>
  </si>
  <si>
    <t>30/05/2020</t>
  </si>
  <si>
    <t>01/05/2020</t>
  </si>
  <si>
    <t>re-v-109323</t>
  </si>
  <si>
    <t>Totalement satisfaite de la qualité des prises en charge téléphoniques. Toujours bien comprise et avec des informations orales suivies d'effets réels.</t>
  </si>
  <si>
    <t>06/04/2021</t>
  </si>
  <si>
    <t>01/04/2021</t>
  </si>
  <si>
    <t>drivy619-77243</t>
  </si>
  <si>
    <t>L'interface téléphonique du service client est assez intuitive. Mon interlocutrice ( Erika ) à été très compréhensive et a su m'expliquer les démarches a suivre avec clarté. Je la remercie pour cela</t>
  </si>
  <si>
    <t>01/07/2019</t>
  </si>
  <si>
    <t>vas-m-117400</t>
  </si>
  <si>
    <t>Je suis très satisfait du service, des conseils et de l'écoute. La conseillère que j'ai eu par téléphone, aimable avec une très bonne qualité d'écoute.                                
Cordialement</t>
  </si>
  <si>
    <t>17/06/2021</t>
  </si>
  <si>
    <t>sophie-m-124360</t>
  </si>
  <si>
    <t xml:space="preserve">Bonjour,
Il est fort regrettable de ne pouvoir bénéficier d'une certaine souplesse sur les tarifs proposés, surtout lorsque l'on assure un véhicule supplémentaire et que nous n'avons jamais eu de sinistre ni de retard de paiement.
</t>
  </si>
  <si>
    <t>APRIL Moto</t>
  </si>
  <si>
    <t>moto</t>
  </si>
  <si>
    <t>23/07/2021</t>
  </si>
  <si>
    <t>01/07/2021</t>
  </si>
  <si>
    <t>youssef-n-109465</t>
  </si>
  <si>
    <t xml:space="preserve">Je suis satisfait de direct assurance neanmoins j'aurai voulu pouvoir modifier les titulaire du contrat si possible en ligne ce qui n'est pas le cas actuellement </t>
  </si>
  <si>
    <t>07/04/2021</t>
  </si>
  <si>
    <t>transparence06-77667</t>
  </si>
  <si>
    <t>ne prend pas en compte la résiliation même après avoir donner son accord à l'agent général - documenté</t>
  </si>
  <si>
    <t>Cegema Assurances</t>
  </si>
  <si>
    <t>16/07/2019</t>
  </si>
  <si>
    <t>marjan-n-139070</t>
  </si>
  <si>
    <t>Le prix magnifique. Je suis intéressé. Je le recommande pour chacun.
Il est plus simple et pratique.
Juste le vignette verte j'ai pas recu pour ma première voiture.</t>
  </si>
  <si>
    <t>05/11/2021</t>
  </si>
  <si>
    <t>01/11/2021</t>
  </si>
  <si>
    <t>chalnas-107782</t>
  </si>
  <si>
    <t xml:space="preserve">Services clients très professionnels, réponds aux demandes et apporte des réponses aussi clair que précise. À voir dans la durée et à la gestion des dossiers. </t>
  </si>
  <si>
    <t>24/03/2021</t>
  </si>
  <si>
    <t>didier56-62610</t>
  </si>
  <si>
    <t>nous attendons depuis plus d'un mois une réponse du service médical pour mon épouse, ils exigent d'abord que je souscrivent avant d'envoyer la proposition pour Madame.</t>
  </si>
  <si>
    <t>LCL</t>
  </si>
  <si>
    <t>credit</t>
  </si>
  <si>
    <t>23/03/2018</t>
  </si>
  <si>
    <t>moussa-s-115488</t>
  </si>
  <si>
    <t xml:space="preserve">Service impeccable, a la hauteur de nos attentes et plus encore.
Prix honnête, difficile de trouver mieux. 
Je recommande vivement a toutes et a tous.
</t>
  </si>
  <si>
    <t>g-104034</t>
  </si>
  <si>
    <t xml:space="preserve">Assurance  à éviter a tout prix !! prix excessivement cher, mais par contre dés qu'il y a le moindre problème, c'est le parcours du combattant !  Je me fais choqué la voiture sur le parking de mon lieux de travail (centre commercial...), petit enfoncement sur la porte, je déclare le sinistre à mon assurance, qui me demande un dépôt de plainte au commissariat + un constat rempli que d'une part, je m'exécute (demi journée de travail perdue à mes frais bien sur ! mon employeur s'en fou de mes histoires), suite a ça après avoir envoyé les docs, mon interlocuteur met en doute ma parole, super ça commence bien. Après discussion il me demande de faire un devis, j'en fais 3 ! encore du temps perdu et des allers retours garagistes (autre demi journée dans le c..). je présente les devis, réparation 600euro (sur laquelle j'ai une franchise de 400euro). Allianz ouvre mon dossier et me demande d'aller chez un garagiste avec qui ils bossent afin de bénéficier d'une expertise rapide etc.... (la dame au téléphone me conseille fortement voir même elle insiste en me sortant des histoires de garanties pièces etc, d'aller chez celui la et pas chez un garagiste de mon choix, autrement dis Peugeot), bon je trouve ça bizarre mais je le fait (encore 2 heures de perdues sur ma journée de travail pour aller, faire des photos, etc...). 2 semaines plus tard silence radio, je rappel ce garage, il avait oublié de transmettre mes photos aux experts, il finissent par le faire, et la, je reçois un appel de l'expert me disant que les photos ça ne va pas, il faut un rv !! tout ça pour une simple pliure sur une porte, pour une réparation qui coutera a mon assureur au final que a peine 100euro !! bon , je rappel l'expert, et a ma surprise, il me demande d'immobiliser le véhicule 1/2 journée ou de passer chez eux afin de faire une expertise. je leur explique que j'ai déjà asses perdu de temps comme ça et que je vais surement pas perdre encore 1/2 journée de travail pour passer chez eux, je leur demande de se déplacer tout simplement, étant pas loin de mon lieux de travail (ils sont a 3 min) ! c'est un Non catégorique. donc si je fais mon calcul, pour une réparation a 600e, avec 400e de franchise et mes 3 demi journée de travail perdues (200e de salaire) pour encore aller chez un expert et attendre une réponse qui pourrait être défavorable, non merci. Je lâche l'affaire, au final ça me coute plus avec tout ça que de payer la réparation entièrement moi même. Du coup je me pose la question a quoi sa sert de payer des assurances si chères tout risque, si tout est fait pour vous décourager pour une simple réparation, que serait-ce si le choc ou la réparations était plus conséquentes ? Dés que possible, je retire mes 2 véhicules de chez eux, franchement, très mauvaise expérience. C'est absurde... </t>
  </si>
  <si>
    <t>11/02/2021</t>
  </si>
  <si>
    <t>01/02/2021</t>
  </si>
  <si>
    <t>christian-t-125869</t>
  </si>
  <si>
    <t>Très bien , je suis content du prix en espérant que l’assurance suivra j’ai reçu que des éloges de cette assurance en ce qui concerne la couverture d’assurance ils ont un panel de couverture que aucune autre ne propose</t>
  </si>
  <si>
    <t>01/08/2021</t>
  </si>
  <si>
    <t>serclerat-c-138238</t>
  </si>
  <si>
    <t>ok bon deroulement du contrat et fluidite du site correcte et intuitive
tous les elements étaietn clairs et precis
je recommande cette assurance à mes proches</t>
  </si>
  <si>
    <t>25/10/2021</t>
  </si>
  <si>
    <t>eveildujour-133101</t>
  </si>
  <si>
    <t xml:space="preserve">Lors de mon renouvellement chez l'Olivier assurance, j'ai des interrogations sur ma nouvelle adresse postale et le délais d'envoi de ma carte verte. C'est compliqué d'arriver sur le numéro de service client, et surtout ce numéro n'est jamais accessible. Le manque d'échange, et le labyrinthe que cette société me fait vivre, elle ne respecte pas le service dû à sa clientèle. </t>
  </si>
  <si>
    <t>16/09/2021</t>
  </si>
  <si>
    <t>patrice-114867</t>
  </si>
  <si>
    <t>Adhérent AFER depuis plus de 20 ans je regrette aujourd'hui mon choix. L'AFER a été une idée remarquable à l'époque, mais aujourd'hui le service n'est absolument pas à la hauteur des frais de gestion. Certes le site Internet a été modernisé et est bien plus convivial qu'avant mais il m'est aujourd'hui impossible de faire un rachat partiel alors que mon compte dispose de la provision nécessaire. Le système informatique me renvoie un message me demandant de faire ma demande par La Poste à l'aide d'un imprimé introuvable sur le site ou de contacter mon "apporteur', une société locale souvent injoignable. 
Tant qu'au numéro de téléphone du GIE, c'est bienvenue dans le monde de la virtualité, version 0.0 car après divers détouts dans les sous-menus la seule aide que j'y ai trouvé est de contacter mon "apporteur". 
A tous ceux qui pourraient être tentés d'apporter leur épargne à l'AFER, soyez avertis des problèmes que vous rencontrerez, et comme il est impossible de transférer son épargne sans conséquences fiscales, il ne vous restera plus qu'à regretter votre choix. On est bien loin des nobles idéaux qui ont prévalu à la création de l'AFER.</t>
  </si>
  <si>
    <t>Afer</t>
  </si>
  <si>
    <t>26/05/2021</t>
  </si>
  <si>
    <t>halleldopa-100901</t>
  </si>
  <si>
    <t xml:space="preserve">Je déconseille vivement. On vient de se faire dégager sans délai (ou presque, 2 mois) pour trop de sinistre car par malchance on a eu 3 sinistres en 3 ans (dont 1 qu'il ne prenne pas en charge comme c'est de toutes façons hors contrat !) alors que rien du tout les  10 années précédentes. Même pas un coup de fil, juste une pauvre lettre hyper violente. Fuyez !
</t>
  </si>
  <si>
    <t>03/12/2020</t>
  </si>
  <si>
    <t>01/12/2020</t>
  </si>
  <si>
    <t>hytou-116661</t>
  </si>
  <si>
    <t xml:space="preserve">Ne surtout pas souscrire d'assurance chez eux,. Assuré chez eux depuis 11 ans maison et voiture de ma femme et un problème de prélèvement de 44 euros du à une erreur de la banque et on se retrouve résilié sans nous prévenir du jour au lendemain. Donc on les appels et il nous demande de régler la totalité de la somme sur une année ce qu'on fait et la magie on nous résilie le contrat malgré qu'on ai payé jusqu'en 2022 et on a rien à dire, on paye mais on a pas d'assurance. Ils prennent l'argent mais ne fournisse pas les prestations. Malgré plusieurs appel de notre banquière ainsi que le directeur d'agence et de nous même , ils ne veulent rien entendre. Il y a gros problème au sein de cette assureur, le directeur d'agence lui même reconnaît plusieurs problème avec pacifica avec plusieurs clients fuyez au plus vite vous trouverai bien mieux moin chère et surtout plus compétent chez la concurrence. </t>
  </si>
  <si>
    <t>Pacifica</t>
  </si>
  <si>
    <t>habitation</t>
  </si>
  <si>
    <t>virgou-52523</t>
  </si>
  <si>
    <t>Néoliane me couvre depuis 2 ans et malgrés une petite augmentation en Janvier 2017 ça reste la complémentaire la plus intéressante pour moi. Il est important de faire le comparatif chaque année car les économies sont au RDV et elles sont quand même conséquentes...</t>
  </si>
  <si>
    <t>17/02/2017</t>
  </si>
  <si>
    <t>01/02/2017</t>
  </si>
  <si>
    <t>leonor-71211</t>
  </si>
  <si>
    <t xml:space="preserve">Depuis Mai 2018 je ma bats pour me faire prendre en charge des verres correcteurs et une monture, seulement SwissLife ma fait 3 devis différents et surtout qui ne correspondent pas aux montants du contrat . impossible a ce jour d'avoir une personne pour régulariser la situation et je fais un constat nous sommes bcp. dans cette situation malheureusement. que du temps perdu , c'est pas une situation normale.
</t>
  </si>
  <si>
    <t>SwissLife</t>
  </si>
  <si>
    <t>prevoyance</t>
  </si>
  <si>
    <t>12/02/2019</t>
  </si>
  <si>
    <t>01/02/2019</t>
  </si>
  <si>
    <t>alain-c-96661</t>
  </si>
  <si>
    <t>bonjour, je suis passer par les furets.com, plusieurs proposition me sont apparus, mais april reste pour moi, simple, rapide et pas chers, 
niveau tarif je conseil .</t>
  </si>
  <si>
    <t>29/08/2021</t>
  </si>
  <si>
    <t>jp--101827</t>
  </si>
  <si>
    <t>DE BELLES PROMESSES à l’inscription mais en réalité des menteurs.
Un sinistre, une voiture collée derrière moi, je recule pour pouvoir me dégager, j’abime le pare choc de la voiture, la Maaf n’a pas voulu prendre en considération toutes les explications inscrites sur le constat et décide que je suis seul 
Responsable. Au tél une personne me dit que pour cette fois je ne serais pas malussé. 
Hors je reçois les avis d’échéance et bien je suis bel et bien malussé.
Tous nos contrats sont chez eux.
J’ai eu d’autres propositions d’agence local ou le contact est plus commercial, des secrétaires compétentes, aimables.
Donc les décisions vont être rapide</t>
  </si>
  <si>
    <t>MAAF</t>
  </si>
  <si>
    <t>24/12/2020</t>
  </si>
  <si>
    <t>yure-ramos-a-126507</t>
  </si>
  <si>
    <t>Je suis satisfait pour le service, et efficace quand on appelle au service rapidement prend le appel, je suis content pour été cliente chez ch ous, je vous dite merci</t>
  </si>
  <si>
    <t>04/08/2021</t>
  </si>
  <si>
    <t>julie-71440</t>
  </si>
  <si>
    <t>À fuir, assurance prévoyance lamentable.... Des délais de traitement plus que longs ! Ils vous réclament en permanence des documents que vous leurs avez déjà transmis; ils n’ouvrent certainement pas leurs emails, d’ailleurs ils n’y répondent jamais. Vous devez les appeler tout le temps, les relancer par téléphone et lorsque vous les avez, on vous dit que ça part en traitement alors que c’est complètement faux, vous les rappelez 15 jours plus tard vous en êtes toujours au même point c’est-à-dire nulle part ... c’est honteux de se moquer des gens comme ça et effectivement, pour encaisser il n’y a pas de problème, c’est bien réglé de ce côté là ! Personnellement, je suis déjà bien affectée par ma maladie et en plus, ils m’ajoutent un stress, une angoisse supplémentaire à me mettre dans une situation de précarité. 
Ils prônent l’excellence 2020 avec plus de 6500 collaborateurs... bah on se demande où ils sont ... à la cafétéria peut-être !!!
Et si j’avais pu mettre zéro étoile, je l’aurais fait ????????????</t>
  </si>
  <si>
    <t>09/12/2020</t>
  </si>
  <si>
    <t>michellon-f-111404</t>
  </si>
  <si>
    <t>très satisfait du service
bizarre le tarif ne correspondait pas trop aux simulations effectuées.
Sinon la souscription est rapide et facile.
Les documents sont reçues dans la minute</t>
  </si>
  <si>
    <t>23/04/2021</t>
  </si>
  <si>
    <t>claude-a-136957</t>
  </si>
  <si>
    <t>Je suis satisfait du service
les prix me conviennent
les garanties me suffisent pour l'instant
l'adhésion est rapide, simple efficace et pratique 
Bien sincèrement.</t>
  </si>
  <si>
    <t>11/10/2021</t>
  </si>
  <si>
    <t>baptiste-d-124886</t>
  </si>
  <si>
    <t xml:space="preserve">Un bon site pour les renseignements 
Simple, vite et rapide 
Je recommande fortement ce site pour les jeunes qui arrive dans le monde dès motard      </t>
  </si>
  <si>
    <t>26/07/2021</t>
  </si>
  <si>
    <t>hugo-f-117061</t>
  </si>
  <si>
    <t>Le prix est très avantageux, le service est réactif, il ni a pas 5 Etoiles car comme beaucoup d'assurance, ils y a plein de clause non comprise dans les forfaits malheureusement..
Globalement satisfait</t>
  </si>
  <si>
    <t>15/06/2021</t>
  </si>
  <si>
    <t>sasa-b-132267</t>
  </si>
  <si>
    <t>merci pour cette traitement rapide de mon dossier. ça fait plaisir : rapide, efficace et les tarifs toujours aussi intéressante. Je vous souhaite une très bonne journée</t>
  </si>
  <si>
    <t>10/09/2021</t>
  </si>
  <si>
    <t>conchita-i-128179</t>
  </si>
  <si>
    <t>Je suis satisfaite du site de Direct, les prix sont abordables et intéressants. en espérant qu'en cas de besoin, le service sera tout autant réactif et efficace.</t>
  </si>
  <si>
    <t>16/08/2021</t>
  </si>
  <si>
    <t>jimmy-c-116703</t>
  </si>
  <si>
    <t>Je suis satisfait du service et l'efficacité d'Internet pratique rapide merci de votre confiance je ferai part de votre site as les amis tarif avantageux.</t>
  </si>
  <si>
    <t>11/06/2021</t>
  </si>
  <si>
    <t>artquandciel-102341</t>
  </si>
  <si>
    <t>Bonne assurance auto. J'en suis satisfaite. 
En plus, ils ont baissé mon tarif cette année car je n'ai pas eu d'accident depuis longtemps. Je recommande.</t>
  </si>
  <si>
    <t>07/01/2021</t>
  </si>
  <si>
    <t>elo-81356</t>
  </si>
  <si>
    <t>Grosse déception, si j'avais su je serais directement passée par l'assureur quitte à payer un peu plus cher, c'est ce que je compte faire à échéance de mon contrat signé d'une manière bidon par téléphone.</t>
  </si>
  <si>
    <t>Solly Azar</t>
  </si>
  <si>
    <t>26/11/2019</t>
  </si>
  <si>
    <t>01/11/2019</t>
  </si>
  <si>
    <t>sylvie-104524</t>
  </si>
  <si>
    <t xml:space="preserve">J'attends depuis le 30 septembre un remboursement dentaire pour une dépense supérieure à 1000 euros. MERCER a reçu tous les justificatifs, envoyés plusieurs fois par internet et par courrier recommandé avec A/R et rien n'y fait. Aucun moyen de joindre qui que ce soit pour avoir une explication claire. </t>
  </si>
  <si>
    <t>20/02/2021</t>
  </si>
  <si>
    <t>philippe-s-106880</t>
  </si>
  <si>
    <t>je suis très satisfait du service client ainsi que des tarifs réguliers;
de plus en cas de sinistre; tout sait très bien passé;encore merci au       service client.</t>
  </si>
  <si>
    <t>17/03/2021</t>
  </si>
  <si>
    <t>christelle-b-127352</t>
  </si>
  <si>
    <t>je suis satisfait d'avoir l'attestation mais je trouve que tous vos prix sont chers et devoir payer piur le télétravail est est inadmissible du fait de ce que je paye pour l'année
je ne suis pas satisfaite d'avoir reçu le 30 juillet une offre promotionnelle pour le contôle technique de ma voiture alors que je l'ai fait le 21  juillet  et qu'il expirait le 24 juillet.</t>
  </si>
  <si>
    <t>GMF</t>
  </si>
  <si>
    <t>10/08/2021</t>
  </si>
  <si>
    <t>rodrigues-b-125385</t>
  </si>
  <si>
    <t xml:space="preserve">Je suis satisfait de vos services, du prix et de la réactivité de conseiller 
Rien a signaler pour le moment 
Je recommande l'olivier assurance à mes proches </t>
  </si>
  <si>
    <t>29/07/2021</t>
  </si>
  <si>
    <t>stephane-p-124527</t>
  </si>
  <si>
    <t xml:space="preserve">Très satisfait (assuré depuis longtemps chez AMV).
Tarifs corrects, difficile de trouver moins cher.
Site internet clair.
Assurer un nouveau véhicule est très rapide.
</t>
  </si>
  <si>
    <t>AMV</t>
  </si>
  <si>
    <t>24/07/2021</t>
  </si>
  <si>
    <t>mh-106919</t>
  </si>
  <si>
    <t>Excellente assurance quand on a pas besoin de leur service et que nous subissons un sinistre. Quant à l’accueil par téléphone, je ne suis pas tombé sur la bonne personne....</t>
  </si>
  <si>
    <t>idoubrahim-c-108478</t>
  </si>
  <si>
    <t>Trés simple et pratique : site trés bien réalisé
trés simple également au niveau de la souscription
rapide et pratique!!!
en espérant avoir des tarifs plus avantageux en souscrivant pour d'autres véhicules</t>
  </si>
  <si>
    <t>30/03/2021</t>
  </si>
  <si>
    <t>bagouni-68407</t>
  </si>
  <si>
    <t>Assuré chez direct assurance via avanssur, ma voiture n'est plus assurée depuis plusieurs mois sans que j'en sois informé !!!! Toujours aucunes nouvelles de ces personnes malgrès des mises en demeure...Saisie du tribunal.</t>
  </si>
  <si>
    <t>07/11/2018</t>
  </si>
  <si>
    <t>01/11/2018</t>
  </si>
  <si>
    <t>viorel-101032</t>
  </si>
  <si>
    <t>a fuir au plus vite
- les tariffs sont allechants la premiere annee, mais grimpent de facon substantielle chaque annee
- oui j'ai eu des sinistres, mais c'etait 3 bris de glace et un vol- sur 4 ans, toutes non responsable, et ils viennent de nous resilier - UN GRAND BRAVO, ca s'appele avoir le client au coeur de leur activite
donc un conseille - EVITER CET ASSUREUR, n'importe le quel est mieux que Direct Assurance.
c'est Direct, mais c'est direct a la poubelle</t>
  </si>
  <si>
    <t>gaetan-t-118043</t>
  </si>
  <si>
    <t>Contrat signé rapidement avec des tarif pour les options au top.
Les conditions sont explicites et toutes les informations nécessaire sont données. Si besoin l'appel d'un conseiller fonctionne bien</t>
  </si>
  <si>
    <t>23/06/2021</t>
  </si>
  <si>
    <t>matouille-70254</t>
  </si>
  <si>
    <t xml:space="preserve">Facturation de changement d'adresse alors que nous venions de faire assurer la maison chez eux dès notre achat. L'erreur venait de leur service qui n'avait pas fait le changement de facturation avec le nouveau contrat. De ce fait, mon contrat d'assurance voiture diminuait en tarifs mais la GMF refuse de rembourser </t>
  </si>
  <si>
    <t>15/01/2019</t>
  </si>
  <si>
    <t>01/01/2019</t>
  </si>
  <si>
    <t>yan-89331</t>
  </si>
  <si>
    <t>Aucun conseil, aucune communication
Demande des dossiers complémentaires sans arrêt pour au final ne pas rembourser.
Ne respecte pas ses engagements. Aucun remboursement suite à un arret de 30 jours pour une hernie inguinnale , on me demande de renseigner tous mes rendez vous chez le medecin depuis dix ans, alors que je n'ai jamais eu un seul arret de travail.
Il faut faire remplir un nouveau doc au medecin en pleine crise du covid, c'est lamentable</t>
  </si>
  <si>
    <t>CNP Assurances</t>
  </si>
  <si>
    <t>03/05/2020</t>
  </si>
  <si>
    <t>calou-56565</t>
  </si>
  <si>
    <t xml:space="preserve">Un prix attractif, certes. Puis au moment de concrétiser un contrat habitation, 20min d'attente au téléphone pour s'entendre dire que la MAAF refuse finalement d'assurer l'appartement que je vais louer parce que je n'y serai qu'en semaine et que je vais rentrer le weekend en Belgique. </t>
  </si>
  <si>
    <t>09/08/2017</t>
  </si>
  <si>
    <t>01/08/2017</t>
  </si>
  <si>
    <t>yass-65605</t>
  </si>
  <si>
    <t>Il sont très long pour les paiements lors d'un sinistre + 2 mois , de mauvaise foi, il n'hésite pas à raccrochez au nez des clients.</t>
  </si>
  <si>
    <t>19/07/2018</t>
  </si>
  <si>
    <t>01/07/2018</t>
  </si>
  <si>
    <t>schuss-54824</t>
  </si>
  <si>
    <t>Tarifs attractifs. Compagnie attrayante tant que l'on n'a pas de sinistre.
Dans mon cas, vol de ma moto. Evaluation de l'expert faite sur la base d'une mauvaise version (sans ABS), impossibilité de lui faire changer d'avis, malgré la production d'annonces démontrant que l'estimation a été sous-évaluée.
J'ai fini par accepter après plusieurs de démarches vaines et d'absence de réponses à les courriers. Préjudice de 1500 euros</t>
  </si>
  <si>
    <t>20/05/2017</t>
  </si>
  <si>
    <t>01/05/2017</t>
  </si>
  <si>
    <t>franck-76696</t>
  </si>
  <si>
    <t>Nouveau client chez l'olivier, je suis très déçu du suivi de dossier en cas de sinistre.
Pas de chance, au bout de 3 jours de contrat, une voiture m'accroche le pare choc et l'abime.je suis leur procédure...envoi du constat sur mon compte et sur un mail spécial sinistre.cela fait 2 semaines et pas de nouvelles, impossible de les joindre bpar téléphone.je crois que ça va mal finir pour eux. Je comprends les avis très défavorable.</t>
  </si>
  <si>
    <t>12/06/2019</t>
  </si>
  <si>
    <t>01/06/2019</t>
  </si>
  <si>
    <t>fleur33-67367</t>
  </si>
  <si>
    <t>Jamais vu ça la pire assurance que j'ai eut en vingt ans pendant la pandémie impossible de les joindre une expertise annulée m'est quand  même comptee de façon négative et l'expert s'est payé je vais peut être voir un avocat un scandale</t>
  </si>
  <si>
    <t>06/01/2021</t>
  </si>
  <si>
    <t>kamel-b-108579</t>
  </si>
  <si>
    <t xml:space="preserve">Je suis suffisant satisfait de vos prestations. Plus de dix ans chez vous et jamais de sinistres responsables malheureusement  mon bon comportement routier ne se reporte pas sur le prix des mes assurances. </t>
  </si>
  <si>
    <t>megane-c-129142</t>
  </si>
  <si>
    <t xml:space="preserve">Les plus petits prix que j’ai vu pour un jeune permis, pour l’assurance tout risques. Site très compréhensible et accessible. Bonne communication. Très bien.
</t>
  </si>
  <si>
    <t>23/08/2021</t>
  </si>
  <si>
    <t>lili-91367</t>
  </si>
  <si>
    <t xml:space="preserve">Je suis satisfaite du service , rapide efficace je recommande votre site internet et vos assurance auto qui sont dans des prix très convenable . Génial  </t>
  </si>
  <si>
    <t>18/06/2020</t>
  </si>
  <si>
    <t>01/06/2020</t>
  </si>
  <si>
    <t>hamza-m-123043</t>
  </si>
  <si>
    <t xml:space="preserve">je suis très content du prix et des garanties proposées. 
je recommande fortement avril car après plusieurs devis j'ai enfin trouver les garanties que je cherchais. </t>
  </si>
  <si>
    <t>10/07/2021</t>
  </si>
  <si>
    <t>zebra-80478</t>
  </si>
  <si>
    <t xml:space="preserve">Déplorable, assurée à la Maif depuis 10 ans sans avoir eu aucuns sinisitres, j'ai déchanté suite à un accident de voiture survenu le 21/06/2019, j'ai été transporté au urgence car en état de choc, c'était mon premier accident en 32 ans de conduite. très mal renseignée par la Maif, du coup alors que pompier et gendarme présents ont conclu à 50/50, je me suis retrouvée à 100 en tort car la Maif m'a mal renseigné pour l'établissement du constat et par contre très bien informée l'autre partie également à la Maif Fila. résultat des courses je résilie sous peu la totalité de mes contrats chez eux !
</t>
  </si>
  <si>
    <t>MAIF</t>
  </si>
  <si>
    <t>28/10/2019</t>
  </si>
  <si>
    <t>01/10/2019</t>
  </si>
  <si>
    <t>jo-111049</t>
  </si>
  <si>
    <t>J'ai souscris une assurance emprunteur par le biais de la Société Générale je bataille depuis 5 mois systématiquement il me demande le même dossier que j ai déjà envoyé 5 fois.... Aucun contact téléphonique car personne ne répond.. À fuir</t>
  </si>
  <si>
    <t>Sogecap</t>
  </si>
  <si>
    <t>20/04/2021</t>
  </si>
  <si>
    <t>legrand-a-135790</t>
  </si>
  <si>
    <t>Je suis satisfaite du service. 
Conseiller au téléphone m'a très bien renseigner et guider pour la mise en route du contrat. Les prix de cette assurance sont correct</t>
  </si>
  <si>
    <t>04/10/2021</t>
  </si>
  <si>
    <t>david-m-109237</t>
  </si>
  <si>
    <t>très satisfait sauf pour le paiement avec renseignement de carte. je préfére les paiements du type Cdiscount ou Ali express par carte paylib ou paypal</t>
  </si>
  <si>
    <t>mohamed-z-125984</t>
  </si>
  <si>
    <t xml:space="preserve">Je sui satisfait du service,  les prix sont abordable et resonable, je souhaite à l'avenir proche conseiller mon entourage de souscrire avec directe assurance  parce qu'il sont les meilleurs </t>
  </si>
  <si>
    <t>02/08/2021</t>
  </si>
  <si>
    <t>van-moorleghem-j-123478</t>
  </si>
  <si>
    <t>Très satisfait. Facile et interlocuteur agréable. Très bonnes explications. Le contrat est clair. Je ne sais pas quoi dire d'autre! Je recommande cette assurance</t>
  </si>
  <si>
    <t>15/07/2021</t>
  </si>
  <si>
    <t>faf2705-55656</t>
  </si>
  <si>
    <t xml:space="preserve">Très déçue!! Je suis assurée chez eux depuis 3 mois et is viennent de me résilier car je n'ai pas signer électroniquement le contrat, alors que j'avais reçu un mail lors de mon inscription me disant que "mon dossier était complet". Aucune relance, ni par mail, ni par courrier, ni par téléphone. Je suis dépitée. Après les avoir appelé plusieurs fois, aucun moyen de revenir sur cette résiliation. J'ai payé mes cotisations, envoyé tous les documents nécessaires,  je trouve cela scandaleux. A moi maintenant de trouver une nouvelle assurance qui acceptera de m'assurer malgré ma résiliation sans que cela ne m'a "coûte un bras"!!
S'ils m'avaient envoyé un courrier (comme pour ma résiliation) j'aurai bien entendu pu signer ce contrat.
Quel etait mon intérêt de ne pas le faire?
</t>
  </si>
  <si>
    <t>27/06/2017</t>
  </si>
  <si>
    <t>01/06/2017</t>
  </si>
  <si>
    <t>faiz-109152</t>
  </si>
  <si>
    <t>Les informations ne sont pas communiquer de façon clair. Des éléments ne vous sont communiquer qu'aprés souscriprion et validation du paiement, temps d'attente extrêmement long et conseiller incompétents assurance a FUIRE ABSOLUMENT</t>
  </si>
  <si>
    <t>05/04/2021</t>
  </si>
  <si>
    <t>manu--124809</t>
  </si>
  <si>
    <t>A fuir ! me résilie pour un retard de paiement que je comprend 
alors que la somme de remboursement qu'ils me doivent dépasser de loin ce qu'il me réclame. 
Jamais les mêmes informations à fuir !!:!!</t>
  </si>
  <si>
    <t>Harmonie Mutuelle</t>
  </si>
  <si>
    <t>fanou13-95160</t>
  </si>
  <si>
    <t xml:space="preserve">Bonjour à tous
Depuis le 17 décembre 2019, jour de mon accident sur le périphérique parisien, ma moto étant désormais une épave, je ne suis donc plus assuré à la mutuelle des motards. Cependant, cette assurance a continué de me prélever mensuellement. Malgré plusieurs appels de ma part, ou quand j'avais quelqu'un, on me disait que cela allait être régularisé, nous sommes aujourd'hui le 25 juillet 2020 et je n'ai toujours pas été remboursé. Ma lettre recommandée est restée sans réponse, les mails aussi. J'ai donc fait opposition aux prélèvements sur mon compte, chose que j'aurai dû faire dès le 18 décembre 2019, le lendemain de mon accident. Et puis la-dessus, le Covid 19 s'est répandu et à la Mutuelle des Motards, il faut croire que cela a été plus tragique qu'ailleurs car pendant trois mois, plus question d'avoir quelqu'un au téléphone. On nous disait d'aller sur le site ou on pouvait soi-disant tout faire et que sur demande, on pouvait même ce faire rappeler. C'est ce que j'ai fait à de nombreuses reprises. J'attends toujours. Aujourd'hui, j'ai acheté une nouvelle moto et bien entendu, je l'ai assuré ailleurs. La Mutuelle des Motards est bien loin de l'esprit motards qu'elle se prétend défendre et représenter.  </t>
  </si>
  <si>
    <t>Mutuelle des Motards</t>
  </si>
  <si>
    <t>25/07/2020</t>
  </si>
  <si>
    <t>01/07/2020</t>
  </si>
  <si>
    <t>jean-jacques-p-115820</t>
  </si>
  <si>
    <t>Bonjour, je vous écris pour mon assurance Marque : RENAULT CAPTUR Puissance fiscale : 5 CV Mise en circulation : 09/2018 Etablissement de la carte grise : 27/09/2018 Propriétaire du véhicule : Jean Jacques PISSON Immatriculation : FA-702-RZ Je vais partir en vacances le 5 Juin avec cette voiture et avec une attache remorque et un porte 2 vélos à l'arrière du véhicule, je souhaite être assuré pour ce porte vélo avec 2 vélos que je vais transporter. Ma question suis je assuré dans ces conditions ci-dessus ou dois payer un supplément d'assurance. Cordialement Mr PISSON Jean Jacques</t>
  </si>
  <si>
    <t>03/06/2021</t>
  </si>
  <si>
    <t>geoffroy-m-106451</t>
  </si>
  <si>
    <t>en deux ans le prix de l'assurance a bien augmenté alors que je n'ai pas eu d'accident.... avec un pouvoir d'achat en berne je suis obligé de reconsidérer mon contrat ....</t>
  </si>
  <si>
    <t>13/03/2021</t>
  </si>
  <si>
    <t>sylvain-74-135795</t>
  </si>
  <si>
    <t>ATTENTION
Prix assez attractif mais dès que vous modifier votre contrat (pour un changement d'adresse par exemple) on vous facture 15€ alors que c'est vous qui faites tout sur votre espace.</t>
  </si>
  <si>
    <t>cyrille-g-132795</t>
  </si>
  <si>
    <t>Souscription par téléphone rapide.
L'interlocuteur m'a aidé au téléphone tout au long de la démarche de A à Z, ce qui était très agréable et rassurant.</t>
  </si>
  <si>
    <t>14/09/2021</t>
  </si>
  <si>
    <t>patrice-c-130460</t>
  </si>
  <si>
    <t xml:space="preserve">Satisfait du service, en revanche, l'envoi de la carte verte seulement à l'adresse du stationnement du véhicule, est un peu embêtant pour ceux en résidence secondaire. 
</t>
  </si>
  <si>
    <t>31/08/2021</t>
  </si>
  <si>
    <t>stall-79917</t>
  </si>
  <si>
    <t xml:space="preserve">Étant en train d'acheter un nouveau scooter, le concessionnaire me demande l'attestation de l'assurance prouvant que j'ai bien conduit un 125cm3 en 2006 et 2011 comme la loi le demande. La Macif ne me l'a jamais fourni et lorsque j'appelle, ils me répondent qu'ils ne peuvent pas car cela est trop ancien. Je suis en train de perdre mon acompte. Incapable de taper un simple attestation et en plus, ils me disent de passer la formation de 7h alors que je n'en ai pas besoin. Irréaliste ! Vraiment très déçu et après presque 30 ans chez eux, j'envisage d'aller voir ailleurs pour mes 2 véhicules. Le discours au téléphone était hallucinant. La personne me mettait en attente pour allez à la pêche au informations. Un simple papier spécifiant mon passé d'assuré pour un 2 roues sous prétexte que c'était trop ancien !!! Elle m'a répondu qu'elle ne pouvait pas remonter entre 20 et 30 ans. Nous sommes en 2019 et la durée demandée est comprise entre 2006 et 2011. Si je n'obtient pas ce document pourtant demandé par les forces de l'ordre, je stop mes adhésions. </t>
  </si>
  <si>
    <t>MACIF</t>
  </si>
  <si>
    <t>10/10/2019</t>
  </si>
  <si>
    <t>dylan-b-110204</t>
  </si>
  <si>
    <t xml:space="preserve">Je suis satisfait du service et des conseillers toujours clairs et rapide au traitement des demande je remercie l’équipe pour l’intérêt qui porte à c’est client </t>
  </si>
  <si>
    <t>13/04/2021</t>
  </si>
  <si>
    <t>aurelien-95695</t>
  </si>
  <si>
    <t>Bonjour 
Attention vous payez 1/3 de l'assurance   avant  la souscription finalisé  pour ensuite des modalités qui ne sont pas  indiqués clairement  vous résilie !!!   
Elle m'a coûté 120E pour 2 semaines 
bien-sure elle  ne vous rembourse pas 
assurance a fuir !!! !!</t>
  </si>
  <si>
    <t>Eurofil</t>
  </si>
  <si>
    <t>30/07/2020</t>
  </si>
  <si>
    <t>benjamin-d-129338</t>
  </si>
  <si>
    <t xml:space="preserve">Rapide et claire, les services ont l'air tres interessant par rapport a la concurances surtout par rapport au assurance physique, 
Assurance conseiller par deux collegues de travail </t>
  </si>
  <si>
    <t>24/08/2021</t>
  </si>
  <si>
    <t>jean-louis-g-108106</t>
  </si>
  <si>
    <t>Très rapports et réactivité
Prise en charge rapide
Je suis particulièrement satisfait de mes contrats auto et habitation, très bonne couverture
Les contacts téléphoniques sont très courtois et la réactivité par rapport aux problèmes accompagné d'explications très claires</t>
  </si>
  <si>
    <t>26/03/2021</t>
  </si>
  <si>
    <t>edith-h-132742</t>
  </si>
  <si>
    <t xml:space="preserve">service rapide et à bon prix
la souscription par internet est bien détaillée, les étapes sont précises.
je conseille pour une assurance moto les tarifs sont très correctes.
j'ai 2 motos assurées </t>
  </si>
  <si>
    <t>quanzhou-97025</t>
  </si>
  <si>
    <t xml:space="preserve">Je n’ai pas eu de sinistre durant le temps ou j’étais chez active assurance mais au renouvellement j’ai eu la surprise de la voir augmenter relativement à ses concurrent. Ils ont été incapable de négocier sur une base raisonnable, en fait la différence était si importante que j’ai du partir en espérant que la prochaine assurance ne fasse pas la même erreur. </t>
  </si>
  <si>
    <t>Active Assurances</t>
  </si>
  <si>
    <t>04/09/2020</t>
  </si>
  <si>
    <t>ced-67123</t>
  </si>
  <si>
    <t xml:space="preserve">Je me suis fait résilier pour ne pas avoir envoyer la copie de la carte grise selon leur explication. 
Comme je l'ai envoyé par courrier simple et non par recommander je ne peux rien prouvé et il mon laissé roulé 2mois sans me prévenir </t>
  </si>
  <si>
    <t>AXA</t>
  </si>
  <si>
    <t>26/09/2018</t>
  </si>
  <si>
    <t>01/09/2018</t>
  </si>
  <si>
    <t>raphael-r-117165</t>
  </si>
  <si>
    <t xml:space="preserve">correct au niveau des prix
assistance téléphonique bien
espace client internet bien 
agence bien au niveau relationnel et horaire.
que dire d'autre que tout est bien à la gmf.
</t>
  </si>
  <si>
    <t>fan8484848-62586</t>
  </si>
  <si>
    <t>C'est lors du sinistre que vous allez comprendre l'incompétence de cette assureur. De plus, les agents n'appliquent pas les tarifs que vous pouvez voir sur Internet.</t>
  </si>
  <si>
    <t>22/03/2018</t>
  </si>
  <si>
    <t>lw-139215</t>
  </si>
  <si>
    <t>NULLISSIME !
On va de bourdes en bourdes... En dépit des documents contractuels, les mensualités sont prélevées sur mon compte perso et les indemnités versées sur mon compte pro. Une première demande : rien n'est fait. Une deuxième : on résout le problème uniquement pour le plan retraite (en m'assurant que les changements seront faits pour la prévoyance et la santé). Une troisième demande : on résout uniquement le problème pour la prévoyance. Une quatrième demande : les mouvements sur les comptes sont ENFIN juste pour les trois contrats.
On me fait comprendre que c'est ma faute, je m'énerve, on me répond que les contrats dépendent de différents services qui ne se transfèrent pas les mails (les demandes étaient pourtant faites via le portail en ligne pour CHAQUE contrat).
Evidemment, chaque demande prend un temps considérable...
Aujourd'hui j'ai besoin d'un relevé de situation et le service est momentanément indisponible... depuis 48 heures. Personne ne répond au téléphone, il faut dire qu'il est 18h02...
FUYEZ !</t>
  </si>
  <si>
    <t>08/11/2021</t>
  </si>
  <si>
    <t>neajeriam-80229</t>
  </si>
  <si>
    <t>Mon fils essaie depuis 4 mois d'encaisser un contrat d'assurance vie ouvert à son nom par sa Gd mère pour acheter  un appartement . L'agence SG en charge Mon agence SG n'obtient pas de réponse de la SOGECAP ;C'est inadmissible .</t>
  </si>
  <si>
    <t>19/10/2019</t>
  </si>
  <si>
    <t>edwige49-58360</t>
  </si>
  <si>
    <t>A FUIR !!!
ne prends pas compte les résiliations et mentionne des sinistres imaginaires. Jamais la même personne nous réponds, les courriers envoyés au siège doivent finir directement à la poubelle</t>
  </si>
  <si>
    <t>25/10/2017</t>
  </si>
  <si>
    <t>01/10/2017</t>
  </si>
  <si>
    <t>misteraudi-60413</t>
  </si>
  <si>
    <t>entre l'offre faite sur le site d'assurland et la propo que l'on vous fait il y a une différence de tarif importante.On vous dit au téléphone que l'offre internet est faite pour appâter le nouveau client et que l'année d'après le tarif sera le même que celui que l'on me propose</t>
  </si>
  <si>
    <t>12/01/2018</t>
  </si>
  <si>
    <t>01/01/2018</t>
  </si>
  <si>
    <t>carbonnel-i-124192</t>
  </si>
  <si>
    <t>Très bonne réactivité et accompagnement tout le long de la procédure d’inscription. Conseillère très à l’écoute et réceptive et service rapide et efficace</t>
  </si>
  <si>
    <t>22/07/2021</t>
  </si>
  <si>
    <t>jcc-99974</t>
  </si>
  <si>
    <t>On critique toujours  quand ca ne va pas mais pour une fois je suis tellement satisfais que je ne peux pas laisser critiquer une assurance dont les conseils m ont sauvés la mise . déjà a la signature de mon contrat j ai été extrêmement bien conseillé (mais je ne le savais pas encore) .je m en suis aperçu lors du vol de mon véhicule . traumatise par ce vol j ai contacte plusieurs fois la GMF et ses services a Besançon  j ai eu plusieurs interlocuteurs qui ont tous été très agréables  et très compréhensibles. après toutes les démarches et les procédures obligatoires La GMF m as remboursé entièrement sans aucun problème dans des délais très raisonnables .De ce fait j ai racheté un autre véhicule et par respect pour ces personnes j ai repris mon assurance chez eux . et encore une fois , conseillé par une correspondante super compétente.
je voulais aussi dire que j avais déjà comparé les tarifs avec plusieurs assurances.et les différences étaient vraiment infimes. comme quoi , des fois même si elle sont parfois plus chères (ce qui n était pas le cas pour moi )on évite parfois de gros soucis qui ne sont pas les bienvenus lorsque l on a un sinistre 
Merci au personnel de la GMF</t>
  </si>
  <si>
    <t>10/11/2020</t>
  </si>
  <si>
    <t>01/11/2020</t>
  </si>
  <si>
    <t>samra-91894</t>
  </si>
  <si>
    <t>Au vu des commentaires que j'ai pu lire, j'espère vivement que la transmission ultérieure du récépissé de la casse aboutira à une fin de prélèvement immédiatement sans un dernier prélèvement pour la route histoire de renflouer...
J'ai aussi eu droit à une hausse tarifaire la deuxième année ainsi qu'une autre, après un déménagement avec stationnement sur voie publique lors de la quatrième année,  aussi importante que la deuxième année !!! Ils ont fait un geste et selon mes constatations j'ai simplement eu droit à une tarification dans la continuité de mon ancienneté. L'année suivante, actuellement, également.
Ce serait un comble si je devais faire opposition et être accablée par des frais de pénalité de retard accompagné d'un fichage pour non-paiement. 
Même s'il y a une date sur le document et une date d'envoi de ce document, on ne sait jamais, la régularisation de ce type de problème pourrait prendre un certain temps.
Les garanties inclus dans mon contrat n'équivaut pas les garanties supérieures chez "un" autre assureur pour quelques centaines moins cher !!!</t>
  </si>
  <si>
    <t>09/07/2020</t>
  </si>
  <si>
    <t>fr3-96491</t>
  </si>
  <si>
    <t xml:space="preserve">Attention, la perte ou le vol de clés n'est pas couvert. J'ai pourtant pris la totalité des garanties existantes (tout risque et pack Sérénité)... 
Malheureusement, j'ai perdu mes clés dans un lac en vacances, et je me suis entendu dire que se n'était pas couvert par mon contrat. Je me suis retrouvé à 500 km de chez moi sans clés, voiture fermé, en famille sans assistance...
Bref, insatisfait et je quitte cette assurance le plus vite possible. Avec direct assurance, c'est moins cher mais on sais pourquoi. </t>
  </si>
  <si>
    <t>20/08/2020</t>
  </si>
  <si>
    <t>01/08/2020</t>
  </si>
  <si>
    <t>do-carmo-duarte-d-108285</t>
  </si>
  <si>
    <t>Je suis très satisfait du service de l'olivier assurance aussi bien au niveau des tarifs que du service client. Tout est plutôt simple d'une manière générale.</t>
  </si>
  <si>
    <t>27/03/2021</t>
  </si>
  <si>
    <t>dave116-90948</t>
  </si>
  <si>
    <t xml:space="preserve">Cela va faire bientôt 2 ans que je suis chez direct Assurance. Je suis plutôt satisfait, je n’ai jamais eu de problème avec eux. La gestion des contrats est très bonne et notre espace client nous permet de faire beaucoup de choses en autonomie. Je recommande vivement direct assurance. </t>
  </si>
  <si>
    <t>15/06/2020</t>
  </si>
  <si>
    <t>rosunally-f-133751</t>
  </si>
  <si>
    <t xml:space="preserve">Tres satisfait du prix et le contacte telephonique excellent explication tres claire a recommander a mes proche et mon entourage. Je vous remerci d'avance </t>
  </si>
  <si>
    <t>21/09/2021</t>
  </si>
  <si>
    <t>oliver-64201</t>
  </si>
  <si>
    <t>Dégât des eaux : 01/03/2018
Visite de l'expert : 02/05/2018
Compte rendu  Expert : 14/05/2018
Faut pas être pressé.
L'expert a minutieusement démonté les devis des entreprises durant la visite. Axa demande des infos très précises mais leur rapport d'expertise renvoie une évaluation à la louche, très sous-estimée. Le service sinistre est nul, c'est moi qui leur ai expliqué comme il fallait interpréter le rapport d'expertise.</t>
  </si>
  <si>
    <t>25/05/2018</t>
  </si>
  <si>
    <t>01/05/2018</t>
  </si>
  <si>
    <t>riviere-a-130975</t>
  </si>
  <si>
    <t>Bon rapport qualité prix, bonne réactivité, bon contact avec les chargés de clientèle. L'assurance l'olivier a su être réactif en cas de sinistre. RAS</t>
  </si>
  <si>
    <t>02/09/2021</t>
  </si>
  <si>
    <t>gui-75130</t>
  </si>
  <si>
    <t>Le service travaux est incapable de réparer mon carreau cassé et mon volet suite à mon cambriolage du 6 mars. Vivre dans le noir pendant 6 semaines avec la crainte d'un nouveau cambriolage merci la MAAF !!!</t>
  </si>
  <si>
    <t>16/04/2019</t>
  </si>
  <si>
    <t>01/04/2019</t>
  </si>
  <si>
    <t>zouzou-67918</t>
  </si>
  <si>
    <t xml:space="preserve">a évite largement je souscrit une assurance aujourd'hui
je ne peux pas télécharge l'attestation sur leur site car le site et en bêta impossible de me connecte sur mon compte j'ai appelle le service client surprise on ne peux pas vous envoyé l'attestation par mail car c'est samedi si vous pouvez pas pourqoui accepte un client un samedi du coup je ne peux pas allez travaille une journee de travail perdu en l'appelle trop cher 0.80 centime la minute  j'ai reste 30 mn en attente c'est du vol je porte plainte pour le moteur de recherche les furets.com aussi car c'est lui le responsable  </t>
  </si>
  <si>
    <t>20/10/2018</t>
  </si>
  <si>
    <t>01/10/2018</t>
  </si>
  <si>
    <t>rebecca-99204</t>
  </si>
  <si>
    <t xml:space="preserve">Impossible de les joindre par telephone, attente interminable. espace client ne marche pas, donc impossible d’avoir une validation de devis. juste l’horreur. Numéro payant en plus! </t>
  </si>
  <si>
    <t>25/10/2020</t>
  </si>
  <si>
    <t>01/10/2020</t>
  </si>
  <si>
    <t>david-d-133789</t>
  </si>
  <si>
    <t>Satisfait super service client assurance pas cher parfait je suis satisfait de direct assurance c'est une très bonne assurance je vous remercie de votre réactivité je suis entièrement satisfait</t>
  </si>
  <si>
    <t>nico77310-123804</t>
  </si>
  <si>
    <t>Assureur présent pour ramasser la cotisation mais absent quand vous avez besoin de lui.
Si vous aimez attendre 30 min sur des disques vocaux pour vous faire raccrocher au nez ou ne jamais avoir de réponses à vos mail alors souscrivez Sogessur, vous serez servis.
A part ça, assureur pas sérieux, à fuir absolument.</t>
  </si>
  <si>
    <t>Sogessur</t>
  </si>
  <si>
    <t>19/07/2021</t>
  </si>
  <si>
    <t>hortense22-56611</t>
  </si>
  <si>
    <t>JE PAYE CHAQUE ANNEE MA FACTURE D'ASSURANCE ET SUIS EN BONUS. j'entends souvent dire que AXA est mauvais payeur, également pr les assurances Incendie-Vol, mais ne l'ai pas vérifié. Je suis également assuré chez AXA pour mon assurance Incendie-Vol et RC Familiale police 811 577 017 et je remarque que la concurrence actuellement est moins chère et suis en train de mettre mes choix en question.
 J'ai fait des placements d'argent aussi chez AXA.</t>
  </si>
  <si>
    <t>11/08/2017</t>
  </si>
  <si>
    <t>william95-54781</t>
  </si>
  <si>
    <t xml:space="preserve">Assurance de plus en en plus naze....
Je demande un renseignement savoir si j'achète un véhicule et que plus tard je le donne à ma fille jeune permis, c'est possible.
LA jeune femme me répond avec agacement que non suite à UN sinistre grave jeune permis, ça ne se fait plus chez eux et que si je compte faire ça, je ne serais plus assuré chez eux car je vais leur faire perdre du temps administrativement :)
Alors c'est simple, je vais trouver une assurance jeune permis et je vais virer mes contrats eurofil
Content eurofil, un client de 10 ans en moins </t>
  </si>
  <si>
    <t>18/05/2017</t>
  </si>
  <si>
    <t>camille-89881</t>
  </si>
  <si>
    <t xml:space="preserve">Cruel manque de professionnalisme et de communication entre conseillers. 
Assurance auto souscrite le 07/05 résiliée par l'assureur le 09/05. 
J'ai passé 1h30 au téléphone en expliquant au conseiller que je souhaitais assurer mon véhicule pour des déplacements professionnels, celui - ci m'a assuré que c'était faisable. Deux jours après, L'Olivier me rappelle pour résilier mon assurance car ils ne couvrent pas ce type de trajets. 
Sauf que, j'ai payé la totalité lors de ma souscription soit pratiquement 400 euros. L'Olivier refuse de me rembourser la totalité (il s'agit pourtant d'un manque de professionnalisme de leur part, je n'y suis pour rien...) et en plus de ça, j'apprends que j'ai également payé des frais d'ouverture à hauteur de 36 euros dont je n'étais pas au courant ET qui ne me seront pas non plus remboursés. 
Donc, pour avoir été "assurée" chez eux 2 jours, je paie 50 euros. 
J'appelle ça : du vole. </t>
  </si>
  <si>
    <t>23/05/2020</t>
  </si>
  <si>
    <t>raphael-b-125952</t>
  </si>
  <si>
    <t xml:space="preserve">Prix très correct par rapport aux autres compagnies d'assurance, avec les mêmes garanties. Conseiller rapide et efficace. Je recommande pour les motards. </t>
  </si>
  <si>
    <t>fredmount-105074</t>
  </si>
  <si>
    <t xml:space="preserve">Très content de axa jusqu’à maintenant,mais aujourd’hui j’ai quelques doutes  en effet plusieurs petits détail qui viennes de survenir me contraigne à devenir plus vigilant a de petit détail sur axa
1) je viens de réaliser l’achat d’un scooter électrique 125 dans une concession de moto électrique facture à l’appui ,je joins mon assureur qui depuis 20 ans n’as quasiment jamais entendu parler de moi,lui demande une Assurance temporaire de déplacement de ce dis véhicule jusqu’au Vendeur et CONSTRUCTEUR du véhicule (20 km de trajet être assuré temporairement 1h  afin d’y réaliser un contrôle strict )avant de l’assurée définitivement (je travaille chez le CONSTRUCTEUR du véhicule proprement dis au postes monteur opérateur en véhicule électrique) il m’as fallu quasiment 1 semaine pour réussir à prouvé m’as bonne foi ,réunir les documents demandés et au bout de 5 e-mail obtenir enfin le sésames tant espéré sachant que j’ai déjà un scooter 125 assuré chez eux 
2)de ce faite n’étant pas de bonne volonté à mettre chez axa la simplicité itinérante à ma fidélité de 20 ans je leur ai quand même demandé un devis sachants (je travaille dedans) qu’un véhicule électrique coûte deux fois moins chère en assurance chez quasiment tout les assureurs de France et bien NON chez axa il s’en foutes je suis quand même 50 euro plus chère que mon assurance de scooter thermique 
donc vous vous imaginez bien ce que je peux penser de ce genre de pratique commerciale 
Par pur plaisir de vous répondre je vous joins mon adresse mail au cas où vous auriez quelques doutes sur différentes affirmations que j’ai put évoquer 
Amicalement 
</t>
  </si>
  <si>
    <t>02/03/2021</t>
  </si>
  <si>
    <t>tnyz13-69232</t>
  </si>
  <si>
    <t>Bientôt 2 mois que j attend un remboursement, les mails sont sans sans suite.
J ai téléphoné 3 fois, 3 fois qu ils me disent qu ils s en occupe mais rien.
Je pensais me réinscrire chez eux une fois mon contrat terminé mais là ça va être compliqué.</t>
  </si>
  <si>
    <t>Ag2r La Mondiale</t>
  </si>
  <si>
    <t>07/12/2018</t>
  </si>
  <si>
    <t>01/12/2018</t>
  </si>
  <si>
    <t>fortes-gomes-j-117541</t>
  </si>
  <si>
    <t xml:space="preserve">Je suis satisfait du service les prestations proposées sont très intéressantes, la conseillère a été très bien et m'a tout bien expliqué je recommanderais. </t>
  </si>
  <si>
    <t>18/06/2021</t>
  </si>
  <si>
    <t>mohamed-ali--s-134806</t>
  </si>
  <si>
    <t xml:space="preserve">Bonjours Je suis satisfais de vos service pour l’instant  me faite pas changer d’avis le prix et correcte le reste je vais le découvrir et j’espère ne pas être déçu </t>
  </si>
  <si>
    <t>28/09/2021</t>
  </si>
  <si>
    <t>nina06-96937</t>
  </si>
  <si>
    <t xml:space="preserve">Impossible de joindre cette mutuelle   
Quelle idée d avoir adhéré a cette ste qui ne remplit vraiment pas ses devoirs ! 
Pas de remboursement et celui qui m a fait mon contrat est aux abonnés absents ! </t>
  </si>
  <si>
    <t>02/09/2020</t>
  </si>
  <si>
    <t>isabelle-a-130772</t>
  </si>
  <si>
    <t xml:space="preserve">satisfaite des services et facilité de contact/ gestion 
clarté des conditions 
tarifs compétitifs// aux autres offres 
 sollicitation des conseillers bienveillante et non intrusive  </t>
  </si>
  <si>
    <t>red-100775</t>
  </si>
  <si>
    <t xml:space="preserve">Toujours pas rembourser depuis 8 mois pour un simple accrochage sur ma classe A . Dont je ne sui pas en tort, le garage m’a débiter le montant de 3900€ est allianz tjr rien j’engage une procédure avec domage et intérêt je vous conseil de ne surtout pas souscrit chez eux . </t>
  </si>
  <si>
    <t>30/11/2020</t>
  </si>
  <si>
    <t>robert-76458</t>
  </si>
  <si>
    <t>lamentable, incompétent ! votre numéro de contrat est inconnu au bout de 15 ans ! impossible de régler par CB ! le moyen-âge et encore ! leur numéro de tel sur l'avis d'échéance habitation est celui des sinistres auto ! des vrais charlots !! en cas de sinistre je n 'ose même pas y penser ! et le service réclamation sur le site est en panne ! un comble ! allianz est une panne !!</t>
  </si>
  <si>
    <t>04/06/2019</t>
  </si>
  <si>
    <t>alan-s-128651</t>
  </si>
  <si>
    <t xml:space="preserve">Souscription très rapide, les informations sont succintes mais claires. Réponse d'un conseiller efficace dans les minutes qui ont suivi mon devis. J'ai pu souscrire pour prise d'effet immédiat.
</t>
  </si>
  <si>
    <t>19/08/2021</t>
  </si>
  <si>
    <t>sogorb-p-114915</t>
  </si>
  <si>
    <t>Excellent rapport qualité/prix et le service client est rapide et performant. J'espère que cet avis sera confirmé si d'aventure, un sinistre devait arriver.</t>
  </si>
  <si>
    <t>alan--m-124302</t>
  </si>
  <si>
    <t xml:space="preserve">Nickel et rapide je recommande vivement cette assurance je les trouvais grâce un forum de recherche et j'ai déjà été assuré au par avant et je nes jamais eu aucun soucis </t>
  </si>
  <si>
    <t>anto-72126</t>
  </si>
  <si>
    <t>Une mutuelle avec des démarcheurs peu scrupuleux des résiliations impossibles un service néant fuyez ces gens tant qu'il n'est pas trop tard car ce sera un parcours du combattant pour les quitter sans qu'ils ne vous aient depouillés de peu d'argent qu'il vous reste</t>
  </si>
  <si>
    <t>13/03/2019</t>
  </si>
  <si>
    <t>01/03/2019</t>
  </si>
  <si>
    <t>jessy-m-124207</t>
  </si>
  <si>
    <t>Compagnie d'assurance à fuir absolument,
Si vous voulez des Malus sans aucune raison valable et sans aucune expertise, foncez là-bas.. 
Aucune écoute de leurs clients.
Dommages, 5 souscriptions d'assurance chez eux. 
Mais la qualité de service et le professionnalisme ne sont pas des valeurs qu'ils connaissent visiblement.
Après plusieurs entretiens téléphoniques avec d'autres compagnies d'assurance, je me demande pourquoi je ne suis pas parti plutôt de la Maaf..
À bon entendeur,
Jessy</t>
  </si>
  <si>
    <t>carolinee92-78703</t>
  </si>
  <si>
    <t>Cet assureur laisse vraiment à désirer. vous pensez être assuré jusqu'à ce que vous ayez réellement besoin d'eux et là c'est une autre histoire. pour la petite histoire j'ai déclaré un sinistre (460950656), j'ai découvert en stationnement ma voiture avec la porte amochée et sans savoir ce qui s'était passé je pense à quelqu'un qui m'est rentré dedans en stationnement... l'expert passe et dit que j'ai raclé peut-être sans m'en rendre compte
Résultat: plutôt que de me mettre un malus, l'assurance n'a pas voulu prendre en charge ce sinistre et je dois prendre totalement à ma charge un sinistre alors que je suis assuré tout risque et que je les ai moi-même appelé pour leur dire de respecter ce que l'expert a dit et me mettre le malus. Je trouve cette situation inacceptable et j'espère que ce commentaire dissuadera les futurs clients d'aller chez cet assureur. Parfois il vaut mieux payer légèrement plus cher et être VRAIMENT assuré</t>
  </si>
  <si>
    <t>26/08/2019</t>
  </si>
  <si>
    <t>01/08/2019</t>
  </si>
  <si>
    <t>pinto-m-107361</t>
  </si>
  <si>
    <t>Pour le moment satisfait, je ne peux en dire plus car c est la première inscription à votre assurance
Encore merci. En espérant ne pas avoir à vous solliciter</t>
  </si>
  <si>
    <t>nicolas-j-136606</t>
  </si>
  <si>
    <t>je suis assez satisfait du tarif; j'aurais apprécié un effort tarif à la signature du contrat (1 mois gratuit)surtout que j'ai déjà 3 motos dans le contrat.</t>
  </si>
  <si>
    <t>08/10/2021</t>
  </si>
  <si>
    <t>georges-m-129372</t>
  </si>
  <si>
    <t>simple  et rapide .prix.le fait de payer mensuellement. l'offre casse mécanique.j'aimerai savoir si vous avez un bureau en savoie ou haute savoie.Cordialement.</t>
  </si>
  <si>
    <t>25/08/2021</t>
  </si>
  <si>
    <t>cbucciol-106990</t>
  </si>
  <si>
    <t>Mutuelle employeur obligatoire : 
Toujours en attente de remboursement depuis le mois d octobre!! Inadmissible !! Une honte!! Je suis toujours en train de quémander mon dû, par contre ils n oublient pas de prélever les échéances tout les mois. Un conseil fuyez, passez votre chemin. ??</t>
  </si>
  <si>
    <t>18/03/2021</t>
  </si>
  <si>
    <t>littleb63-105369</t>
  </si>
  <si>
    <t xml:space="preserve">Mon opinion sur cette mutuelle est, à l'instar de la la majorité de celles exprimées sur le site : déplorable ! ! !
Le niveau de cotisation était déjà très élevé (augmentation systématique tous les ans !) mais cette année, dans le contexte actuel, l'augmentation à l'échéance 2021/04 est tout bonnement indécente !
Cet avis est rédigé par un motard "averti" qui roule, bon an mal an 15000 km/an (un peu moins les années de confinement - LOL) et cela sans interruption depuis 1970.
PS : cher "camarade" mutualiste, il est inutile de me contacter pour essayer de justifier ces augmentations tarifaires "indexées sur le coût de la vie" ; ma pension de retraite, elle, n'ayant pas bougée depuis 10 ans ! </t>
  </si>
  <si>
    <t>03/03/2021</t>
  </si>
  <si>
    <t>opinion-79063</t>
  </si>
  <si>
    <t>Très cher . 
service client peu fiable
plus de 4 mois pour prendre en compte la naissance de mon enfant (après 4 courriers et 3 appels). difficile de faire pire une une simple démarche.</t>
  </si>
  <si>
    <t>Mgen</t>
  </si>
  <si>
    <t>09/09/2019</t>
  </si>
  <si>
    <t>01/09/2019</t>
  </si>
  <si>
    <t>adam-c-116470</t>
  </si>
  <si>
    <t xml:space="preserve">Je suis satisfait du services, les prix sont honorables merci bcp April moto. Je vais conseiller cette assurance à mon entourage, je vais ensuite la conseiller également à mon amie qui a le même 2 roues que moi . </t>
  </si>
  <si>
    <t>09/06/2021</t>
  </si>
  <si>
    <t>paulvar-63475</t>
  </si>
  <si>
    <t>J avais un peu  d'appréhension de souscrire en ligne pour l'assurance de ma 407, la différence m a convaincu. On ne connait la valeur quand on a sinistre, et l'olivier m'a agréablement lorsque j'ai eu un léger accrochage. La conseillère a été de très bon conseil et le remboursement s'est fait en une semaine</t>
  </si>
  <si>
    <t>22/04/2018</t>
  </si>
  <si>
    <t>01/04/2018</t>
  </si>
  <si>
    <t>coillard-b-139621</t>
  </si>
  <si>
    <t>Tarifs parmi les meilleurs du marché, simplicité de la procédure par internet, plus qu'à voir pour la prise en charge en cas de sinistre. pour l'instant que du +</t>
  </si>
  <si>
    <t>15/11/2021</t>
  </si>
  <si>
    <t>divies-t-138040</t>
  </si>
  <si>
    <t>Le service est satisfaisant, les conseillées sont à l'écoute et on pu répondre à mes problématiques sans problèmes et ceci dans les plus bref délais. Merci.</t>
  </si>
  <si>
    <t>22/10/2021</t>
  </si>
  <si>
    <t>valounette02-76041</t>
  </si>
  <si>
    <t>A FUIR Résilié en 30 secondes pour une simple question, rien ne vaut le petit assureur du quartier, avoir un vrai humain en face de soi de nos jours ça n'a pas de prix</t>
  </si>
  <si>
    <t>18/05/2019</t>
  </si>
  <si>
    <t>01/05/2019</t>
  </si>
  <si>
    <t>el-jabri-raviele-l-121241</t>
  </si>
  <si>
    <t>je suis satisfe du service et du prix tout au moment est bien passe on attemde de avoir l assurance en facon definitive.encore merci pour la qualite du service</t>
  </si>
  <si>
    <t>25/06/2021</t>
  </si>
  <si>
    <t>e2634-56831</t>
  </si>
  <si>
    <t>Bonjour,
Ma voiture a été défoncée pendant la nuit du 28 Juillet 2017 lors de mes vacances en Corse.
la personne a prit la fuite Cela fait maintenant 26 jours et je n'ai toujours pas récupéré ma voiture qui est toujours en Corse. Direct assurance refuse pour l'instant de la rapatrier malgré  l'article 5.3.7 des conditions générales et l'article 41.2 de mon pack option sérénité.
Je suis désepéré, j'ai besoin de ma voiture pour aller travaille et l'on me réponds que mon dossier prends du temps ..... un temps que je n'ai plus.
C'est lamentable je trouve</t>
  </si>
  <si>
    <t>23/08/2017</t>
  </si>
  <si>
    <t>renata-c-123990</t>
  </si>
  <si>
    <t>Je suis satisfaite du prix proposer.
Le conseiller est a mon ecoute.
Maintenant reste plus qu  a croiser les doigts pour que tout se passe bien en cas d imprevu qui je l espere n arrivera jamais. :)</t>
  </si>
  <si>
    <t>Zen'Up</t>
  </si>
  <si>
    <t>20/07/2021</t>
  </si>
  <si>
    <t>maxoue-102886</t>
  </si>
  <si>
    <t xml:space="preserve">Viré au bout de 32 années à la GMF, pour le motif suivant : altération de la relation commerciale, oui vous avez bien lu…Mon fils, ma fille, mon gendre étant sociétaires auprès s de la GMF. Je suis un ancien de l’association nationale des sociétaires (bénévole), aucune communication, aucun appel téléphonique, aucune explication. La direction régionale située sur Aix n’a déniée nous contacter, le mutualisme à bel et bien disparu… Assurément humains, ils devraient avoir honte de résilier des sociétaires et non clients comme ils le font en période d’épidémie en 2021, le service relation client à fini par recevoir notre contestation, et à fini par enfin nous écouter, heureusement la loi Hamon est là pour mieux protéger des clients ou sociétaires de ces grands groupes d’assurances, qui ne font que s’enrichir surtout en période d’épidémie…leurs silence d’ailleurs en dit long.
</t>
  </si>
  <si>
    <t>19/01/2021</t>
  </si>
  <si>
    <t>chouchou-60818</t>
  </si>
  <si>
    <t>Etant à mon compte, je contracte un contra axa avizen pro. Je tombe en arrêt maladie pour une période d'un mois. 15 jours de carences, ça je suis au courant. A l'heure actuelle mon arrêt de travail est terminé et bien je n'ai toujours pas été indemnisée.  Ma conseillère de l'époque m'as indiqué que mon contrat couvrait également les frais professionnel et question posée au centre axa "nous ne pouvons intervenir, vous n'avez pas souscrit cette garantie". J'ai contracté cette prévoyance pour me prémunir en cas de soucis de santé et bien là je suis gâtée. J'envoie ma lettre de résiliation dès aujourd'hui !</t>
  </si>
  <si>
    <t>25/01/2018</t>
  </si>
  <si>
    <t>tala-104749</t>
  </si>
  <si>
    <t xml:space="preserve">Prix défiants toute concurrence,  interlocuteurs très agréables et super réactifs. Ça fait plaisir de voir une entreprise qui sait travailler avec autant d'efficacité. </t>
  </si>
  <si>
    <t>24/02/2021</t>
  </si>
  <si>
    <t>thibaut69100-81654</t>
  </si>
  <si>
    <t>Service client 0. Aucun suivi, des personnes incompétentes ou des process clients défaillants.
Quelle manque de professionnalisme je n'ai jamais vu cela. Et le problème est non toujours non réglé.
Erreur dans mon nom de la part de l'assureur dès l'ouverture de mon compte: 3 mails au service client, sans retour de leur part. 1 autre mail pour signaler mon agacement après réception de la carte verte caduque. 3 semaine plus tard aucun changement. 2 appels pour mettre à jours tout cela, toujours le même résultat. Le service client est incompétent. Je regrette d'avoir rejoints cet assureur bien que ses prix soient attractifs.</t>
  </si>
  <si>
    <t>05/12/2019</t>
  </si>
  <si>
    <t>01/12/2019</t>
  </si>
  <si>
    <t>helene-u-106024</t>
  </si>
  <si>
    <t>nous sommes plutôt satisfait du service qui est plutôt rapide. merci beaucoup . très accessible visuellement en plus de cela. étant dans l'accessibilité numérique ca me fait plaisir.</t>
  </si>
  <si>
    <t>09/03/2021</t>
  </si>
  <si>
    <t>bernard-75171</t>
  </si>
  <si>
    <t>FACILE D ACCES POUR S ASSURER, PUIS CASSE TETE CHINOIS UNE FOIS SIGNE. TOUJOURS DES PROBLEMES DE BONUS ACCIDEN T RESPONSABLE OU NON. POUR FINIR ILS VOUS METTENT UNE AUGMENTATION D UNE CENTAINE D EUROS.</t>
  </si>
  <si>
    <t>17/04/2019</t>
  </si>
  <si>
    <t>java-72445</t>
  </si>
  <si>
    <t>Sociétaire depuis plus de 20 ans, je n'ai jamais, jamais, obtenu aucun dédommagement de la MACIF pour les sinistres déclarés. Chaque fois, je suis comme par hasard en "dehors du cadre" des prises en charge ou ne suis pas assurée pour les situations déclarées. Tout cela sans qu'aucun conseil ne m'ait été apporté sur la pertinence de ma couverture par rapport à mes besoins. J'ai demandé à avoir ces conseils mais sans résultats. Ras-le-bol ! Il est temps de changer de crèmerie !</t>
  </si>
  <si>
    <t>25/03/2019</t>
  </si>
  <si>
    <t>aurelbro-55479</t>
  </si>
  <si>
    <t>Dépitée !!!cliente depuis 2014 aucun pb je change de véhicules au moi de novembre donc comme d'habitude hop hop hop on me prend des frais pour le changement puis augmentation de la cotisation normal c'est pas le même véhicule donc au final je passe de 64€ à 69€ par mois jusque là pas de soucis je prend le prélèvement qui n'est pas gratuit et génère des frais pour être tranquille et la j'arrive au mois de mai je demande une carte d'assurance avec vignette à jour et on me dit votre dossier à été bloqué depuis janvier on a pas reçu votre carte grise ! 
J'ai envoyer cette carte grise mais quand bien même on est en juin et j'ai aucun mail aucun message aucun courrier qui me stipule que mon dossier et bloquer ! 
Résultat je dois payer en une ou deux fois les sommes de février mars avril mai juin et juillet je leurs dit que c'est pas possible qu'il faut trouver un arrangement car ce n'est pas de ma faute si ils ne préviennent pas et qu'il bloque mon dossier comme ça 
Je leurs demande de payer février mars avril donc 69€multiplier par 3 je trouve 207€ on me dit non 219€ Il y'a des frais de changement frais déjà payer en décembre du coup je m'agace la dame me dit qu'elle a changer mon dossier et que c'est plus 69€/mois mais 95€/mois maintenant ! 
ABUSÉ !!!!
Du coup mon dossier et encore bloqué je n'ai plus accès à rien en attendant qu'ils daignent me reconctater pour gérer le conflit ! Je sais même pas si je suis assurer ou non ! SERVICE mail je leur fait part du problème et ils me renvoient un mail me disant qu'ils ont essayer de me joindre mais que j'ai pas décroché j'ai jamais eu aucun appel de leurs part et il me demande de rappeler le SERVICE client qui ne sert à rien bref on tourne en rond limite quand on les appel on les fait ch.....
DEgouté</t>
  </si>
  <si>
    <t>19/06/2017</t>
  </si>
  <si>
    <t>coco-104606</t>
  </si>
  <si>
    <t xml:space="preserve">Très déçue 30 ans de cotisations
Le sinistre an 2 mots 
Antenne tv qui tombe suite à un coup de Vent le samedi 20 février 
Il y a eu un séisme le mercredi sur vannes 
Malgré ces 2 éléments ils ne prennent pas en charge le sinistre 
Ce n était pas un vent de 100 km heure nous a t on dit 
Je pense changer toutes les assurances actives chez pacifica 
</t>
  </si>
  <si>
    <t>22/02/2021</t>
  </si>
  <si>
    <t>ploufi-76048</t>
  </si>
  <si>
    <t>Assurance qui m'a toujours donné entière satisfaction depuis près de 40 ans. Les prix sont parfaitement justifié au regard de la qualité de la garantie.</t>
  </si>
  <si>
    <t>vandedard-70126</t>
  </si>
  <si>
    <t>Intervention supprimée à la demande de l'internaute.</t>
  </si>
  <si>
    <t>17/01/2019</t>
  </si>
  <si>
    <t>bb35-133762</t>
  </si>
  <si>
    <t xml:space="preserve">Je suis satisfaite du montant payer pour les 5 personnes de mon foyer. Un contrat adapté à chaque membres de la famille en fonction des besoins et évolutifs si les besoins changes.
Un commerciale pour la mise en place du contrat très à l'écoute et réactif, des téléconseillers au top à chaque appel (à l'écoute, aimables, souriants, répondant au question et réactifs).
</t>
  </si>
  <si>
    <t>MGP</t>
  </si>
  <si>
    <t>tbahriti-m-108450</t>
  </si>
  <si>
    <t xml:space="preserve">Simple et rapide . Je valide. Au top , le prix est un peu chère mais ça va . J’espère une bonne et longue collaboration. 
Il devrait avoir une appli pour être parfait </t>
  </si>
  <si>
    <t>29/03/2021</t>
  </si>
  <si>
    <t>julie-90809</t>
  </si>
  <si>
    <t xml:space="preserve">Les prix sont raisonnables, bon rapport qualité prix pour les proposition faite . Initiative de you drive plutôt satisfaisante et facile pour faire des économies </t>
  </si>
  <si>
    <t>14/06/2020</t>
  </si>
  <si>
    <t>belgacem-f-105552</t>
  </si>
  <si>
    <t xml:space="preserve">Le contact est rapide et facile
par contre les tarifs sont un peu plus cher  que chez les concurrents 
acces aux documents facile  via l application
</t>
  </si>
  <si>
    <t>05/03/2021</t>
  </si>
  <si>
    <t>anne-112416</t>
  </si>
  <si>
    <t>Le jour de mon accident le numéro inscrit sur ma carte verte était "exceptionnellement fermé" donc assurance injoignable ! Par la suite mon dossier a été suspendu donc aucune voiture de prêt, et à ce jour malgré mes relances je ne sais tjs pas pourquoi. Enfin cela fait plus d un mois que ma voiture est déclarée épave, lorsque j appelle avec mon numéro le service est fermé, avec un autre numéro le service est ouvert. Je ne pensais pas que ce genre de pratique était possible, je suis malheureusement impuissante. Des procédés totalement abusifs, vraiment fuyez !</t>
  </si>
  <si>
    <t>02/05/2021</t>
  </si>
  <si>
    <t>nicolas-w-134898</t>
  </si>
  <si>
    <t>AMV est une très bonne assurance qui indemnise rapidement. De plus, le site est clair. je reste donc fidèle à la société.
Et comme toute assurance, c'est toujours trop cher!</t>
  </si>
  <si>
    <t>didier-c-105742</t>
  </si>
  <si>
    <t>je suis satisfait du service mais les prix augmentent trop tous les ans et ne tiennent pas compte de la fidélité des clients 
il est également difficile de communiquer par téléphone avec la plateforme : personnel formaté recitant sa leçon et coupure fréquentes sans rappel.
cordialement</t>
  </si>
  <si>
    <t>07/03/2021</t>
  </si>
  <si>
    <t>boulaire-j-114622</t>
  </si>
  <si>
    <t>Plutôt simple et pratique 
Bonne assurance pour un jeune conducteur, je suis satisfait mais peut être que les 150 caractères sont un peu trop élevés .</t>
  </si>
  <si>
    <t>23/05/2021</t>
  </si>
  <si>
    <t>lolia-91007</t>
  </si>
  <si>
    <t xml:space="preserve">Mon père est décédé il y a 4 mois.
Depuis ma mère est prélevée pour 2 personnes malgré mes nombreux appels et mails.
Ma mère n a pas reçu sa carte et les professionnels ne sont plus remboursés.
Sa situation financière devient très délicate.
</t>
  </si>
  <si>
    <t>16/06/2020</t>
  </si>
  <si>
    <t>mnl-61624</t>
  </si>
  <si>
    <t>Je viens de recevoir une mise en demeure de leur part par e-mail car ils n'ont pas reçu mon chèque de paiement pour l'assurance de notre SKODA, envoyé il y a un mois, mais pas à la bonne adresse. L'adresse obligatoire n'est pas indiquée sur l'avis d'èchéance - il y a trois adresses pour Direct Assurance sur ce document, à Lille, Suresnes et Nanterre. On n'explique pas qu'il faut envoyer des chèques à Lille au lieu de Suresnes, par exemple. J'imagine que mon chèque est à Suresnes quand même mais on s'en fout de l'encaisser car ce n'était pas envoyé à la bonne adresse et alors un tas de problèmes suit. Après maintes essais de voir avoir eux comment payer, je suis obligée d'envoyer un deuxième chèque de Singapour où je travaille pour l'instant, dans un délai impossible d'ici. Pas de compréhension, pas de flexibilité, malgré le fait qu'on est client depuis cinq ans, sans sinistre, qui paie toujours ponctuellement. Si le deuxième chèque ne les atteint dans le délai impossible, ils vont retenir le paiement et annuler le contrat, apparamment. Mais je suis obligée de le risquer quand même. On a refusé ma suggestion de faire un virement directement à leur compte bancaire et je n'ai pas de carte bancaire française, donc je ne peux règler que par chèque et puisque je me trouve à Singapour, le délai est trop court même si j'envoie le chèque de suite. J'ai parlé à quatre personnes aujourd'hui, pour trouver une solution, mais je suis toujours coincée.</t>
  </si>
  <si>
    <t>21/02/2018</t>
  </si>
  <si>
    <t>01/02/2018</t>
  </si>
  <si>
    <t>spicher-c-126383</t>
  </si>
  <si>
    <t>Très bon accueil téléphonique a chaque fois .Très bien renseigné,toujours très bien dirigé dans nos démarches avec de bonnes et claires explications .</t>
  </si>
  <si>
    <t>rdd-99852</t>
  </si>
  <si>
    <t>J'apprecie le réseau de ses agences , l'accueil et le professionnalisme des interlocuteurs concernant les différents contrats et leur expertise et efficacité concernant les sinistres.</t>
  </si>
  <si>
    <t>08/11/2020</t>
  </si>
  <si>
    <t>jeunehommecolere-65343</t>
  </si>
  <si>
    <t xml:space="preserve">Bonjour,
A tous et a toutes. Voila je suis fonctionnaire territorial en congé longue maladie pendant 2 ans et demie bientôt. j'ai prit une assurance complément de salaire a Intérial pour pouvoir continuer a payer mes factures. Quand j'ai prit le contrat, ça disais que il fallait une carence de 6 mois pour pouvoir bénéficier du complément de salaire. J'ai souscrit a l'assurance le 28 août 2015 et je me suis mit en congé maladie le 26 Octobre 2015. Hors, Interial a commencer a me payer au bout de 3 mois de carences. Aussi ça dit sur ma feuille de calcul de prestation que la date de déclaration est le 1 Novembre 2016. Maintenant il me demande que je l'ai repaye les 10 00 euros qu'ils m'ont verser et refuse de me payer mon complément de salaire. Moi j'ai penser que si j'ai commencer a être payer, ça voulais dire que j'avais respecter le contrat ou que le délais de carence avais changé. Hors ils ont attendu 3 ans et demie pour se rendre compte que le délais de carence n'avais pas étais respecter. Qu'elle recours puis je avoir?.
merci d'avance,
Thomas
</t>
  </si>
  <si>
    <t>Intériale</t>
  </si>
  <si>
    <t>08/07/2018</t>
  </si>
  <si>
    <t>jacwar-61584</t>
  </si>
  <si>
    <t xml:space="preserve">A fuir! Devis en ligne: 560e puis au téléphone : 630e sans explication, je décide de souscrire quand même. Puis après l'étude du dossier : 730e qui est débité directement sur votre compte car vous avez autorisé à faire des prélèvements. L'augmentation est du à un bris de glace que j'avais pourtant mentionné par téléphone...  et aussi dans la simulation. </t>
  </si>
  <si>
    <t>20/02/2018</t>
  </si>
  <si>
    <t>joss-90046</t>
  </si>
  <si>
    <t>Gros litige avec AXA après avoir résilier mon contrat Multi professionnels sur une remorque food truck avec documents à l'appui de la chambre des commerces comme quoi mon entreprise était bien arrêtée. Ils ont laissé le contrat professionnel sur mon véhicule tracteur de cette remorque avec un surcoût de 30 € par mois pendant 24 mois. Quand je me suis rendu compte du litige J'ai appelé tout de suite l'assurance qui m'a répondu que je devais surveiller mes comptes et ne pas changer Trop souvent de travail . Donc bien évidemment ils n'ont pas voulu me rend Boursé le trop-perçu. J'ai donc envoyé une réclamation à AXA Paris qui a fait suivre cette réclamation à mon assureur qui m'a rappelé aussitôt pour en premier temps modifier les 30 € en 20 € et me proposer la petite somme de 150 € pour fermer ma bouche. Faites le calcul 24 × 30 on n'y est pas du tout. Je demande le remboursement intégral. Si Monsieur Dominique sur ce forum veux bien communiquer avec moi Ce sera avec grand plaisir</t>
  </si>
  <si>
    <t>29/05/2020</t>
  </si>
  <si>
    <t>momo-85445</t>
  </si>
  <si>
    <t>Bonjour,
Après des années passée a la maif sans aucun sinistre a 50% de bonus depuis 3 années consécutive, surprise pour 2020 encore une augmentation de 20eur pour année 2020.
Pour une clio tiers simple je suis a actuellement a 335eur. Trop chère vue mon bonus de 50% a 40ans.
Concurrence assur carrefour sont a 180eur, au révoir la maif.</t>
  </si>
  <si>
    <t>03/01/2020</t>
  </si>
  <si>
    <t>01/01/2020</t>
  </si>
  <si>
    <t>laguna-34635</t>
  </si>
  <si>
    <t>Chapeau bas à Mélanie et Hélène de l'agence Matmut proche Gare de Bayonne. Accueil impeccable,compréhension des attentes et adéquation des offres , professionnalisme remarquable, sourire (non forcé) et zeste d'humour appréciable ,patience....ça réconcilie avec le milieu de l'assurance</t>
  </si>
  <si>
    <t>26/09/2019</t>
  </si>
  <si>
    <t>millet-c-131035</t>
  </si>
  <si>
    <t>Très satisfaite du service commerciale, Mme NASSIMA a été très agréable , à su me conseiller à la perfection et répondre à chacune de mes questions, merci pour ses conseils.</t>
  </si>
  <si>
    <t>03/09/2021</t>
  </si>
  <si>
    <t>emilie84200-104688</t>
  </si>
  <si>
    <t xml:space="preserve">Une assurance toujours à l’écoute 
Les démarches sont rapide 
Nous ne sommes pas un numéro de client mais une personne propre 
Je recommande cette assureur 
Merci pour votre professionnalisme </t>
  </si>
  <si>
    <t>cgorgi-46264</t>
  </si>
  <si>
    <t xml:space="preserve">Je n'ai qu'un reproche à faire à Axa , c'est celui de ses tarifs car même en étant au tiers , c'est cher pour les garanties contractées. Sinon pas de problèmes pour la prise en charge des sinistres </t>
  </si>
  <si>
    <t>olici54-108074</t>
  </si>
  <si>
    <t>Victime d un accident de voiture. Les réparations sur ma voiture ont été minorés après le passage d un deuxième expert. Il y a eut une panne électrique avec cour circuit en 2020 pendant le confinement dans mon grenier.  Aucune aide de la macif, ils n ont trouvé aucun artisans. La personne que j ai eu au téléphone m a dit de mettre en sécurité la maison en débranchant le circuit. J ai quitté la macif cette année pour la maaf, il y avait une promo de 200 euros pour l'ouverture assurance auto et maison.</t>
  </si>
  <si>
    <t>alex-v-101989</t>
  </si>
  <si>
    <t xml:space="preserve">Je suis satisfait du service de Zen'Up, où les agents sont disponibles. Les prix annoncés sont corrects. Je pourrai recommander volontiers à mon entourage. </t>
  </si>
  <si>
    <t>29/12/2020</t>
  </si>
  <si>
    <t>morgane-b-134829</t>
  </si>
  <si>
    <t>Je suis satisfait !! Les prix sont très intéressants !!
Rapide et efficace. Très contente du service à voir sur du long terme mais je suis satisfait pour l’instant .</t>
  </si>
  <si>
    <t>mc86-63217</t>
  </si>
  <si>
    <t>Politique de l’assurance AXA : augmenter de plus de 20% la cotisation annuelle de l’assurance habitation ou bien encore de résilier les contrats de ses clients dès qu’il y a un sinistre!</t>
  </si>
  <si>
    <t>12/04/2018</t>
  </si>
  <si>
    <t>zeineddine-b-123042</t>
  </si>
  <si>
    <t>Je suis très satisfait de la proposition qui m'a été faites.
La transaction a été rapidement conclue et je suis très satisfait de l'accueil de la personne qui m'a reservé !</t>
  </si>
  <si>
    <t>gilles-115287</t>
  </si>
  <si>
    <t>J'étais bénéficiaire chez Cocoon depuis janvier 2016 d'un contrat séjour hospitalisation permettant 20€ quotidiens de remboursement, En 2019 et 2020, j'ai subi 93 jours d'hospitalisation. Cocoon a lambiné 3 mois en 2021 pour clore mon dossier.
C'est à ce moment, en mai 2021, que j'ai appris que Génération ignorait l'existence de mon contrat. 5 ans plus tard !
Maintenant, à moi de refaire un gros dossier complet alors qu'il a été envoyé à la demande à Génération, à Quimper.
Voilà de quoi décourager tout assuré, ce qui est sans doute le but. Serai-je remboursé un jour ?
Gilles Petit</t>
  </si>
  <si>
    <t>Génération</t>
  </si>
  <si>
    <t>29/05/2021</t>
  </si>
  <si>
    <t>yassaoues-62200</t>
  </si>
  <si>
    <t xml:space="preserve">Apres 2 sinistres a 7 jours d’intervalle (1er sinistre un vandalisme voiture complètement rayé par une clé , 2eme sinistre marche arrière et leger choc sur la voiture derrière) j’ai vu mon contrat se résilier ... dommage , mon père était chez eux pendant 50 années , mis a part cette grande déception c’est un assureur très compétent je recommande </t>
  </si>
  <si>
    <t>11/03/2018</t>
  </si>
  <si>
    <t>doraeole-110529</t>
  </si>
  <si>
    <t>La MAIF est une assurance qui prône la solidarité. MAIF, assureur militant...
Où est la solidarité quand les assurés les plus pauvres, qui ne peuvent régler leur assurance en une seule fois se voient proposer différentes solutions de paiement en plusieurs fois, mais sans toujours préciser que il s’agit là d’un crédit avec intérêt. Un « effort financier »  corrige le conseiller que j’ai en ligne! Ainsi ce sont donc les plus pauvres qui doivent faire un « effort financier ». Jolie démonstration de solidarité! Assureur militant? Pour quelle cause?!!!</t>
  </si>
  <si>
    <t>15/04/2021</t>
  </si>
  <si>
    <t>caro21-53309</t>
  </si>
  <si>
    <t>sinistre non résolu datant  de juillet 2016</t>
  </si>
  <si>
    <t>16/03/2017</t>
  </si>
  <si>
    <t>01/03/2017</t>
  </si>
  <si>
    <t>alexandre-h-105796</t>
  </si>
  <si>
    <t>je suis satisfait de votre service . merci.les tarifs proposés d’assurances me semblent attractif. Me Hazera alexandre 1940 Avenue de toulouse 33140 cadaujac</t>
  </si>
  <si>
    <t>08/03/2021</t>
  </si>
  <si>
    <t>emmanuel-f-123055</t>
  </si>
  <si>
    <t>je suis satisfait du service et des prix tres competitifs. A voir dans le temps en foction d'eventuels incidents pour voir la prise en charge. Pas d'agence tout par telephone point negatif.</t>
  </si>
  <si>
    <t>sadoun-d-131191</t>
  </si>
  <si>
    <t>simple et pratique je suis satisfait j'aimerai juste une petite ristourne de temps en temps . 
en tout cas votre réactivité est exemplaire bravo je vous recommande.</t>
  </si>
  <si>
    <t>04/09/2021</t>
  </si>
  <si>
    <t>isabelle95-53010</t>
  </si>
  <si>
    <t xml:space="preserve">Bonjour 
Je me permets de poster un commentaire pour faire part de mon mécontentement concernant cardif
Suite à un cancer du sein en 2011 j ai été mise en invalidité 2 catégorie reconnu inapte par la médecine du travail donc j ai perdu mon emploi et reconnu par la MDPH
À la suite de ça en 2013 je suis de nouveau tombé malade sarcome utérin suivie de chimiothérapie radiothérapie curiethérapie (actuellement toujours en traitement et Kine 2 fois par semaine) qui me laisse aujourd'hui de très grosses séquelles 
j ai une prothèse de hanche gauche depuis 2012 et dans l attente de l opération de la hanche droite quand mon état de santé me le permettra je suis très handicapé pour les tâches du quotidien 
En janvier 2017 après 5 ans d indemnisation concernant le remboursement de mon prêt immobilier ils ont décidé de ne plus me prendre en charge je suis dans l incompréhension totale 
1 cancer en 2011 
1 cancer en 2013
Une prothèse de hanche gauche 
Dépression 
Toujours en soins liés aux séquelles des cancers perte de mon emploi pour inaptitude professionnel 
Reconnaissance MDPH
Je suis épuisée par toute ces démarches et suis très en colère je ne baisserais pas les bras 
Un courrier vient de partir par AR et je vais me battre </t>
  </si>
  <si>
    <t>Cardif</t>
  </si>
  <si>
    <t>05/03/2017</t>
  </si>
  <si>
    <t>fadu27-102981</t>
  </si>
  <si>
    <t>Bon tarif facile à faire évoluer pour une moto. Tout ce fait via le site internet qui est plutôt ergonomique et facile d’utilisation.
Manque plus que la fidélité et la bonne conduite récompensée pour être complètement satisfait.</t>
  </si>
  <si>
    <t>20/01/2021</t>
  </si>
  <si>
    <t>valentin-jourdan-94005</t>
  </si>
  <si>
    <t>Devis pratique, facile et rapide. Toutefois les aides disponibles à chaque champs à remplir ne sont d’aucunes aides (pas de description précise) et redondantes.
Cdt,</t>
  </si>
  <si>
    <t>13/07/2020</t>
  </si>
  <si>
    <t>bono-86419</t>
  </si>
  <si>
    <t xml:space="preserve">Je me suis assuré MACIF. Sans faire attention la 3ème année ils m'ont ajouté une prévoyance sans que je le demande... Je paye ma cotisation en pensant payer que l'habitation... Et le tour est joué... </t>
  </si>
  <si>
    <t>04/02/2020</t>
  </si>
  <si>
    <t>01/02/2020</t>
  </si>
  <si>
    <t>marlene-d-107438</t>
  </si>
  <si>
    <t>Je suis satisfaite du service et des tarifs proposés. Les échanges sont clairs et les démarches sont simplifiées. Je ne peux encore juger de la qualité de l'assurance en revanche.</t>
  </si>
  <si>
    <t>22/03/2021</t>
  </si>
  <si>
    <t>ben-80675</t>
  </si>
  <si>
    <t>A fuir je vous déconseille car le jour que vous aurez qu'un seul sinistre le contrat sera résilié lis nous prennent pour des vaches à lait,.......................................................</t>
  </si>
  <si>
    <t>04/11/2019</t>
  </si>
  <si>
    <t>step-71774</t>
  </si>
  <si>
    <t xml:space="preserve">Un assureur pas sérieux, je envoie tout le documents par mail et jusqu'à aujourd'hui pas de carte verte, je paye pour un service très mauves, service client sont pas au net au téléphone. Je conseille tout le monde ne pas signe contrat chez ce assureur, problème sont programme, un fois quand vous avez paye l'argent est partir, contra résilie et pas de remboursement. ATTENTION !! </t>
  </si>
  <si>
    <t>jeremy-f-112981</t>
  </si>
  <si>
    <t xml:space="preserve">tres pratique, facile rapide, a voir à l'utilisation si le service est au rendez-vous, si c'est le cas je parrainerai d'autre clients  et d'autre vehicules </t>
  </si>
  <si>
    <t>07/05/2021</t>
  </si>
  <si>
    <t>perrin-m-131939</t>
  </si>
  <si>
    <t>Très bien ! La conseillère était rapide et efficace, très claire et le contrat proposé adapté à nos attentes. Nous avons une autre voiture a assuré prochainement nous ferons appel à l’olivier .</t>
  </si>
  <si>
    <t>08/09/2021</t>
  </si>
  <si>
    <t>brigitte-92801</t>
  </si>
  <si>
    <t>Scandaleux ! je souscris une assurance habitation chez direct assurance le 03/06/2020 pour un appartement situé dans un immeuble neuf en cours de livraison, à une adresse temporairement attribuée.
Le cadastre ayant déterminé le numéro définitif, je demande le 30/06/2020 à Direct Assurance la seule modification sur mon contrat du n° de l'immeuble , et qu'elle n'est pas ma surprise de voir le montant de mon assurance augmentée de 25 euros rétroactifs car considéré comme un nouveau contrat ! J'ai pris contact avec le service client par mail et par téléphone pour revenir aux termes du contrat initialement accepté. .. rien n'y a fait, on m'a sorti des arguments irrecevables, comme si on voulait me faire gober que modifier le nom d'une rue faisait changer le risque de sinistre; Aucun geste commercial alors que nous avons plusieurs contrats chez eux ... ça n'est pas pour la somme mais pour le principe ! c'est  un abus totalement scandaleux ... Je ne suis pas d'accord pour qu'on nous prenne pour des pigeons et je vous demande de partager cet avis.</t>
  </si>
  <si>
    <t>30/06/2020</t>
  </si>
  <si>
    <t>karam-n-122641</t>
  </si>
  <si>
    <t>Le reste à améliorer. Le conseiller ne respecte pas ses engagements (il est convenu qu'il appelle avant 18h00 piur valider mon contrat le 06/07/2021, il n'a pas fait. J'ai raté mon achat à cause de lui....)</t>
  </si>
  <si>
    <t>07/07/2021</t>
  </si>
  <si>
    <t>mohammed-nadhir-i-111623</t>
  </si>
  <si>
    <t xml:space="preserve">Je suis satisfait merci beaucoup c'était vraiment rapide 
J'ai d'autres véhicules je vais sûrement assurer chez vous c'est absolument parfait  
Merci beaucoup </t>
  </si>
  <si>
    <t>26/04/2021</t>
  </si>
  <si>
    <t>natty-50540</t>
  </si>
  <si>
    <t>ne veut pas transférer l'assurance sur le véhicule de courtoisie du garage - donc pas de prêt de véhicule possible - assurance est passée de 30€/mois à 46€/mois en 2 ans</t>
  </si>
  <si>
    <t>21/12/2016</t>
  </si>
  <si>
    <t>01/12/2016</t>
  </si>
  <si>
    <t>nad-123954</t>
  </si>
  <si>
    <t>Je remercie Widad pour son amabilité à répondre à mes différentes demandes de façon claire et précise. Très professionnelle et de plus avec un ton souriant/agreablecest toujouts un plus??.</t>
  </si>
  <si>
    <t>Santiane</t>
  </si>
  <si>
    <t>madly-125284</t>
  </si>
  <si>
    <t xml:space="preserve">Très mauvaise mutuelle ! à fuir absolument !
Toujours un problème pour se faire rembourser.
Je viens de me voir refuser le remboursement du tiers payant pour des visites de rhumatologues et de Kiné. C'est inadmissible. Hâte de voir la fin du contrat pour me diriger vers une mutuelle digne de ce nom.
</t>
  </si>
  <si>
    <t>28/07/2021</t>
  </si>
  <si>
    <t>laeti-96110</t>
  </si>
  <si>
    <t xml:space="preserve">Assurée pour auto et habitation + prêt immo. Bon assureur mais jamais d'offre de baisse de prix malgré une demande il y a 1 an suite à ma fidélité.  Ce qui est regrettable et me pousse à voir ailleurs étant une bonne assurée. Il y a la concurrence qui est présente.  </t>
  </si>
  <si>
    <t>09/08/2020</t>
  </si>
  <si>
    <t>bruno-h-129631</t>
  </si>
  <si>
    <t>Je suis très satisfait du service client de zen up 
Bon suivi de dossiers du début a la fin de la souscription 
Très bon rapport qualité prix je recommande</t>
  </si>
  <si>
    <t>26/08/2021</t>
  </si>
  <si>
    <t>david--c-126716</t>
  </si>
  <si>
    <t xml:space="preserve">Simple et efficace j'espère ne pas être déçu, surtout quand j'aurais besoin de service suite à une panne ou accident. Ce que je ne souhaite pas du tout </t>
  </si>
  <si>
    <t>05/08/2021</t>
  </si>
  <si>
    <t>maxence-g-108362</t>
  </si>
  <si>
    <t>Je suis très satisfait de la compétence de mon conseiller et de sa rapidité d'agir . C'est tellement bon d'avoir affaire à des personnes qui connaissent leur travail sur le bout des doigts .</t>
  </si>
  <si>
    <t>rasys-71829</t>
  </si>
  <si>
    <t>Bonjour,
J'ai subi un prejudice suite au vol de mon vehicule en debut janvier 2019.
L'expert en charge de mon dossier m'a confirme par ecrit que la valeur de mon vehicule apres sinistre etait de 500 euros TTC. 
Aujourd'hui malgre mes demarches (en agence et téléphone) on me repete en boucle qu'un gestionnaire me contactera. Pff ca fait 2 mois bientot que j'attend.
En cas de sinistre vous n'êtes plus intéressant. Mais pour arroser continue a me prélever mon assurance auto et a m'envoyer mon avis d'échéance. Ils sont trop fort !!! pour vous casser le moral..
Quelqu'un a t il vecu un sinistre et obtenu satisfaction...
A vous lire,</t>
  </si>
  <si>
    <t>04/03/2019</t>
  </si>
  <si>
    <t>titou-67211</t>
  </si>
  <si>
    <t>Mon fils a eu un dégât des eaux importants dans sa maison et je peu vous dire qu' ils ont été formidable  expert le lendemain  et mise en route  pour faire la mise en état merci son pere</t>
  </si>
  <si>
    <t>30/09/2018</t>
  </si>
  <si>
    <t>corinne-l-122275</t>
  </si>
  <si>
    <t>les prix sont raisonnables ainsi les offres très nombreuses le client est bien aiguiller toujours aimables et à l'écoute au téléphone et des remises sont tjrs faite quand on a une bonne conduite</t>
  </si>
  <si>
    <t>03/07/2021</t>
  </si>
  <si>
    <t>roland-87112</t>
  </si>
  <si>
    <t>Je souhaite résilié mon contrat mais je ne peut pas me connecter sur mon compte et au téléphone les conseillers ne veulent rien savoir</t>
  </si>
  <si>
    <t>13/02/2020</t>
  </si>
  <si>
    <t>karine-r-112959</t>
  </si>
  <si>
    <t>Je suis satisfaite du service, de la réactivité et de la disponibilité des agents. 
Les tarifs sont très corrects.  Le service en ligne est clair et efficace.</t>
  </si>
  <si>
    <t>eva-128351</t>
  </si>
  <si>
    <t xml:space="preserve">assurance pas sérieuse, j'ai contracté un contrat qui démarre en janvier 2022, au téléphone il était convenu qu'ils résiliaient mon assurance actuelle et que je n'aurai pas de délais de carence mais sur le contrat 6 mois de délai de carence j'ai essayé de téléphoner mais personne ne m'a contacté, j'ai donc résilié par lettre recommandée avec AR .Aujourd'hui enfin on m'appelle mais pour me dire que ma résiliation n'est pas acceptée j'ai dépassé les 14 jours de rétractation et je vais devoir payer une assurance que je ne veux pas pendant un an </t>
  </si>
  <si>
    <t>Eca Assurances</t>
  </si>
  <si>
    <t>17/08/2021</t>
  </si>
  <si>
    <t>franck--g-125801</t>
  </si>
  <si>
    <t xml:space="preserve">Je suis satisfait des services de cette assurance 
Rapide et efficaces et pas chère j espère ne pas être déçu en cas de sinistre mais je com pas on avoir </t>
  </si>
  <si>
    <t>31/07/2021</t>
  </si>
  <si>
    <t>nathanael--94170</t>
  </si>
  <si>
    <t xml:space="preserve">Relativement satisfait du service et des choix mis à disposition, après contact avec un conseiller il est probable que je recommande cette assurance à mon entourage 
</t>
  </si>
  <si>
    <t>15/07/2020</t>
  </si>
  <si>
    <t>pasmaaf-54702</t>
  </si>
  <si>
    <t xml:space="preserve">Accident Renault Zoé </t>
  </si>
  <si>
    <t>15/05/2017</t>
  </si>
  <si>
    <t>gohan-104309</t>
  </si>
  <si>
    <t>J'avais espoir d'un juste retour d'une mutuelle à ces sociétaires après une année aussi particulière (confinement ect) et à l'usage très faible des véhicules (j'en ai 2 en tous risques toute l'année). Je constate sur l'avis d'échéance que non. 
En plus de n'avoir aucune baisse ou forfait de rétrocession comme d'autres assureurs, certains contrats ont même augmentés comme la moto ou le corporelle, un comble.
Se justifiant en donnant à des associations ou œuvres c'est bien mais le retour direct à vos sociétaires qui vous font vivre, aurait été encore mieux. J'espère au moins que vous ferez bénéficier à vos employés des économies via vos primes annuelles.
Je ne critique cependant pas le service client qui est pour le moment satisfaisant.</t>
  </si>
  <si>
    <t>16/02/2021</t>
  </si>
  <si>
    <t>balapou-62203</t>
  </si>
  <si>
    <t xml:space="preserve">Propriétaire d'un bouvier bernois, j'ai contracté un contrat alors qu'il était âgé de 3 ans. Il est tombé gravement malade, alors que le délai de carence n'était atteint que depuis 24 h; tous les examens et soins  ont été pris en charge selon les clauses du contrat  sans question (scan, coloscopie, IRM)
Fin 2017, il est à nouveau tombé très gravement malade, et bien qu'il ait fait de nombreux examens et traitements, les vétérinaires n'ont pas pu le sauver. A nouveau, les remboursements ont été rapides. J'étais très attristée de cette perte, aussi je n'ai prévenu SantéVet que quelques semaines après son décès; j'ai été remboursée du trop perçu sans même avoir du le demander. </t>
  </si>
  <si>
    <t>christophe-b-106517</t>
  </si>
  <si>
    <t>Bonjour, je viens de recevoir mon nouvel échéancier et de découvrir 11% d'augmentation pour la prochaine année.  Je ne suis pas prêt à accepter cette augmentation qui ne se justifie pas pour une inflation 2020 en France de 0.5%, en tout cas aucune explication n'est fournie par Direct Assurance justifiant de cette augmentation. Bonne journée.</t>
  </si>
  <si>
    <t>14/03/2021</t>
  </si>
  <si>
    <t>jenathanquevous-108055</t>
  </si>
  <si>
    <t xml:space="preserve">Assurance mutuelle injoignable, ne répondent pas au mail, pas téléphone... sauf par lettre (a l'ere du numérique), cherche le petit détail pour ne pas vous rembourser, assurance de mauvaise foi.
Perte de temps, de timbres, d'argent...
</t>
  </si>
  <si>
    <t>25/03/2021</t>
  </si>
  <si>
    <t>cali86-115749</t>
  </si>
  <si>
    <t>A fuir !!!! Mon mari a eu la covid dès le 1er confinement donc pas confirmé par prise de sang mais vu les symptômes aucun doute. Il a mis + de 6 mois à s'en remettre. Caci n'a jamais voulu l'indemniser, il y a toujours quelque chose qui manque. Dernièrement c'est le justificatif d'arrêt de travail de 2007  !!!! De qui se moque-t-on???  Résultat on change d'assurance !</t>
  </si>
  <si>
    <t>02/06/2021</t>
  </si>
  <si>
    <t>gt-113330</t>
  </si>
  <si>
    <t>Globalement, la mutuelle des motards me donnait satisfaction mais force de constater que maintenant c est l inverse mutuelle injoignable  d ou leur nouveau slogan "si vous n avez pas besoin de nous appellez nous"</t>
  </si>
  <si>
    <t>11/05/2021</t>
  </si>
  <si>
    <t>taty-114825</t>
  </si>
  <si>
    <t xml:space="preserve">Je suis à cette mutuelle depuis Janvier 2021, très déçu, pas du tout les critères que j'avais demandé, mauvaise surprise lors des remboursements et quand on les obtient.......,
Je fais des démarches pour une autre mutuelle plus compétente,de plus quand on demande une explication, ils ont l'audace de nous dire que nous sommes de mauvaise foi </t>
  </si>
  <si>
    <t>25/05/2021</t>
  </si>
  <si>
    <t>boutoille-f-117075</t>
  </si>
  <si>
    <t>Bonjour,
Je suis déçu, vous ne voulez pas m'assurer à cause de trois bris de glaces dont je ne suis pas responsable !
Difficile d'éviter un gravillon que l'on ne voit pas arriver, sur des routes nouvellement gravillonnées. 
Cordialement</t>
  </si>
  <si>
    <t>fabien-l-129967</t>
  </si>
  <si>
    <t>Simple facile et pratique.
Prix corrects malgré une légère volonté d'adhésion aux options.
Pas possible de lier un adhérent existant afin de faire bénéficier ce dernier du parrainage.</t>
  </si>
  <si>
    <t>28/08/2021</t>
  </si>
  <si>
    <t>thuillier-c-107118</t>
  </si>
  <si>
    <t>J'ai souscrit chez vous car vous êtes les moins cher du marché.
Je désirai une assurance avec vol &amp; incendie, et vous êtes les seuls à me proposer ce prix pour ces garantis.</t>
  </si>
  <si>
    <t>19/03/2021</t>
  </si>
  <si>
    <t>sabine--102864</t>
  </si>
  <si>
    <t xml:space="preserve">Très difficile à joindre. Ne répondent jamais aux mails. Beaucoup de retard dans le traitement des demandes de prises en charge pour une complémentaire santé solidaire.  Mais les facturent alors qu'on n'est pas pris en charge. 3 semaines pour effectuer le traitement d'un règlement par chèque. Et quand on les appelle, ça ne répond jamais. J'ai vu les appeler 8 fois avant d'avoir un interlocuteur et encore... C'est déplorable !!! </t>
  </si>
  <si>
    <t>loic-a-137227</t>
  </si>
  <si>
    <t>Je suis satisfait de la procédure, maintenant a voir dans le temps si en cas de problème vous serez réagir à la situation. venu grâce à un ami qui m'a recommandé</t>
  </si>
  <si>
    <t>12/10/2021</t>
  </si>
  <si>
    <t>jattend-57740</t>
  </si>
  <si>
    <t>Délai de remboursement de rachat partiel incroyable ! Demande envoyée le 22/11 pour bénéficier de l'abattement. Malgré plusieurs appels qui confirment tous que tout est en ordre, le virement n'est toujours pas là le 3/01. Avantage fiscal perdu pour l'année. Jamais vu ça ! J'étudie les recours...</t>
  </si>
  <si>
    <t>03/01/2018</t>
  </si>
  <si>
    <t>stanrose-56286</t>
  </si>
  <si>
    <t>A fuir au plus vite ! trouve toujours la petite faille pour ne pas rembourser des prestations. Bien lire les petites lignes des conditions générales et le tableau des garanties avec une loupe ! très difficile à résilier...</t>
  </si>
  <si>
    <t>26/07/2017</t>
  </si>
  <si>
    <t>01/07/2017</t>
  </si>
  <si>
    <t>nicolas-b-123278</t>
  </si>
  <si>
    <t>On trouve toujours les prix trtop chers, mais pour le moment ça va. Je ne sais pas trop quoi rajouter, mais le service client par téléphone est très gentil.</t>
  </si>
  <si>
    <t>13/07/2021</t>
  </si>
  <si>
    <t>asma-101007</t>
  </si>
  <si>
    <t>Direct assurance est la pire des assurances non seulement c'est cher mais le service client est déplorable, les conseillers parlent mal français et ne tiennent pas compte de vos demandes en gros a fuir !!</t>
  </si>
  <si>
    <t>05/12/2020</t>
  </si>
  <si>
    <t>mandrea-p-121828</t>
  </si>
  <si>
    <t xml:space="preserve">Parfait je recommande   Le
Conseille a été très
Clair dans ses explications .
Tout est
Parfait
?? 
</t>
  </si>
  <si>
    <t>30/06/2021</t>
  </si>
  <si>
    <t>boulain-a-114349</t>
  </si>
  <si>
    <t>TOP MILLE MERCI appel pro , tarif top, gentillesse et compréhension de Samantha merci pour tout bonne continuation à vous je recommanderais vos services, bien à vous</t>
  </si>
  <si>
    <t>20/05/2021</t>
  </si>
  <si>
    <t>jpsandri-126257</t>
  </si>
  <si>
    <t>Un dégât des eaux suite à une fuite de conduite au ras de la dalle de béton a été pris en charge avec efficacité. Un expert est venu pour sonder aux ultra-sons et détecter que la fuite courait dans le vide sanitaire. Une intervention s'est déroulée dans la foulée à quelques jours d'intervalle et notre installation est maintenant saine sans aucune perte financière. Nos papiers peints ont été changés par des professionnels. Aucune critique à formuler. Seule inconnue, l'augmentation de la prime à la prochaine échéance.</t>
  </si>
  <si>
    <t>03/08/2021</t>
  </si>
  <si>
    <t>sandanom-s-121986</t>
  </si>
  <si>
    <t xml:space="preserve">Je suis satisfaites de la rapidité que ça m’a pris pour faire une assurance... les prix sont bien car je ne paye pas chère ... Simple et pratique ça va très vite </t>
  </si>
  <si>
    <t>antimatmut-81498</t>
  </si>
  <si>
    <t xml:space="preserve">A fuir    
Assurance habitation et voiture  
Même si le prix est correcte il ne correspond pas du tout au remboursement  quand vous avez un pépin ..   
Mon dossier c 'est un roman  je déconseille fortement cette assurance   ils vous  font tourner en bourique  .. en commençant avec l installateur  qui fait le forcing pour mettre n' importe quoi et pas l équivalent  ... </t>
  </si>
  <si>
    <t>25/08/2020</t>
  </si>
  <si>
    <t>mick-102562</t>
  </si>
  <si>
    <t>Tarif intéressant pour une assurance auto au tiers.
Il est très simple de souscrire.
Le site est très agréable et intuitif et les échanges via l'espace perso sont faciles.</t>
  </si>
  <si>
    <t>13/01/2021</t>
  </si>
  <si>
    <t>scottie-79981</t>
  </si>
  <si>
    <t>Énorme mensonge.
Prix d'appel intéressant il ya 1 an (50%Bonus depuis plus de 12 ans.)
Cette année Bris de glace lunette triangulaire arrière. 105 euros de franchise à payer.
Nouvelle prime AUGMENTEE DE PLUS DE 60% sans explication???? Pour cause de sinistralité ?
50% bonus à vie et non responsable??? Ça veut dire quoi au juste ?</t>
  </si>
  <si>
    <t>12/10/2019</t>
  </si>
  <si>
    <t>frappart-m-131117</t>
  </si>
  <si>
    <t xml:space="preserve">Très satisfaite par les prix ainsi que la qualité de l’appel, l’assureur était très aimable et à l’écoute lors de notre appelle et à très bien expliqué les différents points du contrat </t>
  </si>
  <si>
    <t>zazou75-122986</t>
  </si>
  <si>
    <t>En 20 ans seulement deux sinistres : petite fuite toilettes et paire de lunettes enfant. 7000 euros cela fait cher payé pour 2 m2 de lino et une paire de lunettes. J'ai changé d'assureur récemment et ai divisé par 3 ma cotisation pour exactement les mêmes garanties. Tout est dit. La MAIF fuyez !!!!</t>
  </si>
  <si>
    <t>09/07/2021</t>
  </si>
  <si>
    <t>eric-p-109172</t>
  </si>
  <si>
    <t>bonne assurance par telephone facilite d acces simple et pratique disponibilite des agents. bon service en general
bonne lisibilite du contrat avec option de changement</t>
  </si>
  <si>
    <t>aline-k-138768</t>
  </si>
  <si>
    <t xml:space="preserve">Je suis satisfaite prix très abordables, inscription ultra rapide je recommande vraiment cette assurance et surtout ils sont vraiment très réactif quand on a un problème </t>
  </si>
  <si>
    <t>02/11/2021</t>
  </si>
  <si>
    <t>orangepressee-55158</t>
  </si>
  <si>
    <t>Service client impossible à joindre par téléphone. 3 fois que je tente ma chance à différents moment de la journée, à chauqe fois 40 minutes d'attente, mais au final jamais de conseiller au téléphone!</t>
  </si>
  <si>
    <t>06/06/2017</t>
  </si>
  <si>
    <t>agnes-51332</t>
  </si>
  <si>
    <t>peu de négociation possible pour les tarifs des contrats
opacité des informations sur les contrats
réactivité lors des accidents ou panne véhicule
service de prise en charge d'urgence efficace</t>
  </si>
  <si>
    <t>15/01/2017</t>
  </si>
  <si>
    <t>christelle-a-109583</t>
  </si>
  <si>
    <t>Je souscris une assurance auto avec Direct assurance avec "prêt de volant" et ensuite lorsque je prête mon volant et qu'il y a un sinistre on me prend 1500€ de franchise.. Bien évidemment vous vous gardez bien de spécifier qu'il s'agit d'un "prêt de volant avec désignation obligatoire" et ensuite vous venez me dire que c'est écris dans le contrat, noyé par des dizaines de lignes...
Donc bientôt je vous dis bye bye !</t>
  </si>
  <si>
    <t>08/04/2021</t>
  </si>
  <si>
    <t>dupont-m-128483</t>
  </si>
  <si>
    <t>Satisfaite par la relation téléphonique avec le conseiller qui a su m'expliquer en détail l'objet du contrat automobile qu'il me proposait. Le contrat est fiable</t>
  </si>
  <si>
    <t>18/08/2021</t>
  </si>
  <si>
    <t>riri64-86049</t>
  </si>
  <si>
    <t xml:space="preserve">Voilà je suis assuré à l'olivier assurances et j'ai eu un sinistre non-responsable le 10/12/2019 le constat a été rempli signé par les 2 parties et envoyé le lendemain. J'ai fait tou mon possible pour que mon dossier soit pris en charge ( multiples appels, mails...) en vain. Aujourd'hui 17/01/2020 statut -quo aucune réponse de leur part, ma voiture n'a toujours pas été vue par l'expert et je continue à payer mes échéances en revanche.Alors je me suis déplacé à "UFC que choisir" et malgré l'appel de la conseillère de l'asso rien ne bouge et je commence rééllement à perdre mon sang-froid, c'est une honte cette assurance!! Vous cherchez une assurance, si l'on vous propose L'olivier assurances, un conseil: Fuyez!!! </t>
  </si>
  <si>
    <t>17/01/2020</t>
  </si>
  <si>
    <t>fatiha-52841</t>
  </si>
  <si>
    <t>Groupama n'est peut être pas très cher mais dès que vous avez un problème ils vous laissent crevé. hallucinant les échanges que j'ai eu avec leurs services. ils ne parle que des conditions. rien d'humain. à fuir.</t>
  </si>
  <si>
    <t>Groupama</t>
  </si>
  <si>
    <t>28/02/2017</t>
  </si>
  <si>
    <t>barberini-c-115260</t>
  </si>
  <si>
    <t>Bien pour jeune chauffeur pas cher pour etre sans souci avec prime par an de 508 euros supe merci il y a pas de souci d inscription meme tres rapide et sans souci de contrat</t>
  </si>
  <si>
    <t>cedric-b-124189</t>
  </si>
  <si>
    <t xml:space="preserve">je suis satisfait du service, les tarifs sont convenables et l'application est simple d'utilisation, il est parfois difficile de joindre un conseiller </t>
  </si>
  <si>
    <t>virginie-d-136743</t>
  </si>
  <si>
    <t xml:space="preserve">Bien pour l interface pour april et facile pour remplir les cases. Il est ludique simple.  Pas de besoin de se poser trop de question et rien qui le laisse le doute </t>
  </si>
  <si>
    <t>09/10/2021</t>
  </si>
  <si>
    <t>boris-c-113617</t>
  </si>
  <si>
    <t>Rapide, reste à voir à l'usage. Mais les démarches internet sont pratiques et simples. Néanmoins, garanties limitées en rapport avec le tarif, si on cherche un bon rapport QUALITE/PRIX, ne pas hésiter !</t>
  </si>
  <si>
    <t>13/05/2021</t>
  </si>
  <si>
    <t>louis66-95889</t>
  </si>
  <si>
    <t>J'avoue que je ne comprends pas très bien les avis négatifs. J'ai fait appel 3fois à leurs services en 2 ans : pour un devis des dents j ai eu la reponse par mail dans 2jours , le virement de remboursement pour la facture de mes dents a été fait sur mon compte dans les 48h. J'ai également fait appel à eux pour régler des honoraires de mon avocate pour une intervention auprès des Prud'hommes (garantie assistance juridique) et le règlement a été fait très rapidement à mon avocate.et la 3eme fois pour les honoraires de mon chirurgien j ai jamais eu des problemes avec neoliane je recommande vivement</t>
  </si>
  <si>
    <t>04/08/2020</t>
  </si>
  <si>
    <t>girondel-r-138063</t>
  </si>
  <si>
    <t xml:space="preserve">Je suis très satisfaite de mon expérience 
Tous la bien été expliquer clairement 
Personne sympathique , accueillante et à l’écoute 
Bien accompagné au téléphone </t>
  </si>
  <si>
    <t>adam-66848</t>
  </si>
  <si>
    <t>En cas de sinistre meme si on est pas responsable ils utilisent tres bien la loi avec eux et ils dédommagent au bout de 2 ans afin que l on puissent pas retourner contre eux</t>
  </si>
  <si>
    <t>14/09/2018</t>
  </si>
  <si>
    <t>emile-s-112002</t>
  </si>
  <si>
    <t>prix impeccable pour jeune conducteur, merci pour votre confiance et rapidité! la solution parfaite pour démarrer le contrat de confiance. Site très bien fait.</t>
  </si>
  <si>
    <t>28/04/2021</t>
  </si>
  <si>
    <t>erulaye-115577</t>
  </si>
  <si>
    <t>Une prise en charge hospitalière demandée le 10 avril pour une opération urgente du 14  avril n'est aujourd'hui toujours pas prise en charge et il est impossible de les joindre !</t>
  </si>
  <si>
    <t>kamel-a-108692</t>
  </si>
  <si>
    <t xml:space="preserve">les prix sont intéressant et les garantie aussi très inintéressante
pour les véhicule en tout cas pour la maison c'etait pas plus intéressant que ce que j'ai actuellement </t>
  </si>
  <si>
    <t>31/03/2021</t>
  </si>
  <si>
    <t>zeze-93264</t>
  </si>
  <si>
    <t xml:space="preserve">Décembre 2018 dégâts des eaux dans mon local commercial une avance ma été faite il y à 2 mois après des coups de téléphone et visites à l'agence régulièrement. Toujours pas indemnisé sur la totalité 17 mois après très en colère après la macif. A fuir absolument </t>
  </si>
  <si>
    <t>06/07/2020</t>
  </si>
  <si>
    <t>stepheric62-62268</t>
  </si>
  <si>
    <t xml:space="preserve">client 289411. très déçu par le service client, proche de l'inexistant. constituer le dossier a été extrêmement complexe, avant de constante demande de document supplémentaires. envoie de nombreux devis qui augmentaient a chaque fois en s'appuyant sur des infos venant de document fournis dés le début. aucune réponse aux différents mails, le numéro de tel fournit pour le client ne donne aucune info et nous renvois sur le numéro surtaxé pour avoir une éventuelle réponse. après 15MN de communication soit plus de 12€, le dossier est enfin finalisé et surtout ils ont retrouvé les sommes déjà versées.l'on règle le dernier versement demandé.nous devons avoir un mail nous donnant le code pour valider le dossier et recevoir la carte verte....et depuis l'accès au compte client n'est plus possible, et toujours pas de mail....pour ce qui est des infos par téléphone....ils ne savent pas, peut être que demain cela va marcher....top comme réponse...par contre personne n'est capable malgré le règlement de toute les sommes demandées et de l'envoi par mail du devis de me faire parvenir ma carte verte.
Inadmissible ! cela ne donne absolument pas confiance et pour tout dire, l'on se demande si nous avons a faire a une véritable compagnie d'assurance.
comment rouler sans carte verte
</t>
  </si>
  <si>
    <t>14/03/2018</t>
  </si>
  <si>
    <t>pierre-63581</t>
  </si>
  <si>
    <t xml:space="preserve">Lamentable !
Pas d'échange numérisé : une pièce manquante : il vous adresse un courrier papier pour vous la demander !!!!!
(Au fou, en 2018 !!!!!)
 Vous retournez cette pièce IMMÉDIATEMENT en PDF mais le dossier n'avance pas !
 la seule réponse : "il nous faut 3 semaines pour traiter votre demande..."
Vous n’êtes pas tenu au courant de l'avancement du dossier !!!!!
Résultat des courses : 3 mois que suis chez eux et j'attends toujours mon premier remboursement !
</t>
  </si>
  <si>
    <t>03/05/2018</t>
  </si>
  <si>
    <t>animask-37031</t>
  </si>
  <si>
    <t>Bonjour, pourquoi ECA ne rembourse pas les consultations ou honoraires comme stipulé sur le contrat ? Lorsque l'on en fait la demande et relance par mail, on reçoit sciemment une réponse à coté parlant des frais qui ont été pris en charge, comme si la question n'était pas comprise... Tout comme les fameux mois gratuits promis lors de l'adhésion ?????</t>
  </si>
  <si>
    <t>20/03/2019</t>
  </si>
  <si>
    <t>mohamed-55381</t>
  </si>
  <si>
    <t>- Difficilement joignable, une galère ! car manque d'organisation dans les transfert des appels. 
- Leur niveau de prix est supérieur au marché contrairement à ce qu'ils annoncent dans les PUB.</t>
  </si>
  <si>
    <t>15/06/2017</t>
  </si>
  <si>
    <t>ju-85889</t>
  </si>
  <si>
    <t>Tout le monde est injoignable, j'attend le transfert de la succession de ma grand-mère mais il ne se passe rien, le transfert d'argent ne se fait pas, personne ne répond aux mails ou au téléphone. 
Y a t-il quelqu'un à l'Afer qui pourrait m'expliquer ce qui se passe ?</t>
  </si>
  <si>
    <t>14/01/2020</t>
  </si>
  <si>
    <t>bob-53666</t>
  </si>
  <si>
    <t>Délai de traitement des demandes excessivement long: ils mettent 3 à 4 jours pour répondre à un simple mail. Les opérations que vous faites en quelques clics chez les autres chez l'olivier ça peut prendre des mois.</t>
  </si>
  <si>
    <t>28/03/2017</t>
  </si>
  <si>
    <t>honorine-c-128942</t>
  </si>
  <si>
    <t xml:space="preserve">Je suis satisfaite du service les tarifs me conviennent, le service à l’air rapide et sérieux. Je recommande fortement cette assurance. Le niveau des prix est vraiment abordable.
</t>
  </si>
  <si>
    <t>21/08/2021</t>
  </si>
  <si>
    <t>gabin-d-105011</t>
  </si>
  <si>
    <t>Les prix proposés restent un peu élevés même s'ils sont nettement inférieur à ceux que peuvent proposer les concurrents pour les mêmes garanties. Globalement satisfait</t>
  </si>
  <si>
    <t>mimi-70088</t>
  </si>
  <si>
    <t>Afer société a fuir. Aucun suivi de dossier aucune réponse aux questions, délai pas possible pour récupérer son argent. Ce sont des piques sous ni plus ni moins. Adhérente depuis octobre je n'ai eu que des problèmes avec afer. Je ne conseille pas du tout cette société</t>
  </si>
  <si>
    <t>10/01/2019</t>
  </si>
  <si>
    <t>isabelle-51408</t>
  </si>
  <si>
    <t>Sinistre non traité  (porte cassé après effraction)après deux mois et demi Aucun courrier de traitement de la part de la gmf même après ma relance.Proposition apres le passage d'un expert de déposer la porte pendant une journée pour la réparer en atelier (sans la remplacer )avec une température extérieure de -5 et deux enfants à la maison!proprement honteux et en contradiction complète avec la campagne assurément humain....</t>
  </si>
  <si>
    <t>18/01/2017</t>
  </si>
  <si>
    <t>sam89-51896</t>
  </si>
  <si>
    <t>Je trouve le service client très médiocre car depuis 1mois, je n'ai toujours pas réussi à avoir un interlocuteur pouvant répondre à mes interrogations sur le rachat de mon crédit par une autre banque!!!
Depuis plusieurs semaines, j´essaye d´avoir quelqu´un capable de m´apporter des réponses.
Voilà les actions menées depuis fin décembre:
- Envoi de mail pour avoir des informations 26/12/2016
- Réponse à ma demande le 04 janvier 2017
en m'orientant vers le 04 72 36 75 01
- Appel au 04 72 36 75 01 le 11 janvier, le 17 janvier, le 18 janvier, le 20 janvier, le 23 janvier
Impossible d´avoir une personne (Durée d´attente au moins 15mn)! Etant une personne qui travaille, je ne peux pas passer ma vie à écouter votre répondeur...
- Appel du 04 72 36 75 01 le 30 janvier
On me demande de contacter une nouvelle fois le 04 72 36 75 01 et de demander une personne précise (sans savoir pourquoi)
- Je demande donc cette personne, on me demande cette fois d´appeler le 09 74 50 20 20
J'appelle ce numéro et PAF! Personne!! On me demande de s'orienter vers l´espace assuré!!!! Incompréhensible l'organisation.
- Du coup, je contacte le 04 26 29 36 48
On me demande de rappeler car pas de conseiller de disponible!!!
Simplement incroyable! depuis quasiment 1 mois, je n´arrive pas à avoir quelqu´un en mesure de répondre à mes questions???
Si cela continue ainsi, il est très simple pour moi, j´arrête de payer mon contrat d´assurance de prêt et je vais voir ailleurs!
Je commence sérieusement à perdre patience.
C´est inacceptable de fournir un service aussi médiocre (sans compter le temps perdu)!!
Si vous ne souhaitez pas me servir, dans ce cas il suffit de le dire! Il n´est pas compliqué d´aller ailleurs....</t>
  </si>
  <si>
    <t>31/01/2017</t>
  </si>
  <si>
    <t>cousto-91580</t>
  </si>
  <si>
    <t xml:space="preserve">Mutuelle peu compétente, remboursements tardifs, peu d infid sur les remboursements, les interlocuteurs sont peu compétents, connaissent à peine les dossiers, à quoi faire confiance à ce genre du mutuelle. </t>
  </si>
  <si>
    <t>19/06/2020</t>
  </si>
  <si>
    <t>musicos-61210</t>
  </si>
  <si>
    <t>Suite à un changement de vue très important, je demande si il y aura une prise en charge (compte tenu du fait que j'ai changé mes verres depuis moins de 24 mois)
8 semaine après, aucune réponse, sinon un mail et un appel téléphonique pour me dire que l'on a bien reçu ma demande. Attitude classique dans ce type de structures (banque, assurances etc....) 
Un conseil pour les jeunes qui débutent leur carrière professionnelle. Ne pas adhérer à une mutuelle santé, mais placer chaque mois le montant de la cotisation sur un compte spécial. Vous constaterez que cela représente très rapidement une somme importante qui vous permettra de couvrir les frais non remboursés par la sécu.</t>
  </si>
  <si>
    <t>07/02/2018</t>
  </si>
  <si>
    <t>legrand-l-126005</t>
  </si>
  <si>
    <t>Je trouve étrange de demander un avis avant même le démarrage du contrat.
La souscription est impeccable, pour le reste, laissez moi le temps de voir ce qu'il en est.
Merci</t>
  </si>
  <si>
    <t>jack-60711</t>
  </si>
  <si>
    <t>Victime d'un dégât des eaux sur le plafond de l'entrée et du salon en 2014( explosion d'un radiateur à l'étage supérieur) je signale mi 2016 que la réparation faite après long délai de séchage,n'a pas tenu dans l'entrée.Le réparateur agréé revient à l'automne et me dit qu'il verra cela avec la Maif ; je lui fais remarquer que le résultat au salon est aussi fort laid.Sans aucune nouvelle , je contacte la maif (en juin 2017) qui m'apprend que le dossier est clos; ce dont je m'étonne ;  en octobre, après avoir insisté, la maif me confirme que le réparateur m'aurait dit que c'était structurel et qu'il n'y avait plus rien à faire. Mon courrier suivant en octobre rappelle à la maif que je suis assuré militant et ( BIEN)cotisant depuis un demi siècle,sans souci majeur ; et, que le réparateur agréé a été payé pour travail inefficace. En novembre, on m'écrit que mon dossier sera réexaminé. Depuis silence. En résumé: je suis assuré (!?) depuis 50 ans, je suis victime, l'agent agréé a été payé et le crépi de mon plafond est défoncé. Ma situation est donc celle d'un non assuré. Il y a un réel problème...Quant à mon militantisme d'assuré maifien, il n'ira plus bien loin!!!</t>
  </si>
  <si>
    <t>22/01/2018</t>
  </si>
  <si>
    <t>beraly-58253</t>
  </si>
  <si>
    <t xml:space="preserve">manque de clarté dans les exclusions dont mon chie a fait partie maladie congénitale dépense 2000 euros remboursement 0.j aurai mieux fait de placer les mensualités sur un compte cela aurait été largement plus avantageux. je tente une autre assurance qui propose un gps La race des chow chow est fugueuse  </t>
  </si>
  <si>
    <t>Assur O'Poil</t>
  </si>
  <si>
    <t>21/10/2017</t>
  </si>
  <si>
    <t>marc-k-109111</t>
  </si>
  <si>
    <t xml:space="preserve">Tout est parfait. Juste les conditions pour un véhicule de remplacement non adapté au type de panne et d'immobilisation du véhicule.
L'éventail des loueurs agréés est faible en zone rurale. </t>
  </si>
  <si>
    <t>04/04/2021</t>
  </si>
  <si>
    <t>clement-g-121148</t>
  </si>
  <si>
    <t xml:space="preserve">Belles options et prix compétitifs
Modifications des options appréciables pour s'adapter à nos besoins
10%AIPP apprécié également
La garantie de remboursement valeur ARGUS +15% peut être appréciable
</t>
  </si>
  <si>
    <t>marco-89991</t>
  </si>
  <si>
    <t xml:space="preserve">Prévoyance non payé depuis le 8 mars 2020 ils prennent excuse de ne pas avoir les documents relatifs à mon arrêt y compris un papier covid qui n'a pas lieu d'être car je suis en arrêt depuis le 30/12/20. Tous les documents ont été envoyé à la fois par mes soins et mon employeur mais bien sûr leur site ne vous envoi aucun accusé et ne laisse aucune trace ça les arrange bien. Ça va finir au tribunal prochaine étape LRAR. </t>
  </si>
  <si>
    <t>27/05/2020</t>
  </si>
  <si>
    <t>domi-137211</t>
  </si>
  <si>
    <t xml:space="preserve">j ai eu une conseillere qui se prénomme WIDAD personne trés aimable qui m a bien renseigné avec beaucoup de gentillesse et de très bonnes explications nettes et précises le l en remercie </t>
  </si>
  <si>
    <t>brunogeay83-81166</t>
  </si>
  <si>
    <t>Ne tient pas ses engagements ni les délais légaux de remboursement. Je suis en conflit avec eux et j'ai recours à un avocat spécialisé en droit des assurances avec sans doute une procédure à la clef donc des frais importants</t>
  </si>
  <si>
    <t>20/11/2019</t>
  </si>
  <si>
    <t>cortot-j-137565</t>
  </si>
  <si>
    <t>je suis plus ou moins satisfaite mais un peu cher niveau tarif le service client rien a dire parfait on verra au niveau accident si le service est compétent</t>
  </si>
  <si>
    <t>16/10/2021</t>
  </si>
  <si>
    <t>tribudefab-123734</t>
  </si>
  <si>
    <t>J’ai été assuré à la Maaf 11 années sans sinistres , j ai vendu ma moto et de ce fait résilier mon assurance il y a 3 ans et 2 mois .
La semaine dernière je les contacte pour un devis .
Suite à ce devis, jeréserve ma moto et les recontacte pour contracter l’assurance, ceci la veille de récupérer ma moto.
Je tombe sur un interlocuteur qui me laisse entendre que la première personne a fait une erreur et qu’il ne peuvent plus m’assurer .
Que mon bonus est gardé pendant 3 ans et que vu que les 3 ans sont écoulés ils basculent sur mon bonus auto et comme celui ci est à 1,08 , ils ne peuvent me proposer quelque chose .
Je n’ai pas pu acheter ma moto à cause de leur erreur et j’ai perdu mon acompte.
Quel manque de sérieux, très décevant .</t>
  </si>
  <si>
    <t>18/07/2021</t>
  </si>
  <si>
    <t>bibi3008-59076</t>
  </si>
  <si>
    <t>Suite à mon post du 27 novembre a 2 h 11 bibi3008 je vous signale que j ai eu gain de cause confirmé  par mail de Santiane le courtier qui annule contrat et me rembourse des sommes versées soit depuis juin 2017. Merci à opinion assurances qui m a bien aidé dans mon litige</t>
  </si>
  <si>
    <t>28/11/2017</t>
  </si>
  <si>
    <t>01/11/2017</t>
  </si>
  <si>
    <t>rcn-86101</t>
  </si>
  <si>
    <t>avec 7 contrats, 6 sont et furent entachés gravement - remboursement non intégral , intérêts légaux oubliés, contrat ouvert et fermé on ne sait toujours pas pourquoi, taux de rendement avancés non tenus (début 4,25 fin 1,25), capital spolié de 50%</t>
  </si>
  <si>
    <t>20/01/2020</t>
  </si>
  <si>
    <t>laurent--102977</t>
  </si>
  <si>
    <t>Assureur A FUIR ABSOLUMENT , aucune réactivité....
Tout va bien jusqu'au sinistre ???? Sinistre non responsable. Porte de garage accès maison cassé par un tiers responsable. 1 mois après expert toujours pas passé !!!! Et mon accès maison n est pas protégé. Ils sont très bons pour facturer et pas du tout professionnel pour remplir leur mission
LAMENTABLE !!! ??????????
????????      SUITE      ????????
Voilà 3 mois que nous nous battons pour avoir le remboursement total du devis pour le remplacement de notre porte de garage . Après plusieurs relances de notre part nous sommes ignorés , ils font  «  la sourde d oreilles « !!!!!! LAMENTABLE la considération qu la Maaf envers ses sociétéres  victimes !!!! ????    
Vont ils enfin résoudre notre situation... À SUIVRE</t>
  </si>
  <si>
    <t>youly-105230</t>
  </si>
  <si>
    <t xml:space="preserve">Direct assurance très décevante en terme de gestion de sinistres. Assez efficace pour vous faire souscrire un contrat, mais à oublier en cas de sinistre. Cela fait un mois que j'attends une reponse, pas de voiture de prêt alors c'est une clause du contrat, expertise faite par leur expert designé mais impossible de joindre l'expert (malgré une dizaine d'appels) et son avis est soit disant en étude par le service dédié de Direct assurance qui me demande de patienter (après une dizaine d'appels aussi) . Donc cela fait 28 jours que j'attends sans voiture. Les prix paraissent attractifs mais au final très chers pour un service inexistant en cas de besoin. Pour préciser, je suis chez eux depuis 2014, jamais d'accident avant ce sinistre. </t>
  </si>
  <si>
    <t>tatoon-30300-100410</t>
  </si>
  <si>
    <t>J'ai eu un sinistre avec un professionnel, sinistre reconnu et prouvé et MMA me dit d'assigner ce professionnel au tribunal et bien sûr refuse de prendre en charge le sinistre avec des arguments fantaisistes. Cette assurance ne sert à rien, puisque elle me dit d' envoyer son assuré au tribunal et elle ne respecte pas le contrat. Détail savoureux, le professionnel est "assuré" mais en réalité c'est le client qui paye pour un service non rendu : cette assurance est à fuir, pourtant elle nous est imposée. J'ai fait faire dernièrement une expertise pour la vente d'une maison et l'expert est encore assuré à cette fake assurance et je n'ai pas eu le choix ! J'ai un véhicule assuré chez eux et je vais me faire le plaisir de les virer. PS: je repose mon avis car je ne le vois pas (je ne m'étais pas identifié)</t>
  </si>
  <si>
    <t>MMA</t>
  </si>
  <si>
    <t>responsabilite-civile-professionnelle</t>
  </si>
  <si>
    <t>jm260-90177</t>
  </si>
  <si>
    <t xml:space="preserve">Adhérent depuis plus de 30 ans, je suis satisfait des prestations de cette mutuelle et des remboursements. Récemment, il m'a été donné de contacter la mutuelle par téléphone, il m'a été proposé d'être rappelé car le temps d'attente était trop long, j'ai été rappelé dans les 10 minutes par une conseillère très pro qui a répondu à mes attentes. </t>
  </si>
  <si>
    <t>03/06/2020</t>
  </si>
  <si>
    <t>mimi-53766</t>
  </si>
  <si>
    <t>Avis d'échéance non envoyé, pas de rappel mai un recommandé expédié avec mise en demeure majoré  d'une taxe. Après un contact auprès d'un interlocuteur aucuns arrangement possible celui-ci étant visiblement coutumier de ce genre de réclamation et affirmant des faîtes qu'il ne peut prouver n'ayant aucun justificatif en sa possession.</t>
  </si>
  <si>
    <t>abdallah-a-131993</t>
  </si>
  <si>
    <t>Les prix me conviennent et j'avais des retours positives de la part de mon entourage qui m'ont recommandé Direct Assurance.
De plus j'ai trouvé la promos showroom</t>
  </si>
  <si>
    <t>09/09/2021</t>
  </si>
  <si>
    <t>nathie-104574</t>
  </si>
  <si>
    <t>Même si le tarif mutuelle est quand-même assez conséquent si l'on veut un remboursement satisfaisant, la qualité de service des interlocuteurs est satisfaisante et les prestations correctes.</t>
  </si>
  <si>
    <t>diche-123812</t>
  </si>
  <si>
    <t>Amv l'assurance qui n'est pas au courant sur la conduite d'un scooter 3 roues. 
Dispense de la formation:
Avoir obtenu le permis B avec équivalence A1 avant mars 80.
C'est drôle c'est mon cas et je suis tombé sur une dame qui apparemment  n'est pas au courant.
Il serait temps de former les agents d'assurance de cette cie</t>
  </si>
  <si>
    <t>pierro-66541</t>
  </si>
  <si>
    <t>Courriers qui se perdent, Dossier perdu, document non reçu. Obligé d'envoyer les courriers et les dossiers avec LRAR. Traitement des paiements long et difficiles.</t>
  </si>
  <si>
    <t>maud34-78048</t>
  </si>
  <si>
    <t>J'ai tous mes contrats d'assurance chez DA depuis plusieurs années. Je n'ai jamais rien eu à redire... jusqu'à aujourd'hui. Je viens d'acheter une maison dans las Yvelines, et là une opératrice m'annonce qu'ils ne peuvent pas assurer cette zone géographique... La seule chose qu'elle a pu me répondre c'est c'est comme ca, voyez chez quelqu'un d'autre. Elle m'a sorti la liste écrite des catastrophes naturelles et technologiques... Première personne, notaire compris, à estimer que cette zone présente un risque!</t>
  </si>
  <si>
    <t>02/10/2021</t>
  </si>
  <si>
    <t>goldenleaves-99484</t>
  </si>
  <si>
    <t>Pour nous, Merci à la Matmut :
Nous avons eu un sinistre en voiture avec carrosserie abîmée et pilier d'un mur détruit en partie.
La Matmut nous a fait cadeau de la franchise véhicule : 405 Euros et n'a compté que la franchise du pilier 150 Euros.
Nous n'avions jamais eu de sinistre en voiture depuis 15 ans, mais nous étions bien contents !!! L'agence de Courbevoie nous a bien soutenus.</t>
  </si>
  <si>
    <t>so-85636</t>
  </si>
  <si>
    <t xml:space="preserve">Sans prévenir hausse importante de la cotisation et aucune possibilité de discuter. Service client désastreux, et si vous avez le moindre souci, soyez certains qu'il ne sera pas pris en compte. </t>
  </si>
  <si>
    <t>08/01/2020</t>
  </si>
  <si>
    <t>ljilja-m-100406</t>
  </si>
  <si>
    <t xml:space="preserve">J’ai acheté un véhicule à 4780 euros il y a un an avec  lequel je me rends au travail tous les jours . J’ai  eu un accident non responsable le 8 septembre 2020 avec une moto qui m’a percuté a 90 kilomètres /h par l’arrière alors que j’étais arrêter sur des bouchons à un feu sur une sortie d’autoroute . Premièrement l’expert de l’assurance a estimé mon véhicule à 3500 euros ce qui est faible vu combien je l’ai payé il y a pas si longtemps mais bon j’ai été obligé d’accepté en espérant que ca irait plus vite si je ne demande pas de contre expertise . Deuxièmement j’ai du attendre plus d’un mois pour que le procès verbale de l’accident soit envoyée à mon assurance . Entre ce labs de temps j’ai du prendre des décisions comme céder mon véhicule en VEI à la Macif pour destruction pour une somme misérable d’un peu plus de 400 euros (valeur résiduelle) . Troisièmement ce véhicule était mon moyen de transport pour aller travailler pendant un an et je continu de payer le crédit qui m’a permis de l’acheter . Quatrièmement je dois attendre que l’assurance du tiers Allianz réponde à la demande  de prise en charge de mon préjudice matériel faite par la Macif depuis un mois . Honnêtement les soit disant dédommagement fait en 2 jours après réception des documents c’est faux . Je me tâte à engager un avocat pour demander des dédommagements supplémentaires dûs a ma situation actuelle . Bon courage à tous ceux qui sont victimes d’accident et qui se retrouvent à attendre plusieurs mois avant d’être indemnisés . Quand il s’agit de payer ils nous prélèvent à des dates précise mais quand il faut se charger de se charger de victimes ça mouline clairement . </t>
  </si>
  <si>
    <t>21/11/2020</t>
  </si>
  <si>
    <t>llucas-71724</t>
  </si>
  <si>
    <t>Bonjour,
J'ai souscrit à un contrat Arpèges Allegro il y a de cela un an dans l'agence de Villiers sur Marne. Insatisfait des taux de rendements et du profil d'épargne qui ne répondait pas à mon profil en terme de risque, j'ai exigé que l'on arbitre l'ensemble de mon argent vers un fonds en Euro (par courrier avec AR). Cela n'a jamais été pris en compte, malgré mes relances actives. J'ai donc exigé un rachat total de cette assurance vie par courrier avec AR. Voilà presque deux mois dans quelques jours et mon argent ne m'a toujours pas été versé. Si les délais légaux ne sont pas respectés je serai contraint de donner des suites judiciaires. Je ne recommande pas du tout cette agence si vous souhaitez ouvrir une assurance vie. Dommage car on est bien accueilli pour les autres produits !</t>
  </si>
  <si>
    <t>27/02/2019</t>
  </si>
  <si>
    <t>cilluffo-d-138085</t>
  </si>
  <si>
    <t xml:space="preserve">Je suis satisfait par le prix merci beaucoup je reste à votre disposition pour toute information supplémentaire concernant l'envoi de la carte grise. Cordialement Cilluffo Domenico. </t>
  </si>
  <si>
    <t>toto-117014</t>
  </si>
  <si>
    <t>Suite a 1 accident ou je n etais absolument pas en tort la matmut a refuser de m indemniser mon véhicule car ils l ont jugé trop vieux et avec trop de kms.moi je gagne le smic et dois me lever a 4h le matin et j ai 3 enfants.malgré son age et ses kms elle me permettait d aller bosser et amener mes enfants a l ecole.
N allez pas a la matmut ils sont que bon a prelever apres aucun suivi et aucune defense de leurs assurés</t>
  </si>
  <si>
    <t>14/06/2021</t>
  </si>
  <si>
    <t>mysa-67246</t>
  </si>
  <si>
    <t>recontacté par un conseil ,explications claires</t>
  </si>
  <si>
    <t>ludovic-b-107666</t>
  </si>
  <si>
    <t>N'importe quoi en terme de prix (190€/mois) . De plus, on me met un malus sur 1,12 sans vraiment comprendre la situation.... Du grand n'importe quoi... Je change tres vite d'assureur</t>
  </si>
  <si>
    <t>23/03/2021</t>
  </si>
  <si>
    <t>diloun44-68296</t>
  </si>
  <si>
    <t>Pour le dépannage km 0,  je ne vois pas ce qui pourrait se faire de mieux. Ma voiture ne voulait pas démarrer, j'ai appelé le dépannage Axa et en 48 h tout à été réglé : prise en charge dépanneuse, dépôt au garage , taxi et prêt d'un véhicule.</t>
  </si>
  <si>
    <t>02/11/2018</t>
  </si>
  <si>
    <t>maximebur-100628</t>
  </si>
  <si>
    <t>Bonjour,
Cette assurance a résilié tous mes contrats sans me prévenir pour un retard de paiement de 15 jours, j'étais assuré chez eux  depuis le 1er avril 2014.aucun sinistre depuis 10 ans
de ce fait je n'étais plus assuré sans le savoir du 21/10 au 20/11 soit un mois pendant lequel
il aurais pu m'arriver une catastrophe, je suis complétement sous le choc et je ne conseille à personne cette compagnie . M BURIEZ</t>
  </si>
  <si>
    <t>26/11/2020</t>
  </si>
  <si>
    <t>da-103842</t>
  </si>
  <si>
    <t>Cette mutuelle présente de gros dysfonctionnements. Ses employés vous demandent plusieurs fois les mêmes justificatifs. A croire qu'ils ne veulent pas vous rembourser. Il  a fallu plusieurs mois, alors que j'étais au chômage et que j'avais droit à la portabilité, pour qu'enfin celle-ci soit reconnue. Ensuite, j'ai des refus de remboursements pour un de mes ayants-droits, prestations auxquelles il a pourtant droit et qui attendent depuis des mois. Il s'agit d'une complémentaire santé au rabais. Il s'agit d'un groupe américain qui ne sais pas ce que couverture santé veut dire. Avant nous avions Génération qui était beaucoup mieux mais on nous a obligé de changer sans que l'on ne nous demande notre avis.</t>
  </si>
  <si>
    <t>08/02/2021</t>
  </si>
  <si>
    <t>vinchon-c-138217</t>
  </si>
  <si>
    <t xml:space="preserve">Victime d'un défaut d'information, je n'ai pas eu d'autre choix que de resigner avec vous prenant 72€ de frais de dossier + 10% d'augmentation des frais d'assurance </t>
  </si>
  <si>
    <t>laurine-d-124768</t>
  </si>
  <si>
    <t xml:space="preserve">site très intuitif, au top
système très rapide, le prix est imbattable (pour les mêmes garanties je payais presque 900eur ...)
plus qu'à attendre d'être bien confirmée chez vous </t>
  </si>
  <si>
    <t>domi-78159</t>
  </si>
  <si>
    <t>accueil, disponibilité, explications très "pros", niveau du prix pas plus cher qu'ailleurs .... !</t>
  </si>
  <si>
    <t>02/08/2019</t>
  </si>
  <si>
    <t>florain-a-138622</t>
  </si>
  <si>
    <t xml:space="preserve">Un peut près 168 euros part mois pour une assurance jeune conducteur pour 120cheveau je trouve sa vraiment cher pour le plus pas ( tier  ) même pas assurancer pour le vole ... </t>
  </si>
  <si>
    <t>30/10/2021</t>
  </si>
  <si>
    <t>freddy-v-115466</t>
  </si>
  <si>
    <t>JE SUIS SATISFAITE DE LA RAPIDITE DU SERVICE 
CONSEILLER TRES PROFESSIONNEL ET EFFICACE
JE RECOMMANDE A 100 %
TARIFS VRAIMENT COMPETITIFS A COUVERTURE EQUIVALENTE</t>
  </si>
  <si>
    <t>31/05/2021</t>
  </si>
  <si>
    <t>amal--f-125755</t>
  </si>
  <si>
    <t xml:space="preserve">Excellente bien pensée efficace j apprécie beaucoup c est une assurance que je conseille à tt l monde les tarifs sont les meilleurs les garantie excellente je vais la conseiller à ma famille </t>
  </si>
  <si>
    <t>azerty75-58037</t>
  </si>
  <si>
    <t>Lorsque vous avez du bonus en deux roues les prix sont moins intéressant et c'est compliqué de résilié.</t>
  </si>
  <si>
    <t>13/10/2017</t>
  </si>
  <si>
    <t>duchemin-s-132620</t>
  </si>
  <si>
    <t xml:space="preserve">Je suis satisfaite conseiller à l'écoute et patient, il nous conseille très bien par rapport au site qui est un peu plus compliquer. Prix très satisfaisant. Je recommande cette assurance. </t>
  </si>
  <si>
    <t>13/09/2021</t>
  </si>
  <si>
    <t>philippe-s-109119</t>
  </si>
  <si>
    <t>satisfait ?? pour  la rapidité  de  votre  part  et  dans  l' attente  des  derniers  documents  pour  finaliser cette  assurance  automobile. 
A bientot</t>
  </si>
  <si>
    <t>gomis-b-114756</t>
  </si>
  <si>
    <t xml:space="preserve">Pas d’avis pour l’instant. Je viens de d’assurer mon nouveau véhicule.  A voir pas la suite et surtout le jour où il y aura un problème. Mais prix correct comparé à d’autres. </t>
  </si>
  <si>
    <t>moi-112727</t>
  </si>
  <si>
    <t xml:space="preserve">Cardif m'a ouvert une assurance vie par l'intermédiaire de la BNP 3 mois après ce placement n'a toujours pas été crédité de la somme de souscription donc pour le moment la somme est bloquée et ne me rapporte rien .
Je lis les avis  1,2 sur 5 !!! 
Au téléphone c'est n'importe quoi: "oui oui on s'occupe  de votre cas" cas !!! Ça fait peur 
Et mon conseiller BNP cestpas mieux </t>
  </si>
  <si>
    <t>05/05/2021</t>
  </si>
  <si>
    <t>sammmmm39-53232</t>
  </si>
  <si>
    <t xml:space="preserve">Je suis chez april entreprise prevoyance je me suis fais opérer de la myopie le 12 janvier 2017. A ce jour, malgré plusieurs lettres recommandées et de mails, je n'ai reçu aucun remboursement ni de réponses. </t>
  </si>
  <si>
    <t>13/03/2017</t>
  </si>
  <si>
    <t>idriss-g-108670</t>
  </si>
  <si>
    <t xml:space="preserve">Prix attractif et toutes les démarches de résiliation sont faites pour vous auprès de l’ancien assureur, à voir maintenant en cas de sinistre si c’est aussi efficace. </t>
  </si>
  <si>
    <t>catounette-64697</t>
  </si>
  <si>
    <t>Suite à un litige avec un artisan, un expert a été mandaté par mon assurance et il s'est moqué de moi tout au long de l'expertise. Cet expert m'a vraiment prise pour une imbécile ! Je suis chez eux depuis 20 ans mais je change d'assurance !</t>
  </si>
  <si>
    <t>12/06/2018</t>
  </si>
  <si>
    <t>01/06/2018</t>
  </si>
  <si>
    <t>mamido-98751</t>
  </si>
  <si>
    <t>Suite à un devis, je n ai pas opté pour votre mutuelle et je ne le regrette pas car je n apprécie pas que vos employés raccroche au nez des gens, simplement parce qu’on est pas d accord avec eux. Je trouve ce principe intolérable et irrespectueux envers le client</t>
  </si>
  <si>
    <t>14/10/2020</t>
  </si>
  <si>
    <t>marc-d-123931</t>
  </si>
  <si>
    <t xml:space="preserve">Je suis satisfait de la rapidité de prise en charge. concernant les tarifs il y a moins d'écart qu'avant .  vous ne sortez pas systématiquement premier dans les comparateurs </t>
  </si>
  <si>
    <t>bernard-75090</t>
  </si>
  <si>
    <t>Prennent votre argent mais surtout n'ayez aucun problème,vous jettez votre argent par la fenêtre avec cette assurance mieux vos ne pas vous assurer le résultat sera le même et vous gagnerez de l'argent</t>
  </si>
  <si>
    <t>15/04/2019</t>
  </si>
  <si>
    <t>emilie-l-114454</t>
  </si>
  <si>
    <t>accompagnement client téléphonique très performant
geste commercial inexistant avec des cotisations en hausse malgré le bon comportement des conducteurs fidèles</t>
  </si>
  <si>
    <t>21/05/2021</t>
  </si>
  <si>
    <t>mgase-125844</t>
  </si>
  <si>
    <t>Depuis avril 21,  j'essaie vainement de changer de compte bancaire de prélèvement, et d'obtenir une copie de mon contrat.
- j'ai eu 8 échanges téléphoniques avec des opérateurs. Leurs promesses ne sont JAMAIS suivies d'effet.
- j'ai adressé 6 courriers, dont deux recommandés. J'ai obtenu un retour, ne répondant absolument pas aux questions posées.
METLIFE n'écoute pas ses clients !</t>
  </si>
  <si>
    <t>MetLife</t>
  </si>
  <si>
    <t>gomez-s-129029</t>
  </si>
  <si>
    <t>Bonjour c’est pour vous informé que Je suis satisfait de vos services et aussi satisfait de vos prix me convient je vous remercie cordialement merci .</t>
  </si>
  <si>
    <t>22/08/2021</t>
  </si>
  <si>
    <t>mich-47903</t>
  </si>
  <si>
    <t xml:space="preserve">déçu par mon expérience à l'olivier assurance , au début tarif très alléchants ,par contre les années suivantes ... augmentation importante (sans aucuns sinistres déclarés  ) , de plus j'ai fait deux demandes de devis pour la même voiture avec des infos identiques et les tarifs sont différents du jour au lendemain et avec des écarts importants , on ce croirait à la bourse et on à l'impression de ce faire avoir ,à chaque fois que vous faite une petite transformation c'est 15 euros de frais d'écriture , vraiment pas sérieux. c'est bien la première année mais après il faut changer sinon on tombe au même tarif que la concurrence ... pas intérressant   . </t>
  </si>
  <si>
    <t>delliot-l-116827</t>
  </si>
  <si>
    <t>Simple et pratique à voir au niveau de la suspension durant lé prochaine hiver ou lors de la résiliation si c’est aussi simple que pour s’assurer, je verrais bien</t>
  </si>
  <si>
    <t>12/06/2021</t>
  </si>
  <si>
    <t>stephanie-r-136564</t>
  </si>
  <si>
    <t>Je suis satisfaite du service, les options proposées sont adaptées à ce que je souhaitais , les démarches sont faciles , je recommanderai cette assurance</t>
  </si>
  <si>
    <t>jean-54177</t>
  </si>
  <si>
    <t>MÉTHODE AXA AXA A TRANSMIS MON MAIL PERSO A UNE SOCIÉTÉ DE RECOUVREMENT DEPUIS C'EST UN HARCÈLEMENT CONTINUEL ET RÉPÉTITIF DE LA PART DE EFFICO MANDATER PAR AXA POUR RÉCUPÉRER DES MENSUALITÉS SUR UN CONTRAT RÉSILIÉ PAR A.R . JE DIS BRAVO !!</t>
  </si>
  <si>
    <t>20/04/2017</t>
  </si>
  <si>
    <t>01/04/2017</t>
  </si>
  <si>
    <t>nelson-c-133422</t>
  </si>
  <si>
    <t xml:space="preserve">Simple et pratique un peu cher pour un premier conducteur 
A voir par la suite les prestations complètes 
Moyennement satisfait la démarche est tout de même rapide </t>
  </si>
  <si>
    <t>18/09/2021</t>
  </si>
  <si>
    <t>nathalie-55092</t>
  </si>
  <si>
    <t>il est préférable de payer un tout petit peu plus cher et d'avoir des gens compétents en ligne et surtout éviter les mauvaises surprises que ce soit pour l'assurance auto et habitation (1/2 heure au telephone pour aucun resultat, 3 factures differentes pour 1 meme dossier, personne ne vous rappelle;;;bref, incompétents et irrespectueux!)</t>
  </si>
  <si>
    <t>02/06/2017</t>
  </si>
  <si>
    <t>mandi-e-114849</t>
  </si>
  <si>
    <t>Je suis satisfaite mais très élevés comme prix pour l'assurance tiers confort mais sa passe en vrai simple et efficaces merci pour l'accueil très bien aussi</t>
  </si>
  <si>
    <t>nono-59690</t>
  </si>
  <si>
    <t>Je suis couvert en mutuelle Santé par le niveau confort.Il y a quelques jours je soumets un devis pour une prothèse dentaire. Pensant être bien couvert  sur une base de 250% je pensais recevoir un remboursement correct. Mais.... après deux appels téléphoniques je me rends compte que les conseillers ne sont pas fichus de vous expliquer un calcul de de remboursement. La troisième personne arrive avec difficulté à décrypter le système de calcul.Il me signale donc que , écrit en tout petit dans le haut du " résumé des garanties " que les plafonds indiqués incluent le remboursement de la SS. Ce qui change tout.Une prothèse est remboursée  70 % de la base SS. Ce qui signifie que le taux retenu n'est pas 250 % mais 250% moins 70 %, c'est à dire 170 %. Donc le joli tableau vous fait croire à un remboursement correct alors qu'il est nettement inférieur. Je pense que je vais signalé ce fait à la DGCCRF pour signaler cet abus et pourquoi pas engager une action de groupe si d'autres usagers veulent bien se joindre à moi.</t>
  </si>
  <si>
    <t>14/12/2017</t>
  </si>
  <si>
    <t>01/12/2017</t>
  </si>
  <si>
    <t>ilano-60844</t>
  </si>
  <si>
    <t>Ne vous assurer surtout pas à direct assurance !!!!il assurer tout risque plus ,il ne veulent pas me rembourser suite à un vol ,alors que les conseiller mon stipuler que j'allais etre rembourser il avait la copie de plainte ci joint ,il leur fallait que le certificat de non Gage et selon eux dans la semaine qui suit je reçois le chèque de remboursement.des réception de ce document je leur ai envoyer etv1?semaine plus tard par lettre simple je reçois un refus.conseiller vraiment pas professionnel et prise en charge bâcler je vous déconseille cette assureur ,fuyer...</t>
  </si>
  <si>
    <t>26/01/2018</t>
  </si>
  <si>
    <t>christophe-c-130585</t>
  </si>
  <si>
    <t>Simple et pratique
Inscription rapide efficace, site internet ludique et professionnel.
Tarif attractif, les documents sont transmis rapidement
Parfait</t>
  </si>
  <si>
    <t>qalisa2-100492</t>
  </si>
  <si>
    <t>De mauvaise foi lorsqu'on demande à comprendre une telle augmentation. Et lorsque l'on appelle pour une éventuelle résiliation, ces derniers ne cherchent pas à vous écouter et vous RACCROCHENT AU NEZ. Tarification = ZERO. Service client = ZERO. Contrairement au client dans votre spot TV, nous ne m'aurez pas. Ciao les robadores.</t>
  </si>
  <si>
    <t>23/11/2020</t>
  </si>
  <si>
    <t>val-92631</t>
  </si>
  <si>
    <t xml:space="preserve">Cet assureur m 'a radié car il n'ont jamais reçu mes avenants, résultat je ne peux m'assurer nulle part à part chez eux car ils sont incapables de rajouter le motif sur ma résiliation. Comment êtes pris en otage !!! Lamentable ! </t>
  </si>
  <si>
    <t>29/06/2020</t>
  </si>
  <si>
    <t>natha-128340</t>
  </si>
  <si>
    <t>Pas sympas avec le client. Prix augmentant sans raison valable au vu de mon contrat... A des pratiques mensongères. Un employé de cette boite m'a menti au téléphone. Malgré les enregistrements des appels (donc preuve à l'appui), j'ai abandonnée les poursuites pour obtenir gain de cause auprès d'eux, car rien ne bougeait...très mécontent !</t>
  </si>
  <si>
    <t>jessica-j-132322</t>
  </si>
  <si>
    <t xml:space="preserve">Je suis satisfaite du prix,de la rapidité,du contrat.on me l’avais conseiller et je ne le regrette pas.je recommande cette assurance .
Beaucoup de pack pas chère </t>
  </si>
  <si>
    <t>dr-bonnet-96735</t>
  </si>
  <si>
    <t>Je suis Chirurgien-Dentiste. J'ai posé une dent en urgence sur le dentier d'une patiente de 81 ans. Je précise 81 ans. Le prix est de 80€. Grâce au tiers payant je me suis fait réglé 15€ directement par la sécu. La patiente a envoyé à Harmonie Mutuelle 3 fois la facture certifiant que j'avais été réglé par la sécu de 15€ avec ma signature et mon tampon. Harmonie exige le bordereau de règlement de la sécu. J'ai téléphoné à Harmonie qui me dit que la procédure, c'est la procédure. Donc si vous cherchez une mutuelle à l'écoute des adhérents, vous avez compris.</t>
  </si>
  <si>
    <t>27/08/2020</t>
  </si>
  <si>
    <t>jonathan-m-128967</t>
  </si>
  <si>
    <t>Les prix son correcte le choix des options est claire et on vois le prix de la cotisation augmentée en temps réelle. En quelques minutes on dispose d'une carte vert temporaire d'un mois c'est top</t>
  </si>
  <si>
    <t>charly-66226</t>
  </si>
  <si>
    <t xml:space="preserve">Demande de remboursement par mail et Tph car ils m'ont prélevé pour toute l'année. Délai donnée de 24 à 72 h actuellement ça fait 10j toujours pas remboursé ! J'ai rappelé et ils sont incapable de me dire quand est ce que je vais être remboursé ! Plus qu'à faire avec moins 430 e sur le salaire ce mois ci  ! Commence bien cette assurance. </t>
  </si>
  <si>
    <t>16/08/2018</t>
  </si>
  <si>
    <t>01/08/2018</t>
  </si>
  <si>
    <t>froehly-l-121907</t>
  </si>
  <si>
    <t>je viens de souscrire ..les pris sont correct...je peux pas pour l instant dire autre chose. je n'est pas eu de problème, je ne sais pas comment l'olivier gère les problèmes.
cordialement</t>
  </si>
  <si>
    <t>kash-75030</t>
  </si>
  <si>
    <t>Mon contrat d'auto a été résilié a cause d'un délai d'envoie des documents. Même après une confirmation de un conseiller pour les documents ,j'ai été résilié. Pas cool et n'est pas gentil sachant que c'est vraiment difficile de trouver un nouvelle assureur après une résiliation par la compagnie ou un assureur qui propose une offre avec un prix très cher pour les clients résiliés !!</t>
  </si>
  <si>
    <t>12/04/2019</t>
  </si>
  <si>
    <t>jlv-138796</t>
  </si>
  <si>
    <t>bénéficiaires d'un contrat capital décès en déshérence depuis 1997, nous avons été contactés en juin 2020 par swisslife. En 2021, après que toutes les pièces des bénéficiaires aient été fournies, nous avons perçu chacun 37,64€... Depuis, impossible d'obtenir les pièces justifiant cette somme, montant du capital, les intérêts de la déshérence, le nombre de bénéficiaires (pas leurs identités...).
Nos nombreuses demandes sont restées sans réponse. Suite à un signalement à la répression des fraudes (23/08/21) nous avons reçu le lendemain un engagement de swisslife d'obtenir une réponse dans les jours qui suivent.... rien... puis un engagement de nous répondre dans les 2 mois .... au 23 octobre toujours rien.... Suite à nos insistances, nous recevons un mail de : 
swisslife 
Gestionnaire Clients Vie et Réseaux
Service Clients Vie - Réclamations Vie et Conformité
s'engageant (encore) à nous envoyer les documents demandés avant le 27/10/2021.... Toujours aucune nouvelle....
Bref nous trouvons plus qu'étrange que swisslife ne puisse fournir des documents d'un dossier qui normalement est soldé..??? 
Il nous paraît totalement anormal de ne pas justifier les sommes versées .
Swisslife ne répond pas et ne tient jamais ses engagements ... lamentable.
Le dépôt de plainte nous semble être la seule solution.....</t>
  </si>
  <si>
    <t>03/11/2021</t>
  </si>
  <si>
    <t>moon-61529</t>
  </si>
  <si>
    <t xml:space="preserve">Manque de réponses aux demandes lors de l'assistance. 
Dépenses inutiles et mal placées qui pourrait être plus efficaces pour l'assuré et moins onéreusesur pour AXA.
Les opérateurs n'etant pas en France des problèmes de compréhension qui amènent des pertes de temps considérables et des RDV  annulés pour l'assuré. </t>
  </si>
  <si>
    <t>17/02/2018</t>
  </si>
  <si>
    <t>marion-c-132355</t>
  </si>
  <si>
    <t xml:space="preserve">Le prix est attractif
Le site est intuitif, très facile à renseigner, devis en 5 min sur internet.
Reste à voir, efficacité service client en cas de pépin... </t>
  </si>
  <si>
    <t>11/09/2021</t>
  </si>
  <si>
    <t>arnaud-c-110608</t>
  </si>
  <si>
    <t>Bon échange avec le conseiller disponible sur ligne direct. Rapidité de prise en charge du dossier même avec quelques points techniques à résoudre sur le questionnaire de santé.</t>
  </si>
  <si>
    <t>16/04/2021</t>
  </si>
  <si>
    <t>eric74-101785</t>
  </si>
  <si>
    <t xml:space="preserve">J'y ai adhéré pendant plus de 5 ans jusqu'à fin 2020, et j'ai clairement vu le service se dégrader petit à petit... 
C'est devenu une catastrophe... Courriers pas clairs, réponse aux emails 1 fois sur 5, pas de rappels des conseillers, réponses à côté de la plaque... 
Remboursements obscurs, bref, je FUIS ! </t>
  </si>
  <si>
    <t>23/12/2020</t>
  </si>
  <si>
    <t>claude1515-79759</t>
  </si>
  <si>
    <t xml:space="preserve">51 ans a la Matmut  et pour quoi ? </t>
  </si>
  <si>
    <t>05/10/2019</t>
  </si>
  <si>
    <t>ominetti-r-129151</t>
  </si>
  <si>
    <t>Je suis satisfait des services, les prix me conviennent, c'est simple et rapide comparé à la concurrence qui propose des tarifs plus cher comme la Matmut.</t>
  </si>
  <si>
    <t>gerardk6--102538</t>
  </si>
  <si>
    <t>Assurer dynamique, efficace avec un bon rapport qualité /prix,je conseille , pour assurer un deux roues, service client assez disponible et à l’écoute, démarches faciles et rapides</t>
  </si>
  <si>
    <t>papy-60758</t>
  </si>
  <si>
    <t xml:space="preserve">Bonjours du 25/10/2015 au 30/06/2016 je suis en arrêt maladie pour une AOMI de categorie 4 ensuite j ai repris le travail car n ayant pas de complément de salaire verser par l ag2r a mon employeur pourtant ayant des difficultés pour marcher j ai repris le travail et au moi de septembre j ai reçus mon complément de salaire vue mon état de santé.Malgré les Stens mon artère femorale  est toujours boucher et le 18/10/2016 j ai rechuter et ne peut plus travailler et suis passer en invalidité de catégorie 2 au 01/04/2017  les document on étais envoyé à ma société qui les a transmi au GAN car au 01/01/2016 ma société a changer de prévoyance ceux ci mon répondu que c étais à l'ancienne assurance de prendre en charge  (AG2R ) Car cela est une rechute L AG2R ne veule pas prendre en charge car l arrêt de travail est du 18/10/2016 et que je ne suis plus assurer chez eux depuis le 01/01/2016 chez eux apres mettre renseigner article 7 de la loi evin de 1989  si on peut prouver que cela est bien une rechute c est à L AG2R de prendre en charge j ai pu prouver grâce au certificat médical fais par mon médecin et de plus un questionnaire de santé rempli pour le gan qui disais que c étais une rechute malgré cela AG2R mon envoyer voire un médecin expert pourquoi car la sécu ma mi en invalidité de catégorie 2. etant en état précaire j e voudrais bien savoir si j'ai droit de toucher mon complément de salaire  et quand </t>
  </si>
  <si>
    <t>24/01/2018</t>
  </si>
  <si>
    <t>mat-69770</t>
  </si>
  <si>
    <t xml:space="preserve">J ai eu un accident avec un tiers responsable qui a pris la fuite toutes les réparations de mon véhicule sont a ma charge alors que je suis en tout risque finalement autant ne pas etre assure </t>
  </si>
  <si>
    <t>31/12/2018</t>
  </si>
  <si>
    <t>jonnen-79402</t>
  </si>
  <si>
    <t>en regardant les autres avis j'aurai du me méfier, mais cet assureur tire la profession vers le bas avec son personnel méprisant insultant et menteur.... jamais vu ça de ma vie.  je regrette amèrement d'avoir souscrit,   passez votre chemin.</t>
  </si>
  <si>
    <t>23/09/2019</t>
  </si>
  <si>
    <t>cathy-p-129988</t>
  </si>
  <si>
    <t>Je suis satisfaite des tarifs ainsi que des prestations. Je quitte mon ancienne assurance à cause des tarifs élevés ainsi que pour les prestations médiocres.</t>
  </si>
  <si>
    <t>agas-97709</t>
  </si>
  <si>
    <t>Dommage qui ne peuvent pas m'assurer pour un véhicule de 9cv fiscale avec 2 ans d'assurance soit 10% de bonus Sinon oui bon dans l'ensemble je recommande vivement .
Cdt</t>
  </si>
  <si>
    <t>22/09/2020</t>
  </si>
  <si>
    <t>fatib-78519</t>
  </si>
  <si>
    <t>Je suis très déçue de la Macif. S vous lisez mon avis alors ne vous assurez surtour pas chez eux. Sinistre depuis octobre 2018 et expert passé en mars 2019, oublie la moitié de l'expertise!je dois supplier tous les jours les conseillers pour avoir un rapport complet. Au mois de mai il daigne se déplacer et le comble c est qu il quitte l'expertise sans la compléter car j'ai vexé ce pauvre jeune homme qui pensait que je connaissais pas les conditions de mon contrat.Aujourd'hui le 18 aout nous attendons toujours la transmission de son deuxième rapport. Après avoir saisi le médiateur sans succès, la macif leur a répondu que je devais faire une contre expertise! je suis en train de préparer mon dossier pour les tribunaux car je compte bien etre indemnisée de mes dommages. Fuyez la macif et fuyez leurs experts de chez elex.</t>
  </si>
  <si>
    <t>18/08/2019</t>
  </si>
  <si>
    <t>anthony-d-129883</t>
  </si>
  <si>
    <t xml:space="preserve">Je suis ravi du prix et de la rapidité je devais m’assurer dans la journée un samedi pour aller chercher ma moto et cela m’a pris 10 mn merci ami parfait je recommande </t>
  </si>
  <si>
    <t>claude-m-110465</t>
  </si>
  <si>
    <t xml:space="preserve">satisfaction des services proposés, tarifs, réactivité et traitement des dossiers
bon accueil téléphonique  pas trop de temps, d' attente je conseille </t>
  </si>
  <si>
    <t>momo-117255</t>
  </si>
  <si>
    <t xml:space="preserve">Suite a mon appel téléphonique L'assureur Éméline a bien répondu a mes questions que je lui est posé, en plus agréable accueil et sympathique lors de mon appel merci </t>
  </si>
  <si>
    <t>16/06/2021</t>
  </si>
  <si>
    <t>barbudo-67914</t>
  </si>
  <si>
    <t>LAMENTABLE que la MAAF ne prenne pas en charge la conduite accompagnée pour les petits enfant ! Bravo la prévention des accidents par une meilleure éducation à la conduite .</t>
  </si>
  <si>
    <t>fabien-l-135104</t>
  </si>
  <si>
    <t>Je suis satisfait du service et aussi du service téléphonique agent à l'écoute et rassurent niveau prix se n'est vraiment pas cher je trouve que c'est intéressant pour les jeunes conducteurs</t>
  </si>
  <si>
    <t>29/09/2021</t>
  </si>
  <si>
    <t>laetitia-g-116079</t>
  </si>
  <si>
    <t>je satisfaite du service dans l'ensemble j'aurais juste apprécié l'option seule de l'assistance zéro km car le pack en lui même ne m'intéressai pas. après rapport qualité prix correct et type de contrat très lisible avec une lecture facile</t>
  </si>
  <si>
    <t>05/06/2021</t>
  </si>
  <si>
    <t>fab-77024</t>
  </si>
  <si>
    <t>surtout ne pas s"assurer chez eux ! il se font passer des organismes divers  caf, cpam, soutraitant divers pour obtenir les informations nécessaires pour nous faire signer des contrats dont on ne veut pas, je me suis fait avoir mais heureusement je suis dans les 14 jours pour résilier. Je déconseille NEOLIANE santé et prévoyance.</t>
  </si>
  <si>
    <t>22/06/2019</t>
  </si>
  <si>
    <t>laurent-49892</t>
  </si>
  <si>
    <t>La gestion de mes sinistres a toujours été gérée parfaitement par Eurofil. J'en suis très satisfait pour le moment mais, suite aux nommbreux commentaires lus ci-dessous, j'espère ne pas être expulsé prochainement !</t>
  </si>
  <si>
    <t>05/12/2016</t>
  </si>
  <si>
    <t>guillaume-g-132836</t>
  </si>
  <si>
    <t xml:space="preserve">Je suis satisfait du service direct assurance. On m’a bien renseigné au téléphone.
Direct assurance s occupe de la résiliation 
Cordialement 
Un nouveau assureur </t>
  </si>
  <si>
    <t>stiv23-60652</t>
  </si>
  <si>
    <t>Assurance à voir sur la durée et les années. 
J'ai eu un bris de glace, ça c'est passé sans problèmes
Le service client n'est pas au point. On vous dit de joindre un numéro, on vous donne des informations erronées. Aujourd'hui on échange beaucoup par mail et le suivi devrait être beaucoup plus droit.
Hormis ça c'est une bonne assurance. Rien à redire.</t>
  </si>
  <si>
    <t>02/02/2018</t>
  </si>
  <si>
    <t>dupont-86561</t>
  </si>
  <si>
    <t>il VISE  les vieux aux téléphone mes parent sont SANS RESSOURCES cause de eux 2 mutuelles a payer il refuse de resilier avec une lettre AR</t>
  </si>
  <si>
    <t>30/01/2020</t>
  </si>
  <si>
    <t>dom36-122066</t>
  </si>
  <si>
    <t>C'est pas des champions, le covid et ses pseudos inconvénients sont leur fer de lance, hyper lent à répondre, toutes les excuses pour retarder les accords de devis, des demandes de document ou justificatif que aucune autre mutuelle demande, des remboursements qui diffèrent d'un mois à l'autre, sans que la situation soit changée, des attentes au téléphone particulièrement intolérables, à fuir absolument pour les personnes qui n'ont pas internet ou qui n'ont pas un téléphone avec un forfait maxi.Pour le prix ,c'était une mutuelle payée par l'employeur à 100%, donc je ne peux pas juger,mais vu les problèmes c'est une maigre consolation. Pour le contact rien à dire , ils n'ont pas de bureau pour accueillir les clients ,ce ne sont que des intermédiaires censés faciliter les échanges ,à hurler de rire !</t>
  </si>
  <si>
    <t>adrien06-53652</t>
  </si>
  <si>
    <t xml:space="preserve">Entièrement satisfait depuis mon passage chez L'Olivier assurance depuis quelque mois. Je suis jeune permis et j'économise beaucoup chaque mois comparé à mon ancien assureur! </t>
  </si>
  <si>
    <t>mimi67-100922</t>
  </si>
  <si>
    <t>J'ai été très bien informée par Lamia concernant ma carte tiers payant.Très agréable et efficace.Attendons la suite....EN tous les cas pour le moment rien à redire.</t>
  </si>
  <si>
    <t>denis62-15406</t>
  </si>
  <si>
    <t xml:space="preserve">suite a un sinistre aucune nouvelle,aucune reponce a mes mail sur mon espace maaf,et quand vous les avez au telephone il ne save pas repondre a vos questions je sui degoutée de cette assurance c est scandaleu de ce foutre de ces client de sorte, j ai 5  assurances chez eu </t>
  </si>
  <si>
    <t>15/12/2016</t>
  </si>
  <si>
    <t>domi-70132</t>
  </si>
  <si>
    <t>Depuis que je suis à la retraite j'ai des problèmes récurrents avec la MGEN en ce qui concerne le calcul de ma cotisation. Tous les ans, on tient compte d'un montant de revenus complètement faux et exagéré pour calculer ma cotisation. J'ai beau faire le nécessaire, tous les ans ça revient. Est-ce un moyen pour faire fuir les retraités de la mutuelle? J'ai cotisé 37 ans lorsque j'étais active et n'avais pas ce problème.</t>
  </si>
  <si>
    <t>11/01/2019</t>
  </si>
  <si>
    <t>coat-d-138968</t>
  </si>
  <si>
    <t>Satisfait des renseignements du conseiller de plus très aimable, prix correct et facilité de souscription. Je conseillerais à mon entourage de souscrire auprès de l'Olivier assurance.</t>
  </si>
  <si>
    <t>04/11/2021</t>
  </si>
  <si>
    <t>dory74-69524</t>
  </si>
  <si>
    <t>Très satisfait de la simplicité et la rapidité pour changer d'assurance et recevoir ma nouvelle carte verte. Au départ je me suis tourner vers cette assurance pour le prix et il n'y a pas que ça de bien !</t>
  </si>
  <si>
    <t>18/12/2018</t>
  </si>
  <si>
    <t>angelo-c-116469</t>
  </si>
  <si>
    <t>Simple et pratique ,j'espère quand meme pouvoir bénéficier d'une baisse de mon assurance dans les meilleurs délais .
Je suis maintenant retraité depuis le 1er novembre 2020......</t>
  </si>
  <si>
    <t>celineebbo-96873</t>
  </si>
  <si>
    <t xml:space="preserve">Très professionnel dans leurs métiers, je recommande... j’ai eu un gros soucis de voiture et il était là tout au long de mon problème, il m’ont bien renseigné et bien guidé. </t>
  </si>
  <si>
    <t>31/08/2020</t>
  </si>
  <si>
    <t>noly-e-131328</t>
  </si>
  <si>
    <t>Je suis satisfait des tarifs les conseillers c'est au petit bonheur la chance certains sont très compétent d'autres servent à rien mis à part faire fuite vos clients.</t>
  </si>
  <si>
    <t>pe94-103875</t>
  </si>
  <si>
    <t xml:space="preserve">Tous contrats:
Efficaces pour séduire un nouveau client avec un prix attractif, mais des discussions interminables à chaque date anniversaire pour contester des hausses de tarif injustifiées.
Contrat habitation:
Suite sinistre habitation du à la sécheresse et constaté par exploit d'huissier, Allianz refuse d'ouvrir un dossier de sinistre, même provisoire, en attente de la publication du décret de classement catastrophe naturelle par la préfecture. Si le décret était publié, aucune possibilité d'indemnisation si les réparations ont déjà été effectuées, ce qui veut dire que, selon cette procédure inappropriée, on ne peut rien faire, on laisse les désordres s'aggraver et on fait passer un expert quand les murs se sont effondrés pour constater les désordres.
</t>
  </si>
  <si>
    <t>09/02/2021</t>
  </si>
  <si>
    <t>gauthier-l-112170</t>
  </si>
  <si>
    <t>Services très bon, conseillers compétents, mais remise sur de multiple contrats pas vraiment avantageuse malgré 2 contrats autos et un contrat maison.</t>
  </si>
  <si>
    <t>30/04/2021</t>
  </si>
  <si>
    <t>oliver-w-112643</t>
  </si>
  <si>
    <t>Très difficile à obtenir quelqu'un au téléphone quand j'ai besoin, juste un répondeur frustrant. Une simple chose qui ternie votre réputation. Je veux juste un relevé d'info pour une autre compagnie parce que vous n'assurez pas les camping cars! C'est votre faute, sinon j'aurais pris une autre contrat avec vous.</t>
  </si>
  <si>
    <t>04/05/2021</t>
  </si>
  <si>
    <t>nad-59049</t>
  </si>
  <si>
    <t>Assurance beaucoup trop chère, aucune reconnaissance de ses clients fidèles.
Nous avons 4 voitures d'assurees chez AXA, nos assurances habitations etc...
nous ne sommes pas reconnus. Nous passons par un courtier qui ne peut
pas agir nos avis sur les sommes demandées par AXA. Tous les ans nous sommes taxés même si Aucun sinistre n'a eu lieu dans l'année.</t>
  </si>
  <si>
    <t>23/11/2017</t>
  </si>
  <si>
    <t>frederic-o-116960</t>
  </si>
  <si>
    <t>Je suis satisfait de mon nouveau contrat mais je trouve dommage de devoir demander un nouveau contrat pour obtenir un tarif plus attractif (480 euros au lieu de 810 euros) pour la même voiture et les mêmes garanties.
Il faudrait revoir.</t>
  </si>
  <si>
    <t>caph-85582</t>
  </si>
  <si>
    <t>Cela fait 4 fois en une dizaine d'année que nous avons recours à la GMF pour remorquage de véhicules suite à des pannes et tout s'est bien passé</t>
  </si>
  <si>
    <t>07/01/2020</t>
  </si>
  <si>
    <t>aymen-a-129413</t>
  </si>
  <si>
    <t xml:space="preserve">Je suis satisfait de l'assurance AMV, tarif très compétitif, service client toujours joignable pour toute aide, plateforme en ligne très complète. Merci </t>
  </si>
  <si>
    <t>warren1208-71878</t>
  </si>
  <si>
    <t>UN SCANDALE FUIR. pas de service client 
Délais de traitrement de plus de 2 mois</t>
  </si>
  <si>
    <t>05/03/2019</t>
  </si>
  <si>
    <t>nora-58299</t>
  </si>
  <si>
    <t xml:space="preserve">Bonjour, Référence client :268719. Mon attestation d’assurance provisoire d’un Mois est terminé le 12/10/2017 :période laquelle j’ai fourni tout les papiers demandés avant l’ech D’un Mois. Je vous contacter par mail mais toujours pas de réponse et pas de carte verte ! Sur mon espace client tout les pièces sont reçu et validé. Merci de faire le nécessaire pour réglé mon problème. Cordialement
</t>
  </si>
  <si>
    <t>23/10/2017</t>
  </si>
  <si>
    <t>phil-60522</t>
  </si>
  <si>
    <t xml:space="preserve">Je viens de faire deux devis en ligne chez Eurofil pour assurer deux voitures actuellement assurées, un peu cher, à la MACSF: c'est vrai, les relances sont incessantes jusqu'à ce qu'on décroche; c'est vrai, les tarifs sont, disons-le, alléchants. Comparativement mon ancienne assurance  offre des prestations nettement plus "haut de gamme" (franchises, bris de glace, prêt de véhicule...).
Là, je me promène sur ce site et je ne vois que des mécontents, donc je vais réfléchir à deux fois (peut être même à trois) avant de quitter  la MACSF, qui, en 45 ans ne m'a jamais posé de problème, sinon celui d'être trop cher désormais pour mois.Il vaut mieux tenir que courir, je n'ai pas envie de me faire virer à 65 ans comme un malpropre, un beau matin, par mail, sans espoir à ce que je lis, de retrouver une bonne assurance. </t>
  </si>
  <si>
    <t>15/01/2018</t>
  </si>
  <si>
    <t>valerie--d-127532</t>
  </si>
  <si>
    <t xml:space="preserve">Je suis satisfaite de direct assurance, je suis déjà assuré chez vous pour ma voiture C4 ll je pense mettre mon assurance habitation chez vous des que possible merci d'avance </t>
  </si>
  <si>
    <t>11/08/2021</t>
  </si>
  <si>
    <t>jean-pierre-g-115170</t>
  </si>
  <si>
    <t xml:space="preserve">je suis satisfait de ma communication avec votre collaborateur, j'ai eut les renseignements que je souhaitais; les démarches des résiliation de ma précédente assurance seront effectués par vos services. Cordialement </t>
  </si>
  <si>
    <t>28/05/2021</t>
  </si>
  <si>
    <t>lucas56-87744</t>
  </si>
  <si>
    <t xml:space="preserve">Un scandale cette assurance. Je suis en tiers et je souhaite passer en tout risque. J'envoie donc des photos, qui sont refusées pour des "griffures" et un enfoncement de porte qu'ils sont les seuls à voir! Donc je me retrouve en tiers à cause d'incompétents n'ayant pour seule solution d'attendre la fin d'un an de contrat (interminable par ailleurs). Alors oui l'assurance n'est pas chère mais je déconseille à tout le monde de ne pas aller ici, au final vous perdrez énormément de temps et d'argent! </t>
  </si>
  <si>
    <t>28/02/2020</t>
  </si>
  <si>
    <t>ako-116770</t>
  </si>
  <si>
    <t xml:space="preserve">Bonjour
Je tiens à remercier sincèrement Emeline pour son accueil chaleureux au bout du fil (ce qui est très rare) et ses renseignements sur les remboursements. 
Merci bcp Emeline. </t>
  </si>
  <si>
    <t>liwmur-60181</t>
  </si>
  <si>
    <t>Si Vs n'avez besoin de rien souscrivez à la MATMUT.  C'est au client de faire avancer le dossier, de se débrouiller avec l'entreprise mandatée par leurs soins.</t>
  </si>
  <si>
    <t>04/01/2018</t>
  </si>
  <si>
    <t>etoile42-100031</t>
  </si>
  <si>
    <t xml:space="preserve">Bonjour, depuis un mois j’essaye de récupérer une partie d’une assurance vie pour solder un prêt. Je n’ai toujours pas mes sous. Je me fais balader entre la banque postale et la cnp. J’ai presque l’impression que ce n’est pas mes sous. Que faire? La banque postale ne me rappelle même plus et la cnp est impossible à joindre. </t>
  </si>
  <si>
    <t>12/11/2020</t>
  </si>
  <si>
    <t>damien-35261</t>
  </si>
  <si>
    <t>j'appelle pour un avoir un relevé d'info pour peut etre pour changer d'assurance, on m'annonce me faire une nouvelle offre pour éviter de changer d'asssurance. Je paie 40 euro actuellement, elle m'annonce 5% de remise ce qui fait ma mensualité a 42 euro donc plus cher donc étonnant, puis ensuite me refait une offre de 11% donc 41 euro, je lui explique que ma mensualité actuellement est de 40 euro je comprend pas et je lui demande pourquoi et bien soi disant on augmente toutes les tarifications donc ma mensualité devrait augmenter a 44 euro pas a cause de mon cas a moi, mais a cause du taux par rapport à la region, je trouve scandaleux que l'on subisse une augmentation sur un contrat conclu a une tarification précise, donc accident ou pas, augmentation du prix de l'assurance, et bien l'olivier assurance au revoir et je vous ne ferais pas de publicités, surtout que je n'ai eu aucun sinistre justifiant cette augmentation, quand d'autres assurances n'augmente pas ses prix pour ses clients sérieux!</t>
  </si>
  <si>
    <t>06/02/2020</t>
  </si>
  <si>
    <t>chriscaz-65792</t>
  </si>
  <si>
    <t xml:space="preserve">C'est simple je suis en ITT depuis le 5 mars pour une Leucémie Aigüe Lymphoblastique et aucun remboursement des mensualités de mon prêt n'ont été effectués. Avec les 90 jours de carences nous en sommes à 2 mois de retard et aucun moyen d'avoir de l'information. A noter que j'avais pris le prêt avec le crédit immobilier de Boursorama qui me répond qu'ils n'arrivent pas à les joindre.
</t>
  </si>
  <si>
    <t>26/07/2018</t>
  </si>
  <si>
    <t>franck-g-138036</t>
  </si>
  <si>
    <t xml:space="preserve">Super simple a utiliser je vous remercie l’assurance la moin chère du marcher pour quad ou moto je vous remercie cordialement gerard Franck d’Auvergne </t>
  </si>
  <si>
    <t>gresivaudan-37648</t>
  </si>
  <si>
    <t>Service en Agence (Grenoble) inexistant: pas de réponse aux emails, agent injoignable au téléphone, ne rappelle pas. Dégradation du service sur les dernières années (client depuis plus de 30 ans)</t>
  </si>
  <si>
    <t>13/09/2017</t>
  </si>
  <si>
    <t>01/09/2017</t>
  </si>
  <si>
    <t>lelievre-x-125410</t>
  </si>
  <si>
    <t>Satisfait du service et tarif correct, mais je trouve très dommage de ne pas pouvoir assurer immédiatement en touts risques une voiture en plaques provisoires</t>
  </si>
  <si>
    <t>olivier75-85905</t>
  </si>
  <si>
    <t>Consultant indépendant, suis chez eux depuis 15 ans.
3 J d'hospitalisation + 1 semaine d'arret de travail signé par l'hopital... C'était un bon test (je n'avais jamais encore été malade) car cela ne leur suffit pas, une tonne de formulaire à remplir + comptes rendus d'examens + ...  Cela m'a découragé et dégouté de leur avoir donné mon argent depuis 15 ans
Service client déplorable et antipathique en plus</t>
  </si>
  <si>
    <t>nekowa-64182</t>
  </si>
  <si>
    <t xml:space="preserve">J'ai souscris à cette assurance via demarchage telephonique, tout s'est fait tres rapidement on  se sent limite obligé de dire oui tellement ils nous harcelent , tout se fait par telephone je recois mon contrat par email , changeant d'avis j'utilise mon droit de retractation, ATTENTION premierement on m'indique que je ne peux le faire seulement que par recommandé donc on peut souscrire par telephone mais on DOIT resilier par courrier UNIQUEMENT. j'envoie donc le courrier j'appelle pour m'assurer de sa bonne reception et de mon remboursement de la totalité de la somme que j'avais versé , la conseillere m'informe que le remboursement devrait m'etre reversé dans la semaine , au bout de 2 semaines toujours rien , j'appelle donc une autre fois encore pour savoir de quoi il en retourne et la conseillere que j'ai m'informe que suite a une erreur de leurs part (pour prelever y a pas de retard par contre pour le remboursement y a  plus personne) le virement n'etait toujours pas parti et cerise sur le gateau on ne me rembourse qu'une partie de la somme (chose qu'on ne vous precise a aucun moment attention), je vous conseille de fuir comme la peste c'est limite de l'extorsion de fonds . Cordialement </t>
  </si>
  <si>
    <t>24/05/2018</t>
  </si>
  <si>
    <t>en-colere--114715</t>
  </si>
  <si>
    <t xml:space="preserve">Je note 0
Inadmissible 
Je téléphone pour ma maman admise en ehpad, très affaiblie, très  fatiguée 
Je souhaite juste de renseignements concernant si possible attestation de responsabilité civile et la personne au bout du fils me répond en boucle : pas possible de donner renseignement, c’est à ma maman de faire la demande 
Je veux juste savoir si cela se fait
Et en boucle , c’est la concernée qui doit téléphoner 
Maman a déjà 2 contrats habitation chez sogessur 
Inhumain cette réponse 
Des robots qui répondent 
En fait dès le départ j’aurais dû me faire passer pour ma maman 
C’est n’importe quoi 
Vraiment ZÉRO </t>
  </si>
  <si>
    <t>benjamin-91668</t>
  </si>
  <si>
    <t>Rapide et efficace, la demande d'avis en ligne est très simplifiée et permet de se projeter. Ainsi, c'est plus facile pour comparer les garanties avec d'autres prestataires.</t>
  </si>
  <si>
    <t>20/06/2020</t>
  </si>
  <si>
    <t>guidez-a-130751</t>
  </si>
  <si>
    <t xml:space="preserve">Je suis très satisfait, la GMF et  à l'écoute, professionnel et réactif. Bonne prise en charge. Je conseil cette compagnie d'assurance et j'en suis très satisfait.
</t>
  </si>
  <si>
    <t>david-a-112851</t>
  </si>
  <si>
    <t>Je suis satisfait du service très bien je recommande a tout le monde compagnie d’assurance qui comprend très bien les besoins des motards !!!!!!!!!!!!</t>
  </si>
  <si>
    <t>06/05/2021</t>
  </si>
  <si>
    <t>stou-134240</t>
  </si>
  <si>
    <t>depuis le mois de Mai, je vis ce que je juge être un drame avec AXA chez qui j'ai plusieurs assurances. En effet, mon véhicule a été vandalisé dans le sud de la France alors que j'étais en déplacement. Suite à quoi j'ai tout déclaré dans les temps et envoyé ma plainte à AXA, et cela arriva en date du 16 Mai. Cependant, il n'y a eu expertise que le 19 mai. Puis , après plusieurs relances, un avis d'expert a été déposé le 15 juin. Cependant, contrairement à ce que mon contrat stipulait, je n'ai pas eu de véhicule de remplacement et continuais à régler les frais inhérents à un véhicule qui semble être une épave de ce que l'expert m'aurait dit. J'ai dû donc entre-temps m'acheter un véhicule d'appoint avec une assurance supplémentaire, et cela à mes frais en plus des mensualités du leasing et de l'assurance.
 L'explication à cela serait qu'une enquête a été ouverte sur moi et que le dossier serait bloqué par le service étude et prévention, alors ils reviendraient vers moi le moment venu. J'ai même reçu un inspecteur au mois de juillet qui m'a expliqué que l'assurance s'inquiétait sur une éventuelle fraude , d'où l'enquête et que pour lui tout était bon alors le dossier devrait suivre son cours. Il serait opportun de notifier que le véhicule a été accidenté en janvier suite au prêt de celui-ci à une personne qui aurait aussi été auditionné par l'inspecteur. Cependant , malgré toutes les pièces fournies et ma bonne foi, toujours pas de retour. 
C'est alors que je me retourne vers mon assistance juridique (JURIDICA) dans l'espoir de faire avancer les choses. La première fois, ils me disent que je ne peux rien faire avant un délai de 3 mois et que l'assurance est dans son droit. Au bout de 3 mois, ME CONSEILLENT de faire un courrier recommandé en citant un article du code des assurances, disant que l'assureur serait dans l'obligation de m'indemniser passé ce délai. Ce à quoi AXA répond que cela n'est valable que dans le cadre des catastrophes naturelles, et qu'ils ne sont tenus par aucun délai dans mon cas, ils reviendraient vers moi. Je me retourne de nouveau vers JURIDICA en leur donnant cette réponse , et là surprise, je suis informé que l'entité faisant partie du groupe AXA, il y aurait conflit d'intérêt et que j'ai le droit de me faire assister d'un avocat, à la charge de JURIDICA selon mon contrat. 
Chose que dans le doute j'avais déjà faite , et l'avocat m'a plutôt guidé plutôt vers une saisine de médiateur avant une mise en demeure. Juridica m'a informé au final que je devrais avoir une réponse au plus tard le 20 septembre, mais une fois en ligne, on dit me recontacter, et plus de nouvelles. Au passage la consultation de l'avocat ne rentre pas en compte dans leur remboursement finalement non plus. 
bientôt 5 mois que ça dure et je trouve cela abusé</t>
  </si>
  <si>
    <t>24/09/2021</t>
  </si>
  <si>
    <t>rvm-64713</t>
  </si>
  <si>
    <t>Démarchage au forcing "une anomalie a été détectée sur vos remboursements santé", soi-disant de la part de la mutualité française. De plus sur liste rouge. Qui vous a vendu mon n° de téléphone? 2ème appel, signalé à Bloctel.</t>
  </si>
  <si>
    <t>jean-michel-123270</t>
  </si>
  <si>
    <t>Malgré ma demande réitérée plusieurs fois lors de la modification de mon contrat, suite changement de véhicule, d'être bien informée de tout prélèvement en amont afin de ne pas être en découvert j'ai découvert le prélèvement sur mon relevé de compte sans en avoir été informée.</t>
  </si>
  <si>
    <t>galador-63171</t>
  </si>
  <si>
    <t>Bonjour, les informations d'Emilie ont été très claires et très rapides. Donc je suis tout à fait satisfait de sa prestation. Avec mes meilleurs sentiments, François Prêcheur, adhérent 502456</t>
  </si>
  <si>
    <t>isa-78319</t>
  </si>
  <si>
    <t>Payer PAYER. Je reste il chercher des petite bête. Après un AT j ai voulu reprendre 2 fois le travail. Et eu  ça leur plait pas il essaie de m endormir. Moi j ai pris un rdv avec un juriste pour que l ont expliqué clairement les choses .</t>
  </si>
  <si>
    <t>Crédit Mutuel</t>
  </si>
  <si>
    <t>09/08/2019</t>
  </si>
  <si>
    <t>tim-61135</t>
  </si>
  <si>
    <t xml:space="preserve">je rejoint la grande famille des decu des assurance cardif je suis passer invalidite 2 categorie le 1 11 2016 et fait une demande de prise en charge de mon  invalidite il m on repondu oui mais il m on pris en maladie aux lieux d invalidite pendant 12 mois courier de leur par comme quoi il arrete indemniser car je n ai etait pas en invalidite permanente totale de se faite j ai demander a passer une expertise avec leur medecin lui ma reconnu mes pour eu se n ai pas encore suffisant  il faut etre itpa alors je me demande encore de qui se moque ton </t>
  </si>
  <si>
    <t>05/02/2018</t>
  </si>
  <si>
    <t>lopes-c-135030</t>
  </si>
  <si>
    <t>Les prix sont très intéressants, reste à voir la qualité du service. Pour une voiture qui roule peu ou en fin de vie le minimum d'assurance est très intéressant.</t>
  </si>
  <si>
    <t>monlouis-a-125599</t>
  </si>
  <si>
    <t>Acompte difficile à accepter lorsque nous sommes déjà client.
Cela est parfois difficile à financer. Revoir cette partie. ok pour nouveau client..sinon super contact conseiller</t>
  </si>
  <si>
    <t>30/07/2021</t>
  </si>
  <si>
    <t>patdu06-70352</t>
  </si>
  <si>
    <t>Suite à un dégât des eaux chez moi, le rapport de l'expert a été envoyé le 27 décembre 2018. Depuis aucune nouvelle de SOGESSUR Habitation. Et aucun moyen de les contacter au 09 69 327 326 : un répondeur qui affirme que tous leurs conseillers sont occupés ! Et ce depuis des jours ! C'est une honte !!! Et visiblement, à en lire certains commentaires sur cette assurance, je ne suis pas le seul !</t>
  </si>
  <si>
    <t>18/01/2019</t>
  </si>
  <si>
    <t>riko-66235</t>
  </si>
  <si>
    <t>Frigo hs par la foudre, je préviens mon assurance qui ok n'hésite pas d'acheter un frigo, j'achète sur cdiscoun et , et plus tard on m'envoie des papiers à faire remplir par le vendeur pour que celui-ci remplice un constat pour l'origine de la panne???? Comment déjà envoyé le vieux frigo à cdiscoun ?? Allianz et je suis chez eux depuis au moins 15 ans et une tele avait été changée, en 15 ans.</t>
  </si>
  <si>
    <t>17/08/2018</t>
  </si>
  <si>
    <t>hubuche-137460</t>
  </si>
  <si>
    <t xml:space="preserve">1 étoile car je ne peux pas mettre ZERO!!!
Souscripteur depuis plus de 30 ans à cette assurance et ayant eu jusqu'à 9 contrats simultanés chez eux j'ai décidé de les fuir.
Suite à l'achat d'un nouveau véhicule ces derniers m'ont fais 3 devis différents en l'espace d'1 mois entre le premier contact et mon choix définitif, forcément le plus cher en dernier: delta 250€00 annuel. Malgré ma demande d'explication et courrier mail aucune explication digne de ce nom n'est apportée pour justifier les écarts entre les devis.
Pris par le temps je décide de le valider malgré tout, et je m'aperçois que ce véhicule a été assuré à la place de mon second véhicule!!! donc second sans assurance!!
Après de nombreux coup de tel un conseiller consent enfin à écouter ma problématique et assure ce second véhicule au nom de mon fils mineur MDR à un prix exorbitant!
Je rechange donc mon assurance pour la remettre comme au départ.
Devant le manque de considération de cette boite pour ces clients je décide de résilier mon assurance chez eux et là cerise sur le gâteau ces derniers m'annonce que cette résiliation est impossible motif le contrat n'a pas 1 an pour info il était assurer chez eux depuis 2 ans !!! explication pas le même numéro de contrat
Bref CHAMPION DU MONDE LA MATMUT
Les temps sont ils trop compliqués pour endormir vos clients de cette manière?
Bref fuyez les si vous ne souhaitez pas de soucis après plus de 30 ans à payer mensuellement les factures.   
</t>
  </si>
  <si>
    <t>14/10/2021</t>
  </si>
  <si>
    <t>vala-75265</t>
  </si>
  <si>
    <t>Refu d'indemniser vehicule assuré tous risques sous prétexte d'une fausse déclaration. Une contrexpertise a eu lieu Axa refuse d'en tenir compte. 
Client depuis 20 ans</t>
  </si>
  <si>
    <t>20/04/2019</t>
  </si>
  <si>
    <t>christian-h-109445</t>
  </si>
  <si>
    <t>Je réalise et accepte un devis tout risques à 274,75 et lors du paiement celui ci passe à 312€. Comme la première mensualité est payé via carte bancaire
impossible de connaître le pourquoi d'un tel écart !</t>
  </si>
  <si>
    <t>md-75058</t>
  </si>
  <si>
    <t>assuré plusieurs années sans accident, réduction 50%++++, pour  2 voitures
Puis  2 accidents en 3 ans et contrat résilié sans avertissement!!!!!!
Prix corrects mais il ne faut pas avoir d'accident</t>
  </si>
  <si>
    <t>14/04/2019</t>
  </si>
  <si>
    <t>jean-paul-t-108921</t>
  </si>
  <si>
    <t>TOUT EST CORRECT
Pour les contacts directs au téléphone, bonne réception et conseillère très aimable, rapide et compétente
Prix concurrentiel bien qu'encore un peu élevés</t>
  </si>
  <si>
    <t>02/04/2021</t>
  </si>
  <si>
    <t>diguiz44-80968</t>
  </si>
  <si>
    <t>Bonne expérience client globale pour ce premier contrat avec l'Olivier pour la partie du suivi commercial. C'est avis est pour le moment incomplet puisque je n'ai pas encore eu de sinistre nécessitant l'intervention de l'Olivier. Et j'espère ne pas en avoir besoin prochainement... Mais le cas échéant j'espère qu'ils seront au rdv d'investissement d'énergie, que leur dépense actuelle dans leur expérience client.</t>
  </si>
  <si>
    <t>13/11/2019</t>
  </si>
  <si>
    <t>joey-56414</t>
  </si>
  <si>
    <t xml:space="preserve">je suis assuré chez Direct Assurance depuis plus de 4 ans. Je reçois récemment mon Avis d'Echéance à 1500 eur/an pour un Scenic. Trouvant la facture élevée, je décide de faire jouer la concurrence sur lelynx.fr en y inscrivant exactement les mêmes critères... A ma grande surprise je reçois un devis de Direct Assurance à 870 eur / an pour le même véhicule avec les mêmes prestations et garanties !! J'appelle le service client pour demander des explications. Le 1er me ment sans scrupule "pas le même véhicule", "pas de 2nd conducteur"... tout est faux, mais le gars ne se démonte pas... 2 jours plus tard je reçois l'appel d'un responsable, qui me dit "oui il y a un pb informatique, je remonte à ma direction... notre sens du service client... blablabla....". Bref toujours rien, par contre ils me prélèvent bien 128 eur/mois et toujours aucune explication qui justifie l'écart du simple au double presque ! ... Je conseille à tous les assurés de DA de faire un nouveau devis ! Vous risquez d'être surpris ! En résumé fuyez !! </t>
  </si>
  <si>
    <t>tahar-g-121234</t>
  </si>
  <si>
    <t xml:space="preserve">je suis satisfait du service du suivi et des prix et de la qualité des intervenants et de leur professionnalisme , je recommande ce service à tous les emprunteurs </t>
  </si>
  <si>
    <t>souky01-77014</t>
  </si>
  <si>
    <t>Je ne suis pas contente. De cette assurance,jai 2 remboursemt en cours,ils disent vous rembourser en 72h mais moi au bout d'une semaine je n'ai toujours rien reçue, j'ai également fait une demande de remboursement il y a 6mois et aucune nouvelle. Finalement les commerciaux vous vendent du rêve...je compte résilier et en choisir une autre</t>
  </si>
  <si>
    <t>demaria-j-123026</t>
  </si>
  <si>
    <t xml:space="preserve">site intuitif et simple d'utilisation . prix correct . je recommande pour le moment cette assurance , nous verrons au bout de 1 ans si les prix reste les mêmes . </t>
  </si>
  <si>
    <t>stephanie-d-123789</t>
  </si>
  <si>
    <t>A chaque demande, GMF réagit rapidement, les agents sont très aimables et m'ont toujours bien conseillé et accompagné. 
A plusieurs reprises, habitation ou auto, tout s'est bien passé.</t>
  </si>
  <si>
    <t>titi-97730</t>
  </si>
  <si>
    <t xml:space="preserve">le problème d axa c est qu' ils ne comprennent pas le Français ils ne savent pas ce que veut dire résiliation, ca fait un an que je leur explique mais c'est trop compliqué pour eux. </t>
  </si>
  <si>
    <t>23/09/2020</t>
  </si>
  <si>
    <t>rex-81416</t>
  </si>
  <si>
    <t>cette assurance ne prend pas en compte les sinistres même avec un tiers reconnu . aucun remboursement</t>
  </si>
  <si>
    <t>28/11/2019</t>
  </si>
  <si>
    <t>vanessa-l-107178</t>
  </si>
  <si>
    <t>Les prix sont attractifs. Pas encore eu de sinistre, donc difficile de juger le service, mais les prix sont très concurrentiels et il est très facile d'adhérer.</t>
  </si>
  <si>
    <t>mich54-107430</t>
  </si>
  <si>
    <t>J'ai acheté un véhicule par macif avantages qui a comme prestataire: Club auto. Cet organisme est une catastrophe (il serait trop de lister les problèmes rencontrés).
Macif avantages se désengage complétement des problèmes rencontrés en nous renvoyant vers ce prestataire, ce qui n'est pas normal. Quand on s'associe avec un prestataire on doit s'assurer qu'il est fiable. Je suis extrêmement déçu par le comportement de la macif !!
Fuyez Macif avantages !! Que des problèmes !!</t>
  </si>
  <si>
    <t>jeanmaire-quinto-t-123683</t>
  </si>
  <si>
    <t>Un peu chères tout de même pour une voiture vieille de 12 ans, certes un malus y est ajouté mais le prix sans malus est tout aussi cher. Pas beaucoup de reconnaissance même après un an de contrat chez eux</t>
  </si>
  <si>
    <t>17/07/2021</t>
  </si>
  <si>
    <t>blanchard-f-116275</t>
  </si>
  <si>
    <t xml:space="preserve">Je suis satisfait du contrat mais reste un peu cher. Les renseignements demandés par téléphone sont bien expliqués. Le temps d'attente au téléphone est assez court.
</t>
  </si>
  <si>
    <t>07/06/2021</t>
  </si>
  <si>
    <t>tfsdofsd-50308</t>
  </si>
  <si>
    <t>La GMF est une assurance chère de piètre qualité. Ils ne sont pas capable de répondre à leur client rapidement pour de simples attestations. Pire, il est parfois obligé de poser un jour de congés pour pouvoir prendre rendez-vous afin de régler de simples situations. En un mot : FUYEZ !!</t>
  </si>
  <si>
    <t>has-100088</t>
  </si>
  <si>
    <t>J'ai eu un problème de fuite d'eau chez moi, ça a fait des dégâts chez la voisine d'en dessous. GMF n'a même pas voulu prendre en charge gratuitement la recherche de fuite, fallait payer 280 euros pour cela. Et puis, ils ne prennent pas non plus en charge la réparation de la fuite. En cas de réparation par eux, la conseillère a dit que ça me coûtera une franchise de 350 euros. Et le pire, j'ai ouvert un sinistre en ligne sur leur site, et quelqu'un de chez eux a clos mon sinistre sans même me parler, car ils sont tombés sur mon répondeur. Je déconseille GMF, c'est ma 4ème année avec eux mais je vais résilier dès que possible, le temps de trouver une autre assurance plus correcte. En plus, ils sont pas si compétitifs que ça côté tarif. Sans compter l'agressivité de la conseillère sinistre que j'ai eu au téléphone.</t>
  </si>
  <si>
    <t>13/11/2020</t>
  </si>
  <si>
    <t>orchidee20-99049</t>
  </si>
  <si>
    <t>Assureur à fuir!! 
Service client inexistant et pratiques commerciales non conformes (montant du contrat différent de celui du devis approuvé)
On vous demande ensuite de payer une cotisation alors que vous n’avez jamais signé de contrat ...</t>
  </si>
  <si>
    <t>21/10/2020</t>
  </si>
  <si>
    <t>yaup-62733</t>
  </si>
  <si>
    <t>Si vous pouvez fuyez cette assureur qui ne compte que sur sa profitabilite financieré. En aucun cas tourné sur la satisfaction.Peux vous exclure à tout moment non pas à cause de un accident mais parce que vous ne devenez plus un client rentable</t>
  </si>
  <si>
    <t>27/03/2018</t>
  </si>
  <si>
    <t>freddy-t-107611</t>
  </si>
  <si>
    <t>je suis assez satisfait du service, les tarifs sont peut etre un peu trop elevées au vu de la voiture utilisée ,. N'etant assuré qu'azu tiers maxi et habitant une ville moyenne</t>
  </si>
  <si>
    <t>dbr59-98672</t>
  </si>
  <si>
    <t>pour le prix une étoile c'est suffisant  la satisfaction une étoile reflète la froideur des réponses au téléphone. de meme pour le bureau de douai qui n'est pas arrivé à entrer en communication pour traiter ce deuxième sinistre. Bilan, j' ai changé d' assurance.</t>
  </si>
  <si>
    <t>12/10/2020</t>
  </si>
  <si>
    <t>karine-85346</t>
  </si>
  <si>
    <t>pour un degat des eaux survenu en Mars ,apres beaucoup de polemique,indemnisations fin Novembre! leur expert qui se deplace au bout d'1 mois !pas de suivit !je me suis battu contre des murs!</t>
  </si>
  <si>
    <t>30/12/2019</t>
  </si>
  <si>
    <t>carole-79140</t>
  </si>
  <si>
    <t>Bonjour depuis 35 ans à la MGP à ce jour je suis en longue maladie je galère pour avoir mon complément de salaire on me demande sans arrêt des documents je téléphone on me balade à chaque fois je vais devoir prendre une décision car ils ne sont pas du tout à l'écoute à ce jour mon couple déprime</t>
  </si>
  <si>
    <t>12/09/2019</t>
  </si>
  <si>
    <t>toufik-s-105018</t>
  </si>
  <si>
    <t>pas satisfait du suivi de mon dossier, 
-plusieurs rappels de la situation faite
-renseignement transmis erronés puis corrigés par d'autre interlocuteur
-données inexactes incomplètes de mon dossier malgré plusieurs entretiens pour correction...</t>
  </si>
  <si>
    <t>touitou-a-132132</t>
  </si>
  <si>
    <t>Je suis satisfait du service et les prix me conviennent.
Agents disponibles rapidement, à l écoute et connaissant leur métier ;
Espace personnel clair et les explications sont simples et compréhensives.</t>
  </si>
  <si>
    <t>attef--n-124448</t>
  </si>
  <si>
    <t xml:space="preserve">A voir sur le long terme lors des gestions des sinistres : réactivité, satisfaction personnelle , délais, intégrité, respect ces clients, gestes commerciaux </t>
  </si>
  <si>
    <t>molim59-88645</t>
  </si>
  <si>
    <t>Lorsque tout va bien MATMUT est bon assureur ,tant que c 'est vous qui payer, assuré depuis plus de 10 ans avec bonus 65% ,1 er sinistre il n 'y a plus personne pour vous indemniser.à fuir</t>
  </si>
  <si>
    <t>02/04/2020</t>
  </si>
  <si>
    <t>01/04/2020</t>
  </si>
  <si>
    <t>totophe40-103395</t>
  </si>
  <si>
    <t xml:space="preserve">Je viens de recevoir un recommandé aujourd'hui de mon assurance l Olivier assurance je cite le motif de la résiliation :
Inadéquation du risque au regard de la politique d acceptation de l entreprise  
J ai de suite pris contact téléphonique.avec eux et la c est lourd très lourd ils ne peuvent pas me donner une raison valable je précise que je suis assuré chez eux depuis 2 ans sans aucun sinistre la ou je suis très inquiet c est le relevé  d information que j aurai début avril pour aller chercher une autre compagnie après des recherches je serais  sur liste noire car ils me.proposent d aller m assurer chez leur partenaire assurPeople chose que je ne vais pas le faire bien entendu j ai eu comme réponse vous avez le droit de résilier à tout moment avec la loi chatel et de notre côté nous aussi franchement nous vivons une époque vraiment bizarre voila mon coup de gueule je n ai plus envie de batailler avec eux pas de lettre de réclamation rien de rien 
</t>
  </si>
  <si>
    <t>28/01/2021</t>
  </si>
  <si>
    <t>geraldine-b-108719</t>
  </si>
  <si>
    <t>Simple pratique. Très bien optimisé, très bonne force de vente et conseils.
Disponible à l'écoute. Je suis satisfaite et je recommande. Très bon rapport qualité prix aussi.</t>
  </si>
  <si>
    <t>angy17-65259</t>
  </si>
  <si>
    <t xml:space="preserve">Véhicule volé assurance tout risques 8 mois après ça traîne en longueur. La gestion des dossiers est désastreuse de la bouche même de leurs experts.....un comble </t>
  </si>
  <si>
    <t>04/07/2018</t>
  </si>
  <si>
    <t>yacar-71217</t>
  </si>
  <si>
    <t>N'a pas réussi à mettre en place la télétransmission avec la Cpam depuis 11 mois 
J'ai donc résilié</t>
  </si>
  <si>
    <t>24/03/2020</t>
  </si>
  <si>
    <t>01/03/2020</t>
  </si>
  <si>
    <t>adrie0507-61443</t>
  </si>
  <si>
    <t>Sinistre du à la tempête chez moi. 1 mois et demi d'attente après passage d'un ouvrier pour refuser le devis ...  sans me le dire bien sur. Appel d'un expert pour fixer un rdv à 1 mois plus tard ... au final ca va prendre 6 mois tout ca pour changer un portail !!!! une honte ! au final quitte à avoir une assurance qui paie pas autant prendre une assu en ligne pas chère.</t>
  </si>
  <si>
    <t>14/02/2018</t>
  </si>
  <si>
    <t>bilal-a-130423</t>
  </si>
  <si>
    <t>Je suis satisfait des services et je recommande à mes amis et à ma famille j’ai une assurance habitation et j’ai pris l’assurance automobile pour ma voiture avec une offre attractive.</t>
  </si>
  <si>
    <t>fuz-102054</t>
  </si>
  <si>
    <t xml:space="preserve">Bonjour,
Je suis étonnée de lire des commentaires aussi négatifs sur April car pour ce qui me concerne je suis assurée par cette mutuelle depuis 2020 et pour une senior bientôt octogénaire je trouve que  les couvertures ont un bon rapport qualité/prix par rapport à ma précédente mutuelle.
Avec la transmission par la SS pas de problème de remboursement. 
Et au niveau dentaire je leur ai soumis en 2020, 2 devis auxquels ils ont répondu de suite ( in fine j’ai pris s’agissant  de dents du fond le sans reste a charge).
L’augmentation 2021 est raisonnable.
Donc satisfaction à ce jour.
Cordialement </t>
  </si>
  <si>
    <t>31/12/2020</t>
  </si>
  <si>
    <t>gege-100015</t>
  </si>
  <si>
    <t>Lamia a su répondre efficacement à ma demande pour transmettre une demande de prise en charge que je n'arrivais pas à faire sur le site.
Trés à l'écoute et j'ai pu envoyer ma demande via le site.
Juste un petit bémol , quand on appel le délai d'attente est parfois trés log.
Mais en ce qui concerne Lamia rien à redire. Juste parfaite.
Merci à elle.</t>
  </si>
  <si>
    <t>jhalley-87579</t>
  </si>
  <si>
    <t>Assurance habitation résiliée par la MAAF pour fréquence de sinistres... A savoir que j'en ai eu qu'un seul en 2019... Il est à noter que j'ai demandé à ma protection juridique prise également chez la MAAF d'intervenir pour un problème avec mon bailleur. La 1ère fois ils ont refusé car la PJ était souscrite après le commencement des problèmes. La 2ème fois il PJ a accepté mais n'a absolument rien fait d'ailleurs je n'ai plus jamais eu de nouvelles. Visiblement à en croire ma conseillère, les demandes auprès de la PJ sont considérées comme des sinistres... non mais on marche sur la tête!!! Je suis chez eux depuis des années et ils ont tous mes contrats. Aucun défaut de paiement rien. En gros vous ne pouvez pas avoir un sinistre et besoin de votre PJ pour tout autre chose sino vous êtes virés sur le champ. Je dis bravo la MAAF car ce n'est pas un contrat qu'ils vont perdre mais la totalité.</t>
  </si>
  <si>
    <t>28/06/2021</t>
  </si>
  <si>
    <t>xray-82168</t>
  </si>
  <si>
    <t xml:space="preserve">assurance transport A/R sur corsica ferry toulon trapani. Accident survenu sur place 2 jours après notre arrivée. Retour impératif à nos frais. L'assurance prise couvre seulement si l'annulation s'effectue AVANT le départ. On est déçu, car nous avions contracté cette assurance pour être couverts pour ce type de problèmes.
Nos placements financiers vont migrer vers d'autres compagnies... </t>
  </si>
  <si>
    <t>21/12/2019</t>
  </si>
  <si>
    <t>kiki86-70188</t>
  </si>
  <si>
    <t>1 mois pour traiter une demande de rachat, qui du coup n'a pas été traitée sur l'année fiscale demandée, sans que personne ne prenne le soin de me prévenir et me fait perdre mon abattement fiscal. Très mécontente pour mon premier rachat !</t>
  </si>
  <si>
    <t>13/01/2019</t>
  </si>
  <si>
    <t>alex-106573</t>
  </si>
  <si>
    <t xml:space="preserve">Une vraie assurance.
Le tarif paraît parfois plus élevé qu'ailleurs, mais tout est inclus dès le début. Du coup je suis vraiment assuré  et pas de mauvaise surprise en cas de problème. 
Pour exemple, j'ai fait une petite chute presque à l'arrêt sans gravité, mais en basculant sur le côté j'ai tapé la tête par terre. Pas d'hésitation, la mutuelle  m'a immédiatement remboursé le casque (Shoei à 500€!) pour que je reparte bien protégé. Financièrement, c'est un très bon retour sur investissement. </t>
  </si>
  <si>
    <t>jag34-77229</t>
  </si>
  <si>
    <t>J'ai été résilié au bout d'un an car je n'avais pas transmis tous les documents (après donc 12 belles mensualités bien encaissées), j'ai souhaité pouvoir résilier moi même à la date d'anniversaire aux vues de leurs tarifs prohibitifs mais ils ont refusé, préférant me soumettre aux complications futures de ré assurance suite à une résiliation de leur part. Comportement complètement anti commercial et très compliqué pour moi derrière de me ré assurer, je ne recommande absolument pas ce genre de société qui plus est injoignable.</t>
  </si>
  <si>
    <t>30/06/2019</t>
  </si>
  <si>
    <t>sylvere-a-114681</t>
  </si>
  <si>
    <t xml:space="preserve">Je suis satisfait pour l'instant merci j'espère que les prix seront plus bas selon les années précédente, voilà je vous remerci cordialement Mr sylvere </t>
  </si>
  <si>
    <t>24/05/2021</t>
  </si>
  <si>
    <t>guillian-t-129295</t>
  </si>
  <si>
    <t>Un peu compliqué, les prix et les devis sont parfois trop différent d'un cas a l'autre , certains conseillers prennent des libertés quant aux critères du devis, ce qui parfois peut être une source d’éventuels problèmes.</t>
  </si>
  <si>
    <t>vincent-m-124437</t>
  </si>
  <si>
    <t>je suis jeune permis donc un peu cher mais cela convient.. après par le futur j'aurais peut être le droit a des bonus ?!
en esperent pouvoir bien m'arranger avec direct assurance a l'avenir</t>
  </si>
  <si>
    <t>iuu-127820</t>
  </si>
  <si>
    <t>Pardon,le mail m'a échappé avant que j'aie terminé. Je voulais remercier Emeline pour sa disponibilité,son efficacité,son amabilité.Mon problème traînait depuis 2 mois Il a été résolu en à peine 5 minutes.h
Cordialement
Nicole GARO</t>
  </si>
  <si>
    <t>13/08/2021</t>
  </si>
  <si>
    <t>chake--103038</t>
  </si>
  <si>
    <t xml:space="preserve">Les conseillers clientèle sont très efficaces mais les Remboursements sont dérisoires sur l’optique et le dentaire, notamment pour les enfants malgré une demande de prise en charge optimale. </t>
  </si>
  <si>
    <t>21/01/2021</t>
  </si>
  <si>
    <t>scotto-di-carlo-c-125591</t>
  </si>
  <si>
    <t>Pour le moment je suis satisfaite mais je viens à peine de débuter le contrat 
J'ai le véhicule depuis 2 jours
Je pourrai mettre une note plus "juste" au regard de mon expérience dans quelques mois plutôt</t>
  </si>
  <si>
    <t>gulsum-k-124424</t>
  </si>
  <si>
    <t xml:space="preserve">satisfaite du service et de la rapidité des démarches.. la conseillère que j'ai eu au téléphone était agréable et à l'écoute. le site est également facile à utiliser </t>
  </si>
  <si>
    <t>aviso-102480</t>
  </si>
  <si>
    <t xml:space="preserve">La note moyenne en dit long sur cet assureur. 
A quoi servent les bonus s'il faut augmenter les prix chaque année. 
Très nulle niveau service. 45 min d'attente chaque fois qu' on cherche à les joindre. Et au final, des informations pas toujours fiables.
Incompréhensible comment cette assurance peut inscrire dans votre relevé d'information un sinistre responsable alors qu' elle n'a jamais été contactée par l'assurance inverse et engagée aucun frais d'indemnisation. 
Bref je ne la recommanderai jamais... et alors à  grand jamais. </t>
  </si>
  <si>
    <t>guigui-129616</t>
  </si>
  <si>
    <t>J'ai eu un accident la semaine dernière et ai été opérée. J'ai contacté ma mutuelle Génération cette semaine, ils ont fait immédiatement le nécessaire pour prise en charge car je suis immobilisée. L'aide arrive dès la semaine prochaine.</t>
  </si>
  <si>
    <t>gulfoss-75500</t>
  </si>
  <si>
    <t>Ma demande de portabilité un mois après mon licenciement n'est toujours pas traitée alors que j'ai envoyé tous les documents demandés 3 jours après mon licenciement ! Aujourd'hui je suis tout simplement sans aucune couverture ! A moi de payer mes frais se santé. Le service client est incapable de m'informer et me propose d'être rappelée sous 48h par le service compétent à me dire ce qui se passe avec demande de portabilité (?). Hallucinant. Très déçue je ne recommande pas.</t>
  </si>
  <si>
    <t>30/04/2019</t>
  </si>
  <si>
    <t>etienne-100209</t>
  </si>
  <si>
    <t xml:space="preserve">j ai envoyé par mail avec accuse de réception  et de lecture  le 5 octobre 2020 pour le remboursement  vaccin de mon chien  au depart il me dissent qu'il n' ont rien recu  mais quand je l ai dit  que je l ai envoye en recommande et accuse de le lecture comme par hasard il le retrouve dans les indésirables et la devine  quoi? il me dise qu 'il ont que le feuille de soins et pas la facture et dis dit pas possible j ai le mails devant les yeux mais comme je suis gentil je renvois la facture et je rappelle pour savoir si la tous est bon. il me dise de rappeler demain  je leur dit que c est a eux de le faire .il disent c est pas possible et moi je leur que si il me rapelle pas le moi prochain je fait opposition .elle me menace et elle me raccroche a nez. c est inadmissibles .je ne pas en restait la croyez moi. il ont tous interet de me rappeler et me rembourser les soins et je vais recherchez ailleurs. ha quand  il ont une promo il appelle  mais la rien que dalle faite tres attention a cet assurance. je vais surement laisser passer le paiement de decembre mais  si il ont rien fait d 'ici la je fait opposition aux prelevement et comme le dit que les huissier vienne j ai tous les documents et en plus mon conseil juridique  et prévenue et il deja mis un avocat a ma disposition et ce me coute 0 euro. il se croit tous permis .mais moi je suis pas un guignol.
</t>
  </si>
  <si>
    <t>17/11/2020</t>
  </si>
  <si>
    <t>larissa-d-128763</t>
  </si>
  <si>
    <t>Je viens tous juste de souscrire donc attend de voir pour la suite.pour les prix je les trouve un peu chère, autrement devis fait rapidement ,maintenant j attend de voir si je vais bien recevoir les attestations.</t>
  </si>
  <si>
    <t>20/08/2021</t>
  </si>
  <si>
    <t>cece5913-50523</t>
  </si>
  <si>
    <t>Je recois un recois un courrier qui me dit félicitation vous avez un bonus . est l'échéance à augmentée je paie 10 euro 
plus chère que l'année précédente ...
Hors sur d'autre assurance dès personnes que je connais paie moins chère l'assurance. 
Je souhaite partir et trouver mieux ailleurs car je suis decu</t>
  </si>
  <si>
    <t>20/12/2016</t>
  </si>
  <si>
    <t>pkr281-40946</t>
  </si>
  <si>
    <t>Bonjour,
Il y à un an je postai déjà pour cet assureur, suite à ce post j'avais pu obtenir une remise de prix suite à une hausse excessive de la cotisation.
Aujourd'hui je change de véhicule et j'ai donc demandé un devis sur leur site, là incompréhension on me dit que je ne réponds pas à leur critères, j'envoie un message et on me dit que comme tout contrat les leurs sont soumis à des règles d'acceptation, sans me dire quelles sont elles, et à part le fait d'avoir voulu négocier mon tarif, je n'ai eu aucun sinistre aucun problème.
Pour résilier contrairement à d'autres assureurs, il est impossible de le faire en ligne (par contre pour payer ça ça marche) il faut envoyer un recommandé, du coup je change d'assurance et là il me faut un relevé d'information, impossible de l'obtenir en ligne non plus, il faut téléphoner, c'est honteux.
Ci-dessous les réponses bateaux reçues de leur part.
"Vous m'informez de la restitution de votre véhicule BMW X4, et vous nous interrogez concernant la procédure de résiliation.
Nous regrettons de ne pouvoir vous proposer un contrat adapté pour votre véhicule de remplacement.
Par ailleurs, votre demande doit être envoyée par lettre recommandée (postale ou électronique via le site de La Poste) accompagnée d'une copie du certificat de cession à l'adresse suivante :
Direct Assurance - TSA 21031 - 59784 Lille Cedex 09.  
Si vous avez une question, nous restons à votre disposition."
Et le second :
"Je vous remercie pour votre retour.
Nous comprenons votre insatisfaction, et nous regrettons de ne pouvoir répondre favorablement à votre demande.
Je précise que comme pour type de contrats, les nôtres sont également soumis à règles d'acceptation.
Si vous avez une question, nous restons à votre disposition au numéro ci-dessous.
Merci de votre confiance."
Assureur à fuir qui fait tout pour compliquer la vie de ses clients.</t>
  </si>
  <si>
    <t>12/09/2020</t>
  </si>
  <si>
    <t>belkziz-m-117754</t>
  </si>
  <si>
    <t>Bonjour,
Prix très attractives mais la franchise conducteur occasionnel est un point négative malheureusement dans votre assurance
bonne journée.......</t>
  </si>
  <si>
    <t>21/06/2021</t>
  </si>
  <si>
    <t>amandine-h-107733</t>
  </si>
  <si>
    <t>je suis entierement satisfaite des services proposer les devis sont tres bien expliquer et les tarifs sont très abordable le dossier est traite rapidement</t>
  </si>
  <si>
    <t>nouredine-b-106729</t>
  </si>
  <si>
    <t>Je suis satisfait du contrat mais je pensais pouvoir bénéficier du bonus à vie au vu du temps de contrat et du bonus mais apparemment cette option n'existe plus.</t>
  </si>
  <si>
    <t>16/03/2021</t>
  </si>
  <si>
    <t>zins-t-138459</t>
  </si>
  <si>
    <t xml:space="preserve">Je suis satisfaite du tarif et de la mise en place du contrat... par contre, je n'ai pas encore d'avis sur l'assurance elle-même. Je me prononcerai avec plaisir à ce sujet dès que j'aurai eu besoin d'y faire appel ! </t>
  </si>
  <si>
    <t>28/10/2021</t>
  </si>
  <si>
    <t>jocelyne-b-107583</t>
  </si>
  <si>
    <t>satisfait, bon contact personnel à l' écoute très réactif, rien de plus a ajouer, à voir lors d'éventuels pb ( que nous ne souhaitons pas ).............</t>
  </si>
  <si>
    <t>droopy-78889</t>
  </si>
  <si>
    <t>Lamentable!  Vous vire  des que vous avez 2 accidents déclarés sur 3 ans ! Ils prennent en vompte les appels d'information même quand vous décidez de ne pas le déclarer car proche de la franchise !!! 
Ilsne sont la que pour ponctionner les cotisations et vous virent sans appel sur lettre stéréotypée par déclenchement de leur système informatique.....
NULS en terme de service client. Les cotisations ne sertqu'a payer leur pub....</t>
  </si>
  <si>
    <t>03/09/2019</t>
  </si>
  <si>
    <t>bernadettebuhot-65010</t>
  </si>
  <si>
    <t>habitation AXA Berck : augmentation depuis 10 ans 8% et parfois + sans avoir sinistre et changement dans l'habitation alors qu'il était annoncé 2 à 3% par an alors ??</t>
  </si>
  <si>
    <t>24/06/2018</t>
  </si>
  <si>
    <t>santaguiala-89467</t>
  </si>
  <si>
    <t>Assurance vie Bnp cardif</t>
  </si>
  <si>
    <t>07/05/2020</t>
  </si>
  <si>
    <t>celine-f-116305</t>
  </si>
  <si>
    <t xml:space="preserve">Difficile à avoir au téléphone mais satisfaite dès que je les ai eu au téléphone
tarifs intéressants et compétitifs
une approche intéressant avec un tarifs de base et des options à ajouter en fonction de nos réels besoins </t>
  </si>
  <si>
    <t>08/06/2021</t>
  </si>
  <si>
    <t>sophie-d-128111</t>
  </si>
  <si>
    <t>satisfaite de vos services , rapide efficace , bon rapport qualite prix 
les devis en ligne au top , je conseille a tous , 
deja assuré chez vous il y a quelques annees , j'y reviens car convaincu</t>
  </si>
  <si>
    <t>mushlop-66638</t>
  </si>
  <si>
    <t>J'ai pris cette assurance (au tiers)(N. client 7864239563) sans trop réfléchir avec le comparateur lefuret.com il me semble, bon tarif pour une première assurance (en tout cas par rapport au comparateur testé (partenariat ?).
Assuré depuis début 2016 (permis obtenu en 2012), bref r.a.s, je compte assurer un deuxième véhicule donc je me dis tient et si je faisais des devis un peu partout, quel mauvaise surprise de voir que je tombe sur des devis presque 20euros/mois moins chère.. (pour mon premier véhicule..)
Je contact donc premièrement par mail pour voir ce qu'il pouvait faire (en expliquant que je souhaitais en assurer un deuxième), réponse du mail : "il nous manque des pièces" Ah ? et quand est ce que j'aurais été averti ? (il s'agissait de la CG définitive, vu que j'ai fourni que la CG barrée au départ), aucune réponse pour le deuxième véhicule, sur le tarif ou quoi (surement un mail "automatique").
Bref du coup je leurs envois la CG et leurs réécrit un mail pour savoir, pas de réponse.. Bon.. 
Je décide donc de les appeler pour faire ça de vive voix, et ben là on est au sommet, la personne me dit de manière sec que je ne suis pas au bon service (euh.. je n'ai que un numéro unique dans la rubrique "contact") donc bon on me renvoi au dis service fidélité (et j'aurai du voir avec un autre service pour l'assurance du second véhicule..) bref alors je ne sais pas si L'olivier fait dans le contrat aidé mais il devrait quand même faire attention quand il recrute, la dite personne ne voulait rien savoir ("Vous avez déjà droit à une remise, on peut rien faire") alors quand je vois le tarif qu'on me propose ailleurs et sa réponse, jme dis qu'elle doit forcément pouvoir faire quelque chose, encore très réticente, jlui explique donc que même ma soeur pour sa première paye moins chère.. (suis je donc un pigeon ?) Elle me répond de manière très moqueuse qu'on assure pas tout le monde pareil. Donc là c'est trop donc jlui demande un supérieur, au début elle voulait pas me le passer.. Bref après tout ça, jsuis vraiment pas content, elle me passe donc quelqu un qui se "dit" chef, je réexplique mon problème (que forcément mon but c'est de payer moins chère, logique ?), bref pareil il veut rien faire, donc ok mais je lui signal que je compte quand même écrire directement par lettre pour exprimer mon mécontentement et là comme par magie cette personne n'est plus chef mais "conseiller senior".. 
L'appel enregistré en tout cas montre le manque professionnalisme. Quand jvois les autres messages je n'imagine même pas si j'avais eu un sinistre..</t>
  </si>
  <si>
    <t>05/09/2018</t>
  </si>
  <si>
    <t>maxence-50509</t>
  </si>
  <si>
    <t>ce n'est pas la MAAF que je préfère</t>
  </si>
  <si>
    <t>clifford-owusu-k-128256</t>
  </si>
  <si>
    <t xml:space="preserve">Satisfait de la formalité de souscription en ligne totalement autonome et rapide. Reste à voir la prestation à suivre. Bonne expérience dans le passé. </t>
  </si>
  <si>
    <t>jpguillon56-80897</t>
  </si>
  <si>
    <t xml:space="preserve">Experience desastreuse de l'assistance chez Allianz :
Mes parents (plus de 80 ans chacun) assurés depuis plusieurs années, sont tombés en panne sur la route un samedi apres midi sur une route nationale entre laval et rennes vers 14H, ils ont essayé de joindre l'assistance et n'ont pu obtenir qqun qu'apres plusieurs appels de plus d'un quart d'heure chacun , seule la musique etait presente au bout du fil ! Entre le debut de l'appel et la mise à disposition d'une voiture près de 5 heures plus tard! La voiture etait une hybride automatique, et les explications du loueurs furent plus que breves , ce qui valut quelques deboires sur le retour (mais bref)...
Pour recuperer leur vehicule réparé, Allianz leur a proposé taxi et train, mais pour y aller. Comme ils passaient par Paris il y avait un transfert en taxi entre les deux gares. Le premier taxi qui devait les emmener à la gare n'est pas venu, ils ont du se débrouiller seuls, quand au second taxi à Paris le numero fourni n'etait pas bon, et n'ont pas pu le retrouver, et ils ont du prendre un taxi à leur frais.
Dans la précipitation ma mère est tombé et s'est fracturé le genou. Elle a tout de même continué son voyage pour récupérer la voiture.
Apres etre arrivés et récupéré la voiture, celle ci est de nouveau  tombé en panne aux abords du mans sur l'autoroute sur une aire de repos. 
De nouveau impossible de joindre l'assistance, malgré plusieurs appels. j'ai moi meme essayé de joindre l'assistance via mon portable et hormis la musique je n'ai eu personne. C'est l'assitance de l'autoroute qui a pu les dépanner, mais pas gratuitement evidemment, ils ont du payer de nouveau !
Le depanneur à lui aussi essayé d'appeler l'assitance mais n'y est pas parvenu non plus !
Mes parents on finis par repartir et arrivés tard dans la nuit, mais le genou de ma mère etant trop douloureux cela s'est fini aux urgences de montargis-amilly . Donc rotule cassée, et hospitalisation de deux jours avant retour avec béquilles et fauteuil roulants.
Impossible de joindre leur conseiller Allianz, et le remplaçant si il existe est aux abonnés absents.
Je me suis rendu dans une agence Allianz où l'on m'a expliqué que mes parents devait voir cela avec leur conseiller et non avec une agence !
TOTALLEMENT INADMISSIBLE de la part de cette assurance de laisser les gens livrés avec leur problèmes. Je ne vais pas en rester là et le faire savoir aux associations de consommateurs, ce n'est pas normal, si aucune solution RAPIDE n'est proposé et mise en place par allianz.
</t>
  </si>
  <si>
    <t>11/11/2019</t>
  </si>
  <si>
    <t>majolam-71738</t>
  </si>
  <si>
    <t>N'ayez pas de problème dans votre maison</t>
  </si>
  <si>
    <t>28/02/2019</t>
  </si>
  <si>
    <t>gaugau599-67689</t>
  </si>
  <si>
    <t>La Matmut est une bonne assurance jusqu'au jour où vous avez un sinistre! Depuis le 1er Décembre 2018 mon véhicule a été volé, 10 mois après je n'ai toujours pas été indemnisé et on me demande encore et encore des documents dont plusieurs que j'ai déjà envoyé! On me pose même des questions très indiscrètes! On essaie même de me faire passer pour un fraudeur alors que tout prouve le contraire, y compris l'enquête de la Gendarmerie! Après plusieurs courriers recommandés envoyés, aucune réponse! Je n'ai pas les moyens de me racheter une voiture alors je subis les transports depuis 10 mois, c'est inadmissible!! On paie pour être assurer et on finit sur la paille! Ils détruisent une vie!</t>
  </si>
  <si>
    <t>15/10/2018</t>
  </si>
  <si>
    <t>christine-53320</t>
  </si>
  <si>
    <t>Tarifs attractifs, services commercial et client aimables et réactifs</t>
  </si>
  <si>
    <t>adrian-m-129656</t>
  </si>
  <si>
    <t>Satisfait du service simple et rapide rien a dire et moins Cher que la gmf, il se peut que d'autres véhicule passe également sous direct assurances merci</t>
  </si>
  <si>
    <t>natasha-94835</t>
  </si>
  <si>
    <t xml:space="preserve">Je suis satisfaite de la possibilité d’avoir un devis rapide mais le fait de demander un avis obligatoire avant d’avoir pu recevoir et tester le devis est un peu pénible </t>
  </si>
  <si>
    <t>22/07/2020</t>
  </si>
  <si>
    <t>lyne-96693</t>
  </si>
  <si>
    <t xml:space="preserve">Bonjour,
J'ai deux chats et j'ai voulu me renseigner sur les assurances vétérinaires pour l'un d'eux (Pepita) , car mon deuxième est trop âgé et j'ai donc demandé des devis en lignes sur plusieurs sites d'assurances, dont SanteVet.
Ils m'ont envoyé mon devis par mail et rappelé dans la foulée (Le 26 Août à 15 h 06) 
La conseillère au téléphone (si on peut l'appeler comme ça) m'a dit que si mon chat avait déjà des problèmes de santé il n'était pas éligible à l'assurance et qu'il fallait y penser avant,quand il n'a pas encore de soucis de santé. Ce que je comprend tout à fait.
Je voulais juste un conseil mais cette femme a été horrible! Elle m'a clairement engueulé et avait l'air énervé. La conversation a coupé court. Son attitude est irrespectueuse !
Je souhaitai surtout me renseigner pour plus tard lorsque je voudrai contracter une 
assurance et c'est clair que ça ne sera jamais chez eux,ils sont Blacklisté pour ma part.
C'est bien, comme ça ils m'aident à faire le tri tout seuls.
</t>
  </si>
  <si>
    <t>26/08/2020</t>
  </si>
  <si>
    <t>thuan-67685</t>
  </si>
  <si>
    <t>Client depuis 2012 avec un bonus à 0,54, c'est à dire 12 ans sans accidents responsable, mais voilà après un bris de glace l'hiver dernier, un vandalisme en début d'année et malheureusement un léger accident cet été (mais responsable), je me voies notifier d'une résiliation. Alors que j'ai cumulé plusieurs contrats chez eux avec de nombreuses années sans le moindre incidents. J'aurais aimé être prévenu pour négocier la résiliation. J'ai essayé de contacter le service client par mail (mail donné par le support téléphonique) et 3 semaines après, je n'ai toujours pas de réponses.
Maintenant je vais etre fiché et avoir des difficultés à me réassurer. Et je ne parle même pas de la manière dont mon précédent sinistre a été géré..
Quand je pense que j'ai parrainé de nombreux amis, j'espère qu'ils n'auront pas de problèmes...</t>
  </si>
  <si>
    <t>xavier-69410</t>
  </si>
  <si>
    <t>Inadmissible de supporter une hausse au 1er Janvier 2019 de 9,2%.
Tarifs intéressants à la souscription mais nous sommes massacrés aux dates anniversaires qui suivent</t>
  </si>
  <si>
    <t>14/12/2018</t>
  </si>
  <si>
    <t>loubikou-m-112656</t>
  </si>
  <si>
    <t xml:space="preserve">Je suis bien, je trouve que le prix est abordable et que le département des services après vente est très rapide à joindre et très compétent. J'attends juste une baisse du prix vu mon coefficient et le nombre d'accident qui est à 0 </t>
  </si>
  <si>
    <t>tony-l-109605</t>
  </si>
  <si>
    <t xml:space="preserve">Rapide et efficace merci pour les conseils et les tarif préférentiel. En plus il y a un système de parrainage C'est une très bonne chose. Je recommande </t>
  </si>
  <si>
    <t>pelletant-l-116052</t>
  </si>
  <si>
    <t>J'ai eu rapidement mon devis et ai pu avoir quelqu'un au téléphone pour me guider dans mes démarches. Je trouve cette assurance très abordable pour les jeunes conducteurs.
Service rapide et efficace</t>
  </si>
  <si>
    <t>mamoune-105914</t>
  </si>
  <si>
    <t xml:space="preserve">Génération mutuel entreprise nul  je cotise depuis des années et pour la première fois je fais appel à eux pour des soins dentaires un bridge de 2000 euros la sécurité sociale me rembourse 209 euros et génération 159 euros du jamais vu je suis obligé de prendre une autre mutuel extérieur pour avoir un remboursement sérieux mais le pire c est que génération me prend toujours sur mon salaire ma cotisations de chaque mois alors qu'ils ne rembourse que dalle du coup imaginé le nombre de salariés qui ont des cotisations prélevé chaque mois pour rien vu que c est une mutuel obligatoire nous n avons pas le choix .super bien protégé par génération une grosse blague mais surtout une honte je suis en plus obligé de mettre une étoile pour me faire entendre sinon vous ne pouvez pas validé </t>
  </si>
  <si>
    <t>regis-v-129325</t>
  </si>
  <si>
    <t>Je suis très satisfait et je trouve que c'est très simple  simple d'utilisation , le prix est très intéressant . Entièrement satisfait de la facilité avec laquelle on peut s'assurer aussi vite</t>
  </si>
  <si>
    <t>bo-z-106284</t>
  </si>
  <si>
    <t>+ de 20 min d'attente sans avoir un conseiller du service client, puis fin de communication.
Demande de geste commercial suite à augmentation 4 années de suite -&gt; rien.
ma prochaine étape sera la résiliation !</t>
  </si>
  <si>
    <t>11/03/2021</t>
  </si>
  <si>
    <t>sylvie-m-124735</t>
  </si>
  <si>
    <t xml:space="preserve">Prix très attractif, rapidité de l'exécution. Devis reçu par mail dans les délais. Par contre longueur de l'avis un peu long à mon goût. Cordialement </t>
  </si>
  <si>
    <t>leila-115362</t>
  </si>
  <si>
    <t>J ai eu un accident de la circulation j ai perdu mon véhicule 2 blessés et pacifica ne veut pas prendre en charge mon sinistre elle a fait faire un pv par la gendarmerie qui eux m ont convoqué pour savoir comment c passé l accident je n ai rien compris, ils ont trouvé un courrier au nom de mon fils et m ont demandé c qui cette personne j ai répondu c mon fils oui j ai des affaires et documents de mon fils car mon  mari ne veut rien a la maison venant de lui du coup je laisse tout dans ma voiture. L expert a dit a la casse auto que l assurance ne prend pas en charge et que je devais récupérer mon véhicule qui es hors de circuler, mais dans quel monde ont vis je suis assuré tout risque et je doit intervenir vers mon avocat ou comment faire afin de poursuivre pacifica en justice. Merci pour vos conseils.</t>
  </si>
  <si>
    <t>13/10/2021</t>
  </si>
  <si>
    <t>bobmorane-123574</t>
  </si>
  <si>
    <t>fuyez ce groupe, ils ne répondent jamais aux mails, les employeurs doivent choisir cette mutuelle pour son prix, emprissonnant les salariés avec un groupe bas de gamme où tu n'as personne vers qui te 
tourner en cas de soucis et je sais de quoi je parle 2 mois pour un simple problème et ... je n'ai que : envoyer un mail depuis leur site (où ils ne répondent jamais) et le téléphone ... où on me dit poliment
que mon soucis est pris en charge (ce qui n'est pas le cas)
fuyez!!</t>
  </si>
  <si>
    <t>16/07/2021</t>
  </si>
  <si>
    <t>benjamin-s-121433</t>
  </si>
  <si>
    <t>Je suis satisfait des services simple et pratique. La prise en compte d'une demande sur l'espace est rapide et limpide sur l'utilisation de l'espace en ligne.</t>
  </si>
  <si>
    <t>robin-b-105437</t>
  </si>
  <si>
    <t xml:space="preserve">Je suis satisfait de la facilité de souscription.
Prix correct même si très élevé pour un jeune  conducteur.
.............................................................................
</t>
  </si>
  <si>
    <t>04/03/2021</t>
  </si>
  <si>
    <t>jroger-60430</t>
  </si>
  <si>
    <t>Malgré mes démarches auprès de l'agence locale et qu'ils aient admis leur erreur, Harmonie Mutuelle ne m'a jamais remboursé 200 Euros de trop perçu de cotisation qu'ils se sont octroyés lors de ma résiliation début 2016. 
Tout le dossier est ici:
http://jroger.net/harmonie-mutuelle-la-fleche-72200.htm</t>
  </si>
  <si>
    <t>hichem-z-110916</t>
  </si>
  <si>
    <t>Je suis satisfait du prix et la facilté d'inscription ainsi que des garanties par rapport à mon contrat;
la résilation de mon ancien contrat s'est faite très rapidement.</t>
  </si>
  <si>
    <t>19/04/2021</t>
  </si>
  <si>
    <t>youri-93205</t>
  </si>
  <si>
    <t>Le service client est inaccessible. Ayant eu un sinistre, je ne peux pas appeler le service de gestion des sinistre, apparemment tous les conseillers sont occupés et il n'y a pas d'attente, le serveur téléphonique raccroche. En passant par la déclaration d'un incident ça passe mais on me met en relation avec le service de gestion et là pareil on me raccroche au nez.
Par mail, personne ne répond !
Ils sont bons pour encaisser les cotisations.</t>
  </si>
  <si>
    <t>salah--o-114485</t>
  </si>
  <si>
    <t>services nuls et pratique de l assureur direct assurances a la limite de l illégalité ....assurez vous chez direct assurances pour 0 sinistres sinon on vous éjecte ....</t>
  </si>
  <si>
    <t>sylvain-m-115685</t>
  </si>
  <si>
    <t>service client facilement joignable mais travail bâclé et délais non respectés. Il faut vraiment vouloir gagner quelques euros !!! à fuir si vous souhaitez une prise en charge digne d'un véritable assureur.</t>
  </si>
  <si>
    <t>nio-b-111022</t>
  </si>
  <si>
    <t xml:space="preserve">je suis très satisfait du service client qui est proposé
les prix sont satisfaisants et attractifs
la signature est rapide et très simple et rapide   </t>
  </si>
  <si>
    <t>vaness-53854</t>
  </si>
  <si>
    <t xml:space="preserve">bonjour j'ai souscrit a youdrive qui est avec direct assurance j'ai payer par carte bleu les deux mois hors je n'ai aps recu els papiers qui a eu ce soucis? je suis en stress j'ai besoin des papiers aujourd'hui car l'assurance de  l'ancien proprietaire de la voiture se termine aujourd'hui </t>
  </si>
  <si>
    <t>05/04/2017</t>
  </si>
  <si>
    <t>elise98-58858</t>
  </si>
  <si>
    <t>DES PROFESSIONNELS, TRÈS SÉRIEUX, UNE DÉMARCHE SUR MESURE ...RAS !!UN CONSEILLER SANTIANE.FR M'A FAIT FAIRE UN CHOIX TAILLÉ SUR MESURE ...MERCI SANTIANE.FR</t>
  </si>
  <si>
    <t>15/11/2017</t>
  </si>
  <si>
    <t>sk-87500</t>
  </si>
  <si>
    <t xml:space="preserve">Service client incompétent 
Demande de résiliation en octobre 2019 non prise en compte durant 3 mois pour vous réclamer par la suite les cotisations avenir en vous menaçant. </t>
  </si>
  <si>
    <t>23/02/2020</t>
  </si>
  <si>
    <t>lafifi-s-133062</t>
  </si>
  <si>
    <t xml:space="preserve">La remise de 10% sur un deuxième contrat a été faite sur le contrat le moins cher. A cause d'une reprise du mauvais devis en ligne. Aucun moyen de changer !! 
</t>
  </si>
  <si>
    <t>alex-76170</t>
  </si>
  <si>
    <t>J'ai choisi Direct Assurances car je voulais faire des économies. Mais derrière ce prix se cache en réalité une absence totale de service client et un nombre impressionnant de "clauses commerciales" qui se traduisent concrètement par une absence totale de couverture d'assurances. En clair vous payez pour rien. Par ailleurs, il vous faudra faire très attention lorsque vous souhaiterez vous séparer de cet assureur car là encore tout est fait pour continuer à vous faire payer. C'est ainsi que Direct Assurances m'a fait payer un an de cotisation supplémentaire tout en résiliant mon contrat car je n'avais pas envoyer mon courrier de départ exactement au bon moment à 1 jour près. Le service client n'a rien voulu savoir puisque je partais de toute manière et que c'est écrit dans l'une de leurs inombrables clauses. A éviter absolument.</t>
  </si>
  <si>
    <t>22/05/2019</t>
  </si>
  <si>
    <t>anne-t-130655</t>
  </si>
  <si>
    <t xml:space="preserve">Je suis très satisfaite des services, une équipe a l'écoute et disponible.
je recommande la GMF en assurance 
Au niveau des tarifs ils sont abordable et s'adapte en fonction de vos besoins  </t>
  </si>
  <si>
    <t>fredie-63445</t>
  </si>
  <si>
    <t>Un service client super bien organisé car au choix des agences combiné avec une plateforme téléphonique si votre agence n.est pas disponible.</t>
  </si>
  <si>
    <t>20/04/2018</t>
  </si>
  <si>
    <t>nicoweaz-53593</t>
  </si>
  <si>
    <t xml:space="preserve">Assurance vie souscrite: bilan: commercial incompétent  et grosses difficultés à débloquer ses avoirs: à fuir. Fonds toujours pas débloqué depuis un an et demi, commercial qui ne répond jamais, grosses difficultés pour joindre les services administratifs 
</t>
  </si>
  <si>
    <t>Afi Esca</t>
  </si>
  <si>
    <t>26/03/2017</t>
  </si>
  <si>
    <t>douaud-110056</t>
  </si>
  <si>
    <t xml:space="preserve">je suis satisfait du service. Les prestations sont à la hauteur de mon attente et j'espére etre content du service client par la suite. Bonne assurance auto </t>
  </si>
  <si>
    <t>12/04/2021</t>
  </si>
  <si>
    <t>damien-f-135289</t>
  </si>
  <si>
    <t xml:space="preserve">Simple et rapide ..a voir si dans le temps tout se passe bien et que les conditions du contrat sont bien respectées..cependant il a été difficile de joindre un conseiller </t>
  </si>
  <si>
    <t>30/09/2021</t>
  </si>
  <si>
    <t>jim3893-92108</t>
  </si>
  <si>
    <t>Surpris par les prix pratiqués, hyper compétitif par rapport aux concurrents, j'attends d'être rappelé pour pouvoir comparer mes autres contrats d'assurance.</t>
  </si>
  <si>
    <t>24/06/2020</t>
  </si>
  <si>
    <t>belhadj-b-122554</t>
  </si>
  <si>
    <t>Très satisfaite par les prix et aussi la prise en charge au tel lors du premier appel . Nous sommes bien conseillé et le conseiller prends bien en compte nos attentes .</t>
  </si>
  <si>
    <t>06/07/2021</t>
  </si>
  <si>
    <t>nevri-88761</t>
  </si>
  <si>
    <t xml:space="preserve">Je mets une etoile car obligé si on veut laisser un commentaire .Assurance a fuir de toute urgence (chose faite pour moi) Assuré chez eux depuis 4 ans sans aucun soucis , 1er sinistre non responsable en fevrier. Toujours aucune nouvelle sauf les "ça peut prendre du temps , fallait etre assuré en tout risque ..." du service client .C'est vrai qu'on a tous les moyens de s'assurer en tout risque bien sur ...Le pire c'est qu'on vous dit que ça peut prendre de 6 mois a 1 an !!!! Et pendant de ce temps je roule avec une voiture explosé ?? Bref ils sont super tant que rien ne se passe .....En bref je change d'assureur grace a la loi Hamon </t>
  </si>
  <si>
    <t>08/04/2020</t>
  </si>
  <si>
    <t>margot-116928</t>
  </si>
  <si>
    <t xml:space="preserve">Je me rends compte que je ne suis pas la seule  personne à être in satisfaite de cette mutuelle. Voilà quelques années que j’y suis assuré. Le service ce dégrade. 
Exemples : 
1) depuis des mois je passe par mon compte internet pour signaler un changement d’adresse mail. 
2) je reçois  un avis comme quoi ils remboursent à partir du 1 mai et jusqu’au 31 décembre 2021 des consultations. Je transmets via mon compte les factures. Toujours rien reçu depuis 1 bon mois. Je m’aperçois même que mes factures ont disparues de mon compte ! Est-ce possible et bien oui. Donc j’ai recommencé et ne lâcherai pas l’affaire. 
3) opération avec dépassements d’honoraires. Retour du devis avec ce qui  réellement remboursées. Et bien ils se Sont trompés et me demande de rembourser alors que  j’ai les preuves à l’appui. 
4) je me rends à  l’agence, j’attends sagement que l’on m’appelle. L’agent répond à  un appel téléphonique, je patiente et attends. Enfin je vais passer. Et bien non ! Il reprend son téléphone et appelle. Non je n’étais pas caché, non je ne ralais pas. Je suis parti….
Je vous assure que je n’invente pas. 
Je vais réfléchir sérieusement à changer de mutuelle. </t>
  </si>
  <si>
    <t>brazza33170-69027</t>
  </si>
  <si>
    <t>Service client disponible et très réactif.Personnel aimable, Prix  de l'assurance  auto très compétitif par rapport au garanties proposées. Rapidite de la réception de la carte verte définitive .</t>
  </si>
  <si>
    <t>29/11/2018</t>
  </si>
  <si>
    <t>tony-m-109544</t>
  </si>
  <si>
    <t xml:space="preserve">Je suis très mécontent ça fait deux années de suite que mon assurance augmente alors que je n’ai fait aucun accident donc je suis très très insatisfait de direct assurance </t>
  </si>
  <si>
    <t>maxxxxx-50605</t>
  </si>
  <si>
    <t>Même pas capable de sortir un devis avec mes coordonnées correcte en une année ! 
Avec quand même plusieurs relance de ma part (plus d'une dizaine)
Et pour couronné le tout un rattrapage du prix de l'assurance de plus de 700 euros dans mon dernier contrat sans me prévenir et en tout petit dans le contrat.
Bonne chance avec eux !</t>
  </si>
  <si>
    <t>23/12/2016</t>
  </si>
  <si>
    <t>emilie-l-139417</t>
  </si>
  <si>
    <t xml:space="preserve">Très satisfaite de tous les options proposer très bien les montants en cas de décès j'espère pas qu'il m'arrive quelque chose car ça m'embêterait merci </t>
  </si>
  <si>
    <t>11/11/2021</t>
  </si>
  <si>
    <t>marguerite-111968</t>
  </si>
  <si>
    <t>Attente téléphonique très limitée (max 2/3min), l'interlocuteur que l'on a au téléphone est très agréable, poli, et même souriant) et en prime un traitement immédiat de la demande.</t>
  </si>
  <si>
    <t>bruno-c-114378</t>
  </si>
  <si>
    <t>je suis satisfait l interlocuteur etait tres gentil tout est bien ds le meilleur des mondes et vive le deconfinement
il ne f pas beau et j ai envi de faire un tour en moto</t>
  </si>
  <si>
    <t>fred95-90416</t>
  </si>
  <si>
    <t>Sociétaire MAIF depuis 33ans (auto+habitation), entièrement satisfait jusqu'à présent. J'ai demandé un devis en prévision d'un changement de véhicule pour un modèle hybride BMW330e : prime d'assurance 2 fois plus chère que ce que je paye actuellement pour une BMW 420d. Motif invoqué : la puissance du véhicule car la MAIF se base sur la puissance cumulée (électrique + thermique = 292ch), en contradiction avec la puissance nette maximale indiquée sur la carte grise (P2) qui est de 135kW, soient 184ch. Cette P2 tient compte du fait que ces deux moteurs ne fonctionnent pas en simultané :  pour les trajets urbains l'électrique (113ch) est privilégié, et lorsque la batterie n'a plus d'autonomie, le moteur thermique (184ch) prend le relai et contribue à recharger la batterie. Bien sûr la puissance cumulée est importante, mais mobilisable de façon théorique ou exceptionnelle.
Comment est-il possible qu'un « assureur militant » puisse appliquer un tel tarif rédhibitoire en appliquant des critères de calcul inadaptés aux spécificités d'un véhicule hybride, fût-il de marque premium ? On pourrait attendre de la MAIF qu'elle encourage l'achat des véhicules hybrides, plus propres et respectueux de l'environnement, comme le fait actuellement le gouvernement au travers des aides à la conversion électrique. 
A garanties comparables, la MXXXX me propose un devis moitié moins cher pour ce même véhicule référencé en 184 ch. « Dans une démarche favorable à la protection de l'environnement et en tenant compte des taux plus faibles de sinistralité des véhicules propres, les assureurs appliquent pour ces voitures des tarifs moins élevés. Ils sont généralement de 10 à 30 % moins chers que ceux des assurances auto classiques » alors que la MAIF n'hésite pas à me proposer un tarif 62% plus élevé ! Je suis choqué et déçu, et je vais donc devoir changer d'assureur….</t>
  </si>
  <si>
    <t>misternaad-58517</t>
  </si>
  <si>
    <t xml:space="preserve">C'ETAIT BIEN ... malheureusement, ça a bien changé! J'ai fait un test avec un simulateur sur internet pour connaître le prix de mon assurance avec eux ... 295 au lieu de 400 euros ... je les appèle par téléphone, en fait, c'est un tarif préférentiel pour les nouveaux clients !! pour ceux qui sont déjà clients, il vaut mieux résilier.... hé oui, j'ai 38 ans, le permis à 18 ans du permier coup. 0 accidents; 0 retrait de permis ; 0 résiliation d'une assurance (idem pour ma femme) et je paye 400 euros au tiers minimum sans bris de glace sur une sandero de 2009 (sans direction assistée ni fermeture centralisée ce qui représente 20% du prix de la voiture) avec 50 km pour une intervention sur une panne .... bravo, vous allez gagnez de l'argent ... ou pas ... </t>
  </si>
  <si>
    <t>31/10/2017</t>
  </si>
  <si>
    <t>op17-89515</t>
  </si>
  <si>
    <t xml:space="preserve">Faites attention, même si vous résilier votre contrat, sachez que la Maaf continue de vous prélever ! Le service client m'a informée que je ne serai plus prélevée, j'ai reçu une feuille qui m'informait de la résiliation de mon contrat par la Loi Hamon à compter du mois d'avril. Problème : nous sommes au mois de mai et j'ai été encore prélevée de 50,66€ !
Je ne recommande par cette assurance qui, en plus de cela, nous fais payer cher pour pas grand-chose. </t>
  </si>
  <si>
    <t>11/05/2020</t>
  </si>
  <si>
    <t>footballeur-79557</t>
  </si>
  <si>
    <t>Client en devenir, si le contrat se passera aussi bien que son élaboration avec Anthony et le suivi avec Nadège, j'en serai ravi.</t>
  </si>
  <si>
    <t>28/09/2019</t>
  </si>
  <si>
    <t>aline-132282</t>
  </si>
  <si>
    <t xml:space="preserve">J'avais besoin d'un complément d'information sur l'Ophtalmologie-optique. Garanties très basiques... compensée par l'accueil de Khadidiatou, interlocutrice très aimable et très précise dans ses renseignements. Merci à elle. </t>
  </si>
  <si>
    <t>xenath22-87654</t>
  </si>
  <si>
    <t>J'ai des soins dentaires qui datent du 21 janvier pour 700 euros qui ne sont toujours pas remboursés malgré plusieurs appels et messages sur l'espace adhérent restés sans réponse. Pour les avoir au téléphone, il faut attendre près de 40 minutes, et quand vous les avez, on vous demande d'être patient !!! A ce jour, toujours rien en vue.</t>
  </si>
  <si>
    <t>26/02/2020</t>
  </si>
  <si>
    <t>mme-97524</t>
  </si>
  <si>
    <t xml:space="preserve">Démarchage abusif. Appel d un pseudo courtier . Qui avait tout en main sauf mes coordonnées bancaires. Voulait me forcer à contracter tout en prétendant "vérifier des infos". Ces personnes devraient faire l'objet d'un procès.(la societe et les démarcheurs qui acceptent de pratiquer ces méthodes </t>
  </si>
  <si>
    <t>le-galloux-y-134976</t>
  </si>
  <si>
    <t>Pour le moment très satisfait du service, assuré très rapidement, très bon tarif.
Démarche intuitive, je recommande très fortement.
A voir dans le temps</t>
  </si>
  <si>
    <t>nelson-g-125281</t>
  </si>
  <si>
    <t>Je suis satisfait du service qu'a proposé AMV, rapide, le prix raisonnable, et la facilité d'exécution est super rapide. Je recommande fortement AMV auprès de mes amis</t>
  </si>
  <si>
    <t>tapin-j-128561</t>
  </si>
  <si>
    <t xml:space="preserve">Les prix en jeune permis sont chers. Mais pas le choix d’assurer. Sinon pour les autres permis très bien et la relation sur réseau social très bien. Merci </t>
  </si>
  <si>
    <t>yahouni-s-129361</t>
  </si>
  <si>
    <t>Au top le conseiller  était  sympa  et comprensif  prix correct et juste et je souhaite aller  àvec  vous  pour assuré d'autre valeurs  j'espere  que  ça va durer longtemps temps</t>
  </si>
  <si>
    <t>najoua-h-134407</t>
  </si>
  <si>
    <t xml:space="preserve">Très bonne accueil téléphonique 
Très bon conseil 
Tarification qui défi toutes concurrences 
Début de contrat en espérant que cette satisfaction durera sur du long terme </t>
  </si>
  <si>
    <t>cdm-66555</t>
  </si>
  <si>
    <t xml:space="preserve">Après de nombreuses années d'insouciance, c 'est quand on a un sinistre qu'on constate le suivi déplorable, les courriers contradictoires, l'absence totale de suivi client, relation, conseil, information et bien sur, indemnisation. </t>
  </si>
  <si>
    <t>03/09/2018</t>
  </si>
  <si>
    <t>oxbow78-137175</t>
  </si>
  <si>
    <t xml:space="preserve">C'est ma première expérience avec une assurance en ligne.
Très bonne expérience ! 
Ma conseillère m'a très bien expliquée les différents contrat et m'a proposée le plus adaptée à ma situation.
L'offre Youdrive est top pour qui veut réduire considérablement le coût de son assurance auto.
L'inscription en ligne et la signature des documents est d'une simplicité ! 
j'ai hâte de recevoir mon boitier et de commencer à gagner de l'argent !
</t>
  </si>
  <si>
    <t>cat--100997</t>
  </si>
  <si>
    <t xml:space="preserve">A fuir ma fille a eu un accrochage pas trop grave il y a deux ans elle a accepté qu'on lui mette un par choc regiclé  plus d'accident depuis ... seulement un petit impact sur son par brise qui a nécessité une petite réparation de chez carglass il y a 1 Moi ... et hier il lui signal qu'il ne la veule plus !!! éjecté balayé .. je trouve cela scandaleux et jamais je ne viendrai chez eux !! voilà voilà </t>
  </si>
  <si>
    <t>heloise-63242</t>
  </si>
  <si>
    <t xml:space="preserve"> très mal gérer un délai d'attente de 2 mois ce qui est inadmissible c'est qu'en plus d'appeler et d'avoir des conseillé au téléphone qui nous indique gérer nos dossiers quand vous rappeler une semaine plus tard on vous dit je vais traiter votre dossier il est aux archives incompréhensible 5 mois de combat perpétuel a appelé toutes les semaines pour avoir un pauvre virement de 200 €</t>
  </si>
  <si>
    <t>Gan</t>
  </si>
  <si>
    <t>13/04/2018</t>
  </si>
  <si>
    <t>smendes17-62488</t>
  </si>
  <si>
    <t>Voilà maintenant 2 mois que mon fils est né et après avoir envoyé les papiers comme prévu, le dossier n'est pas traité, rien n'est fait, et le service client s'en fout et nous dit de patienter.mais ça fait 2 mois ! Du coup aucun remboursement pour mon fils.par contre les cotisations ça on les récupère sans problème. Du coup je vais être obligé de résilier, et dans ce cas j'évoque le défaut de service de leur part (cas de force majeur) et s'il le faut, on pourra aller au tribunal sans problème.</t>
  </si>
  <si>
    <t>19/03/2018</t>
  </si>
  <si>
    <t>charloudu16-53179</t>
  </si>
  <si>
    <t>Eviter absolument cette assurance !!!!!!!
Je possède actuellement une assurance auto chez eux depuis plus d'un an, j'ai fait ma demande de relevé d'information, sans suite. 
De plus j'ai voulut souscrire un contrat pour un autre véhicule, j'ai payé les frais de dossier ainsi que deux moi d'assurance. Je n'ai jamais reçu le papier d'assurance provisoire, et quand j'ai voulut me connecté sur le site pour transmettre mes documents, impossible. J'ai donc appelé le service client (surtaxé) a plusieurs reprise. J'ai envoyer mes documents par courrier, toujours sans suite. Et maintenant quand je les appel ils me disent que je n'ai pas transmis mes documents a temps.
Je me retrouve donc sans assurance an ayant payer, et je ne peux pas récupérer mon relevé d'information pour changer ...
Eviter absolument cette assurance !!!!!!</t>
  </si>
  <si>
    <t>11/03/2017</t>
  </si>
  <si>
    <t>anthony-p-122537</t>
  </si>
  <si>
    <t>Très satisfait du tarif prix service et faciliter a souscrire en ligne rien d autre a dire accueil et garantie super a recommandé au personne de mon entourage</t>
  </si>
  <si>
    <t>sab-117619</t>
  </si>
  <si>
    <t>Tres mecontente.
Conseillers incapables de repondre aux demandes.
Traitement des pertes de primes et demi traitement completement hors delais alors que les dossiers sont complets.
Obligee de constamment les relancer par mail ou telephone.
Je deconseille interiale.
Je changerais de mutuelle des que je le pourrais.</t>
  </si>
  <si>
    <t>19/06/2021</t>
  </si>
  <si>
    <t>francese-y-115156</t>
  </si>
  <si>
    <t xml:space="preserve">Tout est parfait pour l’instant, le service client est à notre écoute et patiente , les prix sont ultra compétitifs par rapport à d’autres compagnie d’assurance </t>
  </si>
  <si>
    <t>dikov-s-107495</t>
  </si>
  <si>
    <t xml:space="preserve">Je suis satisfait de la réactivité
j'ai eu un bon conseiller a mon écoute 
                                                                                                           </t>
  </si>
  <si>
    <t>trucks60-59397</t>
  </si>
  <si>
    <t>Bonjour, je viens aujourd'hui sur se forum car je suis très mécontent de la MACIF j'ai eu un souci avec un store de mon camping car que j'ai trouvé arraché et faussé un matin à mon réveil, j'en ai déduit sans être expert que se sinistre avait été causé par le vent, donc ma déclaration faite dans se sens, donc pas d'avis de tempête pas d'indemnisation (sans expertise) ma déclaration leur suffisait bien sur car il n'avait pas a m'indemniser, mais mon concessionnaire voit l'affaire autrement, donc courrier, médiation, commission de recours ils ne veulent rien savoir le chef de service à dit non donc on en reste là çà ne sert à rien de faire des courriers ils s'en fiche, c'est très grave je ne vais pas en rester là je vais saisir  ma protection juridique qui n'est pas la MACIF et nous verrons bien, dans tous les cas camping cariste méfiez vous fuyez cette compagnie</t>
  </si>
  <si>
    <t>07/12/2017</t>
  </si>
  <si>
    <t>chanchandijon-127016</t>
  </si>
  <si>
    <t xml:space="preserve">Ca commence très mal !  Après 2 ans d'hésitation, je quitte les ACM pour Harmonie Mutuelle, où j'ai longuement échangé par mail et téléphone avec une conseillère,
en insistant bien sur mes besoins, et en demandant quels étaient les remboursements.
Au final, je me lance, en fin de printemps 2021...
Résultat, je rentre de cure thermale, je réclame mon forfait : on me dit que je n'y ai pas droit, alors que je pensais recevoir 400 € ! ce n'est pas rien, et c'est ce qui m'avait motivée à changer de mutuelle. J'avais un forfait de 200 € auparavant.
Remboursement podologue et semelles :  de même, j'étais 100 % remboursée auparavant, et là il reste 40 € de ma poche.
Ostéodensitométrie : je n'ai pas pu avoir l'info ...
Bref, je ne vais pas rester longtemps à cette mutuelle si je ne suis pas mieux remboursée que ça, en option 3 je précise !!
Facile de faire de belles promesses pour attirer les clients, si les montants non remboursés dépassent le gain de cotisations, j'aurai mieux fait de garder mon ancienne mutuelle !
</t>
  </si>
  <si>
    <t>07/08/2021</t>
  </si>
  <si>
    <t>christian-18412</t>
  </si>
  <si>
    <t>Mon Tarif auto 2017 : mauvaise surprise !! + 15,4% pour l'une et +6.24% pour l'autre. client depuis plus de 5 ans, bonus 50%</t>
  </si>
  <si>
    <t>26/12/2016</t>
  </si>
  <si>
    <t>noel-m-108915</t>
  </si>
  <si>
    <t xml:space="preserve">Société d'assurances très pratique dans son fonctionnement. Je découvre et n'ai donc aucun avis sur le service après vente. Mais les échos que j'en ai eus m'ont incité à souscrire auprès de Direct Assurance. </t>
  </si>
  <si>
    <t>mld-126536</t>
  </si>
  <si>
    <t xml:space="preserve">En accident de travaille depuis janvier , je n'est toujour pas était payer  c'est incroyable   j'appelle tous les jours mais rien ne change pourtant ont me dit que toute l'administration a était faite parfaitement par mes soins et celle de mon employeur , même les conseillers ag2r ne comprennent pas pourquoi je n'est pas encore était payer . Je ne lâcherai pas je veu mon du .  Car tous les mois ont me préleve .   </t>
  </si>
  <si>
    <t>pierre-m-139108</t>
  </si>
  <si>
    <t xml:space="preserve">Malgré être déjà client
Trop d'informations son demandé 
Et surtout les 2 mois à payer en avance 
Et en plus vous demandez 150 caractères ce qui m'oblige à écrire </t>
  </si>
  <si>
    <t>06/11/2021</t>
  </si>
  <si>
    <t>leonard-m-107715</t>
  </si>
  <si>
    <t>Difficile de donner un avis à la signature d'un contrat. C'est dans les moments difficiles et/ou dans le suivi de ses clients qu'un prestataire peut éventuellement être évalué.</t>
  </si>
  <si>
    <t>doumbia-f-111046</t>
  </si>
  <si>
    <t xml:space="preserve">Je suis satisfaite c'est rapide et pas chéré les conseilles  sont très professionnel et j'ai enfin réussi à assurer ma voiture même en étant jeune conducteur. </t>
  </si>
  <si>
    <t>depite-89966</t>
  </si>
  <si>
    <t>commerçant, j'ai suspendu une échéance suite au covid et donc la fermeture.le mois d'après, après avoir obtenu un prêt pge, je veux régulariser mais personne travaille chez ALLIANZ! même pas de télétravail et impossible de payer en ligne..
aujourd'hui je veux régler, et je suis (punis) ! des frais de recouvrement et 4 mois de cotisations à payer sur le champs, sinon radié! rép:c'est la procédure !
honte à eux !!!</t>
  </si>
  <si>
    <t>loic-m-116010</t>
  </si>
  <si>
    <t>Lors de la première prise de contact au téléphone, la personne m'avait assuré que lorsque mon fils Thomas aurait son permis voiture son bonus moto serait pris en compte pour le calcul du tarif . Permis de depuis le 23/012020.
Hors lors son inscription sur la voiture, ce n'est pas le cas, et mon interlocuteur m'affirme que rien ne peut être fait.</t>
  </si>
  <si>
    <t>04/06/2021</t>
  </si>
  <si>
    <t>gaston-69360</t>
  </si>
  <si>
    <t xml:space="preserve">Je ne crois toujours pas à ce que je vis. 200 euros pour une attestation provisoire de 1 mois. c'est plutôt un grand mensonge bien organisé pour soutirer les sous aux citoyens honnêtes </t>
  </si>
  <si>
    <t>16/12/2018</t>
  </si>
  <si>
    <t>diego-139430</t>
  </si>
  <si>
    <t xml:space="preserve">Résilié après cinq ans passés chez eux. Motif? Altération commerciale selon eux.
En 2016, je deviens professeur des écoles et la MAIF me propose une protection juridique spécialisée pour les métiers de l'enseignement, contrat incluant l'autonome de solidarité laïque. Au bout de quelques mois ils me proposent un contrat auto puis très vite un contrat habitation. En trois ans je suis entièrement assuré chez eux.
Malheureusement en 2019, des circonstances vont décider de mon sort. Je dois faire face à deux sinistres responsables avec ma voiture en l'espace de quatre mois. Puis quelques mois plus tard, je subis une agression verbale et de facto un vandalisme sur mon véhicule. 
Aucun mot de sympathie. Aucune empathie. La menace tombe.
Un militant m'a assuré qu'aucune résiliation n'était envisagée si je faisais attention à l'avenir. Il n'en a rien été. Je reçois un courrier de résiliation en novembre 2020. Altération commerciale. Je m'attendais à perdre uniquement mon contrat auto. Non, il s'agit de l'ensemble de mes contrats. Finie donc la protection juridique professionnelle! 
J'ai essayé de négocier un compromis, ils ne veulent rien savoir! Complètement bornés.
Toujours le même discours: les relations se sont détéroriées et on préfère mettre fin aux contrats. 
En effet lorsqu'en février 2020 ma voiture a été réparée, des pannes sont survenues en mai 2020. Le carrossier avait mal réparé la partie moteur et mon garage voulait me faire facturer les réparations alors que mon assurance était censée payer (contrat tous risques!) J'ai dû insister auprès de la MAIF pour faire prendre en charge les réparations et de me remettre à disposition un prêt de véhicule. Je crois qu'ils n'ont tout simplement pas apprécié cela. Il semble qu'ils n'aiment pas qu'on râle ou qu'on se plaigne. 
Le plus grave est sans doute mon agression, ils n'ont eu aucun mot de complaisance. Est-ce ma faute si je me fais agresser? Est-ce ma faute si un individu à moitié givré donne des grands coups dans ma voiture jusqu'à l'endommager? Le dépôt de plainte n'a pas suffit et je me suis fait éjecter comme un malpropre. Quand j'en parle à des conseillers, j'ai toujours le même mépris au bout du fil. 
Ce manque d'humanité de leur part me dégoute et je ne peux que conseiller de fuir cette assurance. Mon erreur a été de les croire. </t>
  </si>
  <si>
    <t>coco-87031</t>
  </si>
  <si>
    <t>INADMISSIBLE je suis bénéficiaire de contrats, je suis toujours en attente du récapitulatif des sommes malgré la relance à l'ancien conseiller de Lyon. cela fait plus d'un mois que j'ai envoyer l'avis de décès. Pour vous faire signer des contrats les 1er pour payer je pense que ca va être compliqué</t>
  </si>
  <si>
    <t>ld-94157</t>
  </si>
  <si>
    <t xml:space="preserve">Bonjour, je poste sur ce forum car je ne suis pas satisfait de cet organisme. Après avoir accepté 2 dérogations pour m'assurer sur un véhicule sportif puisque je n'avais pas 5 ans de permis (premier accord en février 2020 puis véhicule volé et de nouveau un accord le 22/05/2020) j'ai un devis auto qui le prouve. Je contacte de nouveau le service client ce jour pour assurer la même voiture mais moins puissante (moins de chevaux fiscaux) et on m'indique que l'on refuse la dérogation car mon dossier a été étudié en profondeur (comme si cela n'avait pas été le cas les fois précédentes) en m'indiquant que mes sinistres et ma date de permis ont penchés dans la balance (je n'ai jamais eu de sinistre et j'ai bientôt 5 ans de permis). La conseillère à court d'arguments m'indique qu'en février lors de l'accord de la dérogation on m'a fait une offre pour une assurance habitation que j'ai refusé puisque j'en ai déjà une qui me convient. En gros cela revient à faire du chantage puisque je n'ai pas souscrit cette assurance. Vous ne pouvez imposer une assurance en échange de quelque chose. J'attends un retour de votre part et j'espère que vous reviendrez sur cette décisions absurde !!! </t>
  </si>
  <si>
    <t>cristaleoo34-52902</t>
  </si>
  <si>
    <t xml:space="preserve">Une entreprise bien en dessous de leur publicité 
Ayant deux véhicules, un chez eux un ailleurs, je souhaite rapatrier le second chez eux, ils me font un devis je précise bien que j'ai eu un bris de glace plus 3reparations, on me dit pas de soucis ils lancent la résiliation loi Hamon chez mon autre assureur
1mois et 1semaine  après le jour de la résiliation définitive ils me laisse un message disant au final ne pas pouvoir m'assurer suite au bris de glace et des réparations.... je me retrouve sans assurance!!! Enfin ils me laissent 20 jours pour me retourner comme ils disent.... bien sûr ils retiendront 45€de frais de dossier sur le remboursement! Heureusement mon autre (ex) assureur accepte me reprendre, conclusion je vais retirer mon autre véhicule de cette assurance qui est de mauvaise fois </t>
  </si>
  <si>
    <t>02/03/2017</t>
  </si>
  <si>
    <t>caroline3958-77574</t>
  </si>
  <si>
    <t>dossier capital décès réglé en moins d'un mois alors qu'il y avait des droits dus aux impôts. J'ai été tenue au courant de l'avancement du dossier sans souci.</t>
  </si>
  <si>
    <t>12/07/2019</t>
  </si>
  <si>
    <t>valerie-o-115989</t>
  </si>
  <si>
    <t>FACILITE D'UTILISATION
TARIF COMPETITIF 
RAPIDE A METTRE EN PLACE VIA INTERNET 
EN ESPERANT QUE TOUT SE PASSERA BIEN ET QUE CETTE ASSURANCE NE SERA PAS NECESSAIRE.....</t>
  </si>
  <si>
    <t>jp69-96817</t>
  </si>
  <si>
    <t xml:space="preserve">pour un sinistre de dégât des eaux du 1er juillet qui a touché plusieurs appartements j'attend toujours l'expert qui a déjà reporté plusieurs fois son rendez vous .prochaine date fin septembre constatel : zéro pointé 
une entreprise est venue a bout d'un mois pour assainir : nettoyer et sécher (car les moisissures dans les chambres ne sont pas bonnes pour la santé) mais seul l'arrachage des tapisseries a été faite...  aberrant !
je leur ai dit que ma femme ne peut plus travaillé car elle assistante maternelle et travail a la maison et cela nous porte préjudice.. mais là encore aucune réaction 
mon voisin lui a eu la visite de l'expert très rapidement et la semaine suivante les travaux ont commencé et aujourd'hui c'est déjà fini et oublié. je lui demanderais le nom de son assurance c'est sur ! 
 </t>
  </si>
  <si>
    <t>29/08/2020</t>
  </si>
  <si>
    <t>yajaroba-63260</t>
  </si>
  <si>
    <t xml:space="preserve">Le 17 février 2018 j'ai été victime d'un accident. Je conduisais ma moto et alors que je prenais un virage à droite j'ai été percuté par un jeune permis qui arrivait en sens inverse en coupant son virage. Par chance les dégâts n'ont été que matériels. Sur le constat il a été clairement établi que je virais à droite et que l'autre véhicule circulait en sens inverse, en virant à gauche et en empiétant sur ma voie de circulation.
Le dossier a été ouverts rapidement mais à ce jour je n'ai toujours pas reçu d'indemnisation après deux mois de procédure.
L’expert a conclu que ma moto est irréparable financièrement et par la suite on m’a demandé de prendre la décision soit de la conserver pour pièces, soit de la faire réparer sous contrôle de l’expert à mes frais ou soit de la céder à la compagnie. Ceci a été réalisé sans me communiquer la confirmation ma non-responsabilité dans le sinistre. Etant assuré qu’au tiers cette confirmation m’était indispensable pour prendre ma décision. Malgré tout, après réflexion et la réservation de la moto qui va remplacer celle-ci, j’ai envoyé tous les documents pour la céder.
Toutes mes conversations avec mon interlocutrice désignée s’est toujours conclu qu’elle est en attente des conclusions de la partie adverse sur la responsabilité.
Etant assuré pour deux voitures à la compagnie adverse j’ai réussi à avoir une conversation avec le gestionnaire du dossier de celle-ci. Il m’a affirmé de ne pas s’opposer à la responsabilité de son sociétaire depuis le début et qu’il est en attente du rapport chiffré de AMV pour verser mon indemnisation. 
Le 10 mars 2018, j’ai dû engager des frais personnels pour convoyer ma moto non roulante dans une concession pour l’expertise et le 24 mars 2018, j’ai dû effectuer l’opération inverse pour rapatrier celle-ci à mon domicile. J’ai transmis tout de suite la demande d’indemnisation à ma gestionnaire qui s’est occupé à la transmettre à l’expert que ce mardi 10 avril 2018 pour qu’il puisse le rajouter à mon dossier.
A ce jour mon véhicule a été enlevé par un épaviste et tous les documents de cession ont été transmis. Je me demande combien de temps mon dossier va perdurer avant d’être indemniser de cet accident où je suis victime.
</t>
  </si>
  <si>
    <t>14/04/2018</t>
  </si>
  <si>
    <t>delepierre-104221</t>
  </si>
  <si>
    <t>Comparé à d'autres mutuelles, les tarifs pourraient être plus compétitifs. Toutefois en raison de certaines  prestations très spécifiques, les tarifs élevés ont une explication. 
Quel dommage que nos correspondants locaux ne soient plus aussi disponibles, comme il y a 20 ans !!! Merci l'Europe...</t>
  </si>
  <si>
    <t>15/02/2021</t>
  </si>
  <si>
    <t>jglessinger-139620</t>
  </si>
  <si>
    <t>J'ai souscris mon assurance de prêt il y a plusieurs mois chez Afi Esca, rien à redire, assureur qui propose de bons services, les conseils sont personnalisés et leur équipe est très réactive. Je recommande.</t>
  </si>
  <si>
    <t>olivier-a-107849</t>
  </si>
  <si>
    <t xml:space="preserve">les prix sont compétitifs, l'accueil est sympa et efficace.
le site est facile à utiliser et bien fait.
je le recommande à toutes mes connaissances.
</t>
  </si>
  <si>
    <t>dunia-n-109285</t>
  </si>
  <si>
    <t>J'ai essayé d'appeler pour comprendre des détails de ce nouveau montant après des dizaines de minutes d'attentes vous n'avez pas pris mon appel et m'avez dit de rappeler ultérieurement</t>
  </si>
  <si>
    <t>claudine-87445</t>
  </si>
  <si>
    <t xml:space="preserve">Après une mauvaise expérience en passant par les services de Santiane j'ai décidé de refaire confiance à un comparateur en ligne et je suis tombée sur un cabinet lyonnais et j'ai été tres satisfaite par la qualité du conseil et des offres.Aujourd'hui je suis adhérente chez CEGEMA et tt ce passe bien </t>
  </si>
  <si>
    <t>21/02/2020</t>
  </si>
  <si>
    <t>roussel-p-129666</t>
  </si>
  <si>
    <t>Je n'ai pas encore pu profiter pleinement de votre offre, mais votre site internet, et votre réactivité correspond à mes attentes.
A voir par la suite</t>
  </si>
  <si>
    <t>fabrice-l-122645</t>
  </si>
  <si>
    <t xml:space="preserve">Je suis satisfait du prix de la rapidité du service reçu je pense même faire diffuser votre publicité à tous les gens que je connais, pour qu’il puisse se rendre compte que vous avez des prix abordables et intéressant. </t>
  </si>
  <si>
    <t>patrick-123933</t>
  </si>
  <si>
    <t>AdhésionMGP 2016 avant départ retraite. Je savais la MGP chère mais elle gère nos comptes AMELI cela me paraissait donc logique. Le 03 mai 2021 je remets une feuille maladie + facture pour les lunettes de ma fille (cadre de l'offre santé 100%). A ce jour la MGP qui n'a toujours pas remboursé a perdu la feuille de maladie mais reçu la facture...La conseillère m'a recommandé pour gagner du temps de demander un duplic et de le retourner moi même.
Conclusion : Je résilie</t>
  </si>
  <si>
    <t>marnie-68363</t>
  </si>
  <si>
    <t>bonjour à vous,
si j avais su que j aurai autant de soucis avec une assurance auto!!!
parfois pour faire des économies alléchantes on ferait mieux de réflechir !!
ne signez surtout pas de devis car vous etes engagés!!
j ai perdu plus de 300 euros!!
sans etre assuré (jamais une carte verte)</t>
  </si>
  <si>
    <t>29/08/2019</t>
  </si>
  <si>
    <t>gepeto01-39335</t>
  </si>
  <si>
    <t>mon assureur me réclame la prime, me fait poursuivre par des sociétés de recouvrements, des huissiers,alors que celle ci est prélevée par lui même et dûment payée comment faire pour ce débarrasser de ces gens incompétents</t>
  </si>
  <si>
    <t>16/03/2018</t>
  </si>
  <si>
    <t>patrick-62085</t>
  </si>
  <si>
    <t>A fuir !!!!!!!!!!!!!!!!!!!!!!!!!!!!!!!!!!!!!!!!!!!!!!!!!!!!!!!!!!!!!!!!!!!!!!!!!!!!!!!!!!!!!!!!!!!!!!!!!!!!!!!!!!!!!!!!!!!!!!!!!!!!!!!!!!!!!!!!!!!!!!!!!!!!!!!!!!!!!!!!!!!!!!!!!!!!!!!!!!!!!!!!!!!!!!!!!!!!!!!!</t>
  </si>
  <si>
    <t>07/03/2018</t>
  </si>
  <si>
    <t>laurent28-60094</t>
  </si>
  <si>
    <t>Manque de transparence lors de la signature des contrats qui sont difficilement consultables que sur tablette et lors de la signature + manque de sérieux au niveau de la gestion pilotée
Informations réelles reçues qu'avec le certificat d'adhésion reçu 15 jours après signature</t>
  </si>
  <si>
    <t>02/01/2018</t>
  </si>
  <si>
    <t>jedi-56511</t>
  </si>
  <si>
    <t xml:space="preserve">Des Rats : parce que je n'avais plus eu de voiture durant 7 ans et donc plus d'assurance, le commercial de chez ALLIANZ m'a dit qu'il allait Non seulement me mettre au "Tarif majoré nouveau jeune conducteur" (donc très cher...) et ceci malgré mes 35 ans de permis sans aucun accident responsable, sans suspension  de permis, ni aucun problème, mais qu'en plus du fait que je n'avais pas conduit selon lui durant 7 ans (malgré le fait que je loue des camionnettes et une voiture durant les vacances à titre privé) il m' annoncé qu'il allait en plus me rajouter 25% de sur-majoration en plus sur le "tarif jeune conducteur" ceci malgré que j'ai mon permis depuis 35 ans, que je suis prevenant et que je conduit sérieusement et sans jamais aucun problème. Des Rats qui ne pensent qu'à faire du Chiffre et du Rendement Financier, ils piétinent et méprisent littéralement leurs clients... </t>
  </si>
  <si>
    <t>06/10/2019</t>
  </si>
  <si>
    <t>jon-71655</t>
  </si>
  <si>
    <t xml:space="preserve">Attention désorganisation totale, 4 mois d'attente incapable de dépêcher un expert correctement. Quand j'appelle mon dossier n'avance pas ils ne savent rien, les pièces sont perdues, il faut s'énerver pour avoir gain de cause. Les commentaires sont truqués, fuyez ce service, la concurrence est bien meilleur. </t>
  </si>
  <si>
    <t>26/02/2019</t>
  </si>
  <si>
    <t>saga-105285</t>
  </si>
  <si>
    <t xml:space="preserve">Très bonne mutuelle, toujours disponible avec un bemol sur les appels téléphoniques un peu long sur l'attente mais les conseillers sont très professionnels </t>
  </si>
  <si>
    <t>mlh--131995</t>
  </si>
  <si>
    <t xml:space="preserve">Mon fils a eu 3 sinistres 2 non responsable et 1 50/50 alors que l’on pensait qu’il ne serait pas responsable (sinon on n’aurait pas fait marcher l’assurance vu le peu de frais) on ne nous a pas tenu informé qu’elle fut notre surprise quand on a voulu assurer une nouvelle voiture on apprend qu’il va être malussé et qu’ils ne l’assurent plus. Impossible d’avoir un responsable au téléphone on nous dit simplement changez d’assurance ou passez par Matmut nco horriblement cher. Sachant que l’on a tous nos contrats chez eux depuis des années (toutes assurances confondues même mutuelle moi et mes trois enfants) en fait tant que l’on a rien tout va bien et au moindre problème on nous jette. Je vais donc tout enlever et aller chez une autre assurance pris au dépourvu on ne nous donne pas le choix vu qu’aujourd’hui même je les ai appelé une dernière fois pour leur demander si j’avais plusieurs sinistres indépendants de ma volonté ou je n’étais pas responsable feraient ils de même à mon égard je pourrais potentiellement être virée ils m’ont répondu oui (Incroyable !!!!!!!) je suis dégoûtée </t>
  </si>
  <si>
    <t>patch-52166</t>
  </si>
  <si>
    <t xml:space="preserve">après 41 ans d'assurances pour tous mes contrats j'ai été radiée suite à 3 bris de glace dans le garage de mon immeuble ;bien que ce soit des actes de vandalisme sur tous les véhicules j'ai été considérée comme personne à risques et radiée sans tenir compte de mon ancienneté  </t>
  </si>
  <si>
    <t>07/02/2017</t>
  </si>
  <si>
    <t>cathy34-81433</t>
  </si>
  <si>
    <t xml:space="preserve">Plus de 30 ans à la  macif  peu de sinistres déclares  en octobre suite aux intempéries dans notre village qui a été reconnu comme catastrophe naturelle par arrête préfectoral  nous avons eu la visite d'un expert  qui a constaté les degats murs appareils de jardin détruits  tronçonneuse  ramasse feuille coupe haie tele plasma
Suite à cette intempérie nous avons des fuites à la demande de l'assurance nous avons effectué un devis concernant notre toiture ou le couvreur stipule bien que les dommages sont survenus suite aux intempéries, mais voilà l'expert et la Macif nous refuse de prendre en charge les travaux nous stipulant que ce n'était pas du aux  intempéries Et ces dommages sont sur une partie de notre toiture la plus récente, et que ces fuites sont bien survenues suite aux  intempéries, sinon nous aurions déclaré un sinistre à chaque pluies 
De plus la somme allouée par nos appareils qui est plus que dérisoire nous sera débloquée qu'à la réparation de la toiture, nous avons contesté et la Macif me dit faites appelez à votre propre expert, bien naturellement à nos frais à quoi ça sert de payer des assurances 
Je vais mettre fin à tous les contrats à la Macif, aucun dialogue et un expert qui m'annonce  oralement une certaine somme qui bien évidemment n'est pas la même que sur le papier
Nous avons un autre sinistre concernant un mur en train de s'effondrer mettant en cause le lotisseur qui a touché nos fondations lors du bitumage de notre chemin, ils doivent attendre que le mur tombe sur des gens 
Une honte, je suis scandalisée, fuyez la macif, tant que vous n'avez pas de problèmes tout va bien mais au premier sinistre c'est vite l'enfer 
</t>
  </si>
  <si>
    <t>sylvie-l-121844</t>
  </si>
  <si>
    <t>les tarifs commencent à être pas très attractifs !!! C'est dommage car depuis que je suis assurée chez vous pas un seul geste commercial, l'année prochaine je risque de faire appel à d'autres assureurs !</t>
  </si>
  <si>
    <t>morais-da-silva-d-125845</t>
  </si>
  <si>
    <t xml:space="preserve">Je suis satisfait  le prix me convient parfaitement  je pense que vous pouvez me donner le meilleur tarif pour mon merçedes merci beaucoup pour votre rapidité </t>
  </si>
  <si>
    <t>thierry28-56803</t>
  </si>
  <si>
    <t xml:space="preserve">Inadmissible,client depuis 17 ans dans cette compagnie,règlement parfait,aucun sinistres,ni en voiture ,ni en moto.
Je demande à cette compagnie d'assurer une petite moto 125 en leur indiquant que je viens de la réparer et que pour la vendre ,je souhaites l'assurer mais je précise qussi que je la vends car sa puissance est trop petite pour moi,j'avais une 1000 neuve assurer chez eux jusqu'à fin 2015,aucun sinistre bien entendu.
Je précise aussi que la vente de ce véhicule est faite aussi pour acheter une cylindrée plus importante qui elle bien entendue sera assurée à durer.
Et bien ,ils considèrent que ce contrat est un contrat provisoire et refuse de m'assurer.
alors que dire ,si les clients qui ont 17 ans de cotisation sans soucis et sans sinistres se voient refuser une assurance,ou est la confiance et le service de cette compagnie ?
Donc je pense que la meilleure solution est de prendre son temps et de chercher ailleurs un assureur plus compréhensif et plus commerçant ou je déplacerais mes contrats actuels de la Macif.
</t>
  </si>
  <si>
    <t>22/08/2017</t>
  </si>
  <si>
    <t>magoo-69830</t>
  </si>
  <si>
    <t>Banque à fuir !!!
Mon assurance vie prise chez Allianz m'a fait perdre 2% de mon capital. Il s'agissait soit disant d'un produit "défensif " CAP30 dont le rendement était estimé à 2% sauf que c'est l'inverse il s'agit d'un rendement de -2% ! Merci pour les bons conseils avant souscription et merci à la bande de traders qui me semblent totalement incompétents ... J'attends Février pour clôturer cette grosse ..... et récupérer mes billes.</t>
  </si>
  <si>
    <t>02/01/2019</t>
  </si>
  <si>
    <t>bamous-y-122453</t>
  </si>
  <si>
    <t>Jusqu’à maintenant je suis très satisfait, j’ai été conseillé et renseigné très rapidement de façon très efficace, je ne vois aucun défaut pour le moment.</t>
  </si>
  <si>
    <t>05/07/2021</t>
  </si>
  <si>
    <t>borro-49605</t>
  </si>
  <si>
    <t>+ 17% pour les cotisations 2017 par rapport à 2016 !
C'était déjà le cas l'année précédente avec + 17% de 2015 à 2016, c'est scandaleux.
Par conséquent nous avons du prendre une formule qui coûte moins cher donc moins bien remboursés ! et çà va être de même dans les semaines qui viennent</t>
  </si>
  <si>
    <t>26/11/2016</t>
  </si>
  <si>
    <t>01/11/2016</t>
  </si>
  <si>
    <t>kikizork-117164</t>
  </si>
  <si>
    <t xml:space="preserve">J essaye de me rétracter dans le délai de 14 jours pour une vente via internet pour un contrat d assurance moto que je ne souhaite plus car vous m avez fait une entourloupe en montent le prix par rapport au devis initial à cause d un sinistre datant de 30 mois . On va en arriver à faire agir ma protection juridique. Question communication déplorable impossible d avoir un humain au téléphone. Fuyez cette assurance a tout prix . </t>
  </si>
  <si>
    <t>caropes-112857</t>
  </si>
  <si>
    <t>Après plus de 25 ans de cotisations sans aucun sinistre nous avons eu un petit incident lors de notre déménagement et avons abimé la cage d'escalier de notre immeuble.
Alors même que la somme en jeu n'est pas importante,  ALLIANZ se défausse pour une raison totalement illégitime, son refus de garantie étant parfaitement contestable, ce qui nous a été confirmé par notre courtier lui-même !
Ce positionnement d'ALLIANZ est INNACCEPTABLE et contribue, si besoin en était, à la mauvaise réputation des assureurs.</t>
  </si>
  <si>
    <t>michel-99418</t>
  </si>
  <si>
    <t>Très content du service proposé. Le conseiller que j'ai eu était aimable et professionnel. J'ai pu rapidement changer mon assurance, et ce, sans aucun soucis. Je recommande.</t>
  </si>
  <si>
    <t>Magnolia</t>
  </si>
  <si>
    <t>30/10/2020</t>
  </si>
  <si>
    <t>tricoche-c-117972</t>
  </si>
  <si>
    <t xml:space="preserve">Pris élève par rapport à certains conçurent , mais je suis déjà client et préfère garder mes véhicules au même assureur . J ai donc quand même souscrit chez Olivier </t>
  </si>
  <si>
    <t>johanna-94176</t>
  </si>
  <si>
    <t xml:space="preserve">Je suis satisfaite de ce service, simple et rapide, facile d’accès. Les prix sont bas et avantageux pour les jeunes conducteurs. Je recommande pour la rapidité. </t>
  </si>
  <si>
    <t>nini93600-91492</t>
  </si>
  <si>
    <t>Cliente satisfaite. Les prix sont abordables et me conviennent. Je suis contente de pouvoir trouver une assurance qui me correspond. Je recommande à 100%</t>
  </si>
  <si>
    <t>long-d-110887</t>
  </si>
  <si>
    <t>Rien à redire sur les tarifs et les prestations proposées par April Moto. Surement le meilleur rapport qualité prix concernant les deux roues.
Merci d'avance.</t>
  </si>
  <si>
    <t>bio-duncan-68581</t>
  </si>
  <si>
    <t xml:space="preserve">Une honte cette compagnie a but lucratif! l'assureur vous fait payer des contrats et des options, mais quand il faut faire le travail d'un assureur (ne pas harceler un témoin, défendre son client et faire valoir ses droits) ils ne sont pas là! J'ai du à la suite d'un accident faire leur travail (contact des autorités, des témoins, relance de leur personnel dans différents services, suivi des délais) et quand enfin ils ont reconnu la non-responsabilité, ils m'ont résilié pour sinistre... Whaooo, je ne trouve pas de mots pour civilisé pour qualifier leur conduite et leur incompétence! 
Pour info, chez eux un impact pare-brise déclaré égal un sinistre et un motif de résiliation... une compagnie à fuir, moins de pubs et plus de travail d'assurance ca serai un peu mieux... Vu qu'ils n'ont pas d'actionnaires, on peut se poser la question d'où va tout cet argent des primes d'assurances ? 
</t>
  </si>
  <si>
    <t>13/11/2018</t>
  </si>
  <si>
    <t>patrick-f-105735</t>
  </si>
  <si>
    <t>le tarif annuel augmente beaucoup par rapport au coup de la vie et les préconisations gouvernementales.
pour le moment, on n'a pas fait appel à vos services donc avis moyen</t>
  </si>
  <si>
    <t>mourad-94060</t>
  </si>
  <si>
    <t xml:space="preserve">Le pris est chère. Les garantie sont satisfaisantes. 
Vous pourriez faire une réduction pour 1 personne déjà client.               
                    </t>
  </si>
  <si>
    <t>14/07/2020</t>
  </si>
  <si>
    <t>le-guen-l-114563</t>
  </si>
  <si>
    <t>Bonjour 
Remercie le conseiller téléphonique de ce matin qui ma conseiller pour finaliser le contrat 
Ma bien conseiller dans le cadre des démarches à effectuer et pièces à fournier...</t>
  </si>
  <si>
    <t>22/05/2021</t>
  </si>
  <si>
    <t>tommy-114096</t>
  </si>
  <si>
    <t xml:space="preserve">Néoliane est un très bon rapport qualité / prix / prestations pour peu que vous ayez un bon courtier qui s'occupe de vous , ce qui est mon cas . 
Je recommande. </t>
  </si>
  <si>
    <t>18/05/2021</t>
  </si>
  <si>
    <t>abderrazak-l-114276</t>
  </si>
  <si>
    <t xml:space="preserve">Cher et pas de remise si on assure plusieurs voitures. C'est dommage ! Je n'ai pas encore eu d'incident pour juger la couverture. (je touche du bois). </t>
  </si>
  <si>
    <t>19/05/2021</t>
  </si>
  <si>
    <t>naima-112683</t>
  </si>
  <si>
    <t>Assurance à fuir, en effet j'ai mon store extérieur qui le jour du 16 avril 2021, s'est cassé, je l'ai acheté 3800€ et la réparation est de 500€ aucune prise en charge par Alianz, refus car ce jour la il n'y avait pas de grêle!...
Je conseille la MACIF ou j'étais avant et ou je vais retourner au secours!! toutes les personnes qui veulent s'assurés chez Alianz quelles se préparent à faire la mendicité!...
COURT QUI PEUT</t>
  </si>
  <si>
    <t>pardi-k-126350</t>
  </si>
  <si>
    <t>Je suis satisfait du tarif en espérant que les prestations de l'assurance soient de bonnes qualités. 
J'espère recevoir assez rapidement ma carte verte.</t>
  </si>
  <si>
    <t>miou-80512</t>
  </si>
  <si>
    <t>A FUIR!!!!!!!!!!!!!! TOUT EST BON POUR NE PAS REMBOURSER! Passez votre chemin, ily a des assurances bcp mieux</t>
  </si>
  <si>
    <t>29/10/2019</t>
  </si>
  <si>
    <t>toni-138128</t>
  </si>
  <si>
    <t xml:space="preserve">Assurance à ne pas conseillé vous payer 250 euros par mois (Porsche Cayenne)et pas capable de vous rembourser le vol de ma voiture sa fait 7 mois car j avais une sonde à changer il fallait passé la contre visite du contrôle technique je n ai pas pu du au confinement donc il ne me prennent pas en compte merci la maif </t>
  </si>
  <si>
    <t>23/10/2021</t>
  </si>
  <si>
    <t>tanfeu-38909</t>
  </si>
  <si>
    <t>Une assurance d’incompétents. J'Attend mon remboursement depuis plus de deux ans pour un accident non responsable. Il m'a également fallu plus de 1 ans pour obtenir un relevé de situation..." ne vous inquiétez pas on vous l’envoi demain " je ne l'ai toujours pas eu ... Bref à éviter !</t>
  </si>
  <si>
    <t>13/07/2017</t>
  </si>
  <si>
    <t>jalladeau-d-109589</t>
  </si>
  <si>
    <t xml:space="preserve">Je suis très satisfaite de l'amabilité des conseiller et de leur efficacité. Prix très attractif. Merci à vous. Je recommanderai très volontiers cette assurance </t>
  </si>
  <si>
    <t>thibaut-105340</t>
  </si>
  <si>
    <t xml:space="preserve">Bonjour,
Je me suis fait accrocher par derrière sur l'autoroute et le véhicule a pris la fuite.  La MAIF m'a informé que j'allais avoir un malus car le tiers n'est pas identifié et que je ne peux pas prouver que je ne suis pas responsable. Je pense que sur l'autoroute on met rarement la marche arrière pour taper la voiture qui est derrière soi… Je lis sur certains sites que « Tout comme pour un accident non responsable avec un tiers identifié, si votre voiture a été endommagée par un conducteur responsable ayant pris la fuite, vous ne ferez pas l'objet d'un malus. » Là je trouve que la MAIF pourrait considérer que la faute ne m'incombe en aucun cas et ne pas m'appliquer de malus. La conversation avec une conseillère pas conciliante du tout et peu aimable s'est soldée par un refus catégorique et sans appel. Je suis vraiment déçu par la MAIF.
</t>
  </si>
  <si>
    <t>fatoumata--c-130045</t>
  </si>
  <si>
    <t>Je suis satisfaite au niveau du prix reste plus cas voir le temps de réaction  en cas de besoin de leur part .
Et voir la facilité des démarche en cas de probleme</t>
  </si>
  <si>
    <t>crs29170-72156</t>
  </si>
  <si>
    <t>Déplorable plein de soins non pris en charge alors que la cotisation est très chère ,pire des mutuelles !Aucun sens de l'humanité et de la santé.Mutuelle hyper chère et garanties nulles.</t>
  </si>
  <si>
    <t>14/03/2019</t>
  </si>
  <si>
    <t>jml-110591</t>
  </si>
  <si>
    <t>Très satisfait de cet assureur, je recommanderai surement cette assurance et si je devais reconduire une moto ( non vu mon age 79 ans ) je reprendrais AMV. Facilite de contact et d'écoute. Merci AMV;</t>
  </si>
  <si>
    <t>nut243-71247</t>
  </si>
  <si>
    <t>aucun service client, remboursement à + d'1 mois, site internet sans intérêt, on se demande comment une telle mutuelle peut exister!!!</t>
  </si>
  <si>
    <t>13/02/2019</t>
  </si>
  <si>
    <t>fender-79206</t>
  </si>
  <si>
    <t xml:space="preserve">Assurance à bannir et à fuir, j'ai souscris à cette assurance en tant que particulier après avoir assuré mon entreprise, le premier contact et parfait une conseillère qui connait son job nous fait souscrire, au bout d'un an ma voiture se fait incendié et la le calvaire commence, interlocuteur uniquement par téléphone aucun sens humain, après une sous évaluation de mon véhicule par l'expert je signale que je refuse l'offre et que je souhaite avoir l'expert pour explication, le lendemain je reçois un mail pour cédé mon véhicule, si je refuse je dois payé 20ttc par jour le gardiennage de la voiture, je le signale à la protection juridique de pacifica leurs réponse c'est a vous de prouvé que le véhicule vaut plus, par peur je cède le véhicule, 15 jours en retard et après avoir cède le véhicule je reçois le rapport expertise le kilométrage et sur évalué preuve a l'appuie les facture, je le signale, je suis enfin pris au sérieux, le service doit vous rappelez demain et bien évidemment cela n'est pas fait donc mail et appel depuis plus presque deux mois. Est dire que j'ai souscris a cette assurance car elle était beaucoup plus chère que la concurrence ce qui ma fait douté des autre assureur j'ai hâte que tout les contrat parte de chez eu.        </t>
  </si>
  <si>
    <t>14/09/2019</t>
  </si>
  <si>
    <t>marie5-78241</t>
  </si>
  <si>
    <t>bonjour, en ce qui me concerne je dois dire que je suis extremement déçue par ce groupe d'assurance; ma maman qui était femme de ménage a pris une assurance obsèque depuis très longtemps avant son décès ... quelle ne fut pas ma surprise de constaté quelle payait a fonds perdus depuis des années sans jamais en avoir été informée, je trouve vraiment ça honteux ..
Je leur ai fait un courrier et on m'a répondu que son contrat faisait partit des contrats aléatoires donc que c'est une convention réciproques dont les effets quant aux avantages et aux pertes, soit pour toutes les parties, soit pour l'une ou plusieurs d'entre elles, dépendent d'un évènement incertain. Meme si le décès est un évenement dont la réalisation future ne fait aucun doute, la date de survenance de cet évènement fonde le caractère aléatoire et la qualification du contrat d'assurance...
je comprends pas bien ce que cela veut dire !!
enfin bref je ne conseille personne d'avoir a faire avec cette société et qu'ils vérifient bien leur contrat pour ne pas payer pour rien ! une honte</t>
  </si>
  <si>
    <t>21/04/2020</t>
  </si>
  <si>
    <t>cricri-75278</t>
  </si>
  <si>
    <t>Je suis très satisfaites des services Santiane 
je suis chez eux depuis 4 ans je vous recommande vivement  ce comparateur
les remboursement sont très rapide.</t>
  </si>
  <si>
    <t>22/04/2019</t>
  </si>
  <si>
    <t>faye-76600</t>
  </si>
  <si>
    <t xml:space="preserve">En 4 ans je n'ai eu qu'un seul accident non responsable qui remonte à 1 an et demi . Il y a 3 mois, j'ai fait détruire mon véhicule. Aujourd'hui je reçois une décision interne  (arbitraire ) de direct assurance qui me dit que mon contrat sera résilié à la date anniversaire. Pourtant lorsque j'ai fait détruire mon vehicule j'en ai informé un conseillé qui m'a demandé deenvoyé les documents par mail. Et donc suite au courrier que je reçois aujourd'hui et en vérifiant mes comptes, il apparaît que direct assurance continue tranquillement de se servir sur mon compte... SCANDALEUX.
Je fais appel à une association consommateurs parce que là c'est trop ! </t>
  </si>
  <si>
    <t>08/06/2019</t>
  </si>
  <si>
    <t>noureddine-g-130232</t>
  </si>
  <si>
    <t xml:space="preserve">Très bien et très actif comme assurance bon qualité prix et très disponible pour toute information. 
L'assurance est vraiment bien dommage que les agence sur Paris ai fermé </t>
  </si>
  <si>
    <t>30/08/2021</t>
  </si>
  <si>
    <t>mickael-m-126735</t>
  </si>
  <si>
    <t xml:space="preserve">Je suis satisfais très bon tarif et site clair à voir par la suite vu que je viens de souscrire une assurance chez vous pour l'instant je peux que recommander </t>
  </si>
  <si>
    <t>loladelyon-123468</t>
  </si>
  <si>
    <t>Ma fille a subi un dégât des eaux dans son petit logement d'étudiant. C'était un désastre parce que logement petit, sans possibilité de faire sécher les vêtements, les tapis, les papiers, les clés de voiture noyées, bref la totale. Et tout ça à un mois de l'examen final de ma fille.
Le dossier a été traité très rapidement, l'expert désigné par la MAIF charmant, très compréhensif.
Ma fille a pu être indemnisée sans paperasse excessive et dans un délai très correct (3 semaines).</t>
  </si>
  <si>
    <t>alfdamie-59362</t>
  </si>
  <si>
    <t xml:space="preserve">Très difficile de se connecter! donc bonjour, je réponds plus particulièrement à une dame ou et demoiselle, ce, concernant "garantie locative, protection juridique  (dont dégradations immobilières), je suis bien placé pour confirmer qu'il n'y a qu'une seule "plateforme téléphonique" pour == dégradations immobilières : Montpellier !!! j'ai encore 2 dossiers en cours, j'ai déjà "perdu" environ 25 000 euros (devis) pour 2 maisons; jamais je ne rentrais dans les "créneaux" et.... avec PV d'huissier !! Non vous comprenez ce sont des "salissures" == nouveau mot pour détailler des dégradations, 4 M3 d'ordures et +++== non l'assurance n'assure pas le nettoyage!!! etc..... heureusement les Allemands sont plus propres que les Français, j'ai donc pris la décision de terminer de traiter ces malheureux dossiers, et, ensuite de quitter Pacifica, le Crédit Agriciole === qui s'aligne sur mes tristes histoires ou je suis très débiteurs, et je paye toujours mes cotisations (avec des frais de retard) .... la totale.
Donc au revoir la France, je me retire tout doucement.
Salutations distionguées.
  </t>
  </si>
  <si>
    <t>27/12/2017</t>
  </si>
  <si>
    <t>so-96109</t>
  </si>
  <si>
    <t>direct assurance, société d'assurance à fuir, j'ai été résilié pour un simple relevé d'information non conforme, je n'ai jamais reçu leur différents messages ou lettres, j'ai été résilié sans le savoir!!!! ils sont en plus hors la loi étant donné que je n'ai jamais reçu de lettre avec AR mentionnant ma résiliation!!!! A fuir.</t>
  </si>
  <si>
    <t>xarha-28438</t>
  </si>
  <si>
    <t xml:space="preserve">Très Satisfaite de mon Assurance L’olivier ,parfait,Conseillés sympathique et réactif ,Service Client à l’écoute ,Superbe, des prix compétitif et de bonne qualité </t>
  </si>
  <si>
    <t>15/10/2021</t>
  </si>
  <si>
    <t>sandrine-59048</t>
  </si>
  <si>
    <t>Bonjour, je ne recommande à personne cette assurance santé et prévoyance, pour vous dire sa fait 2ans que j'essaie de résilier et à chaque fois il trouve une excuse. Cette fois ci pas le bon terme. J'appelle et après avoir demandé à parler à un responsable la personne qui me répond me dit qu'il n'y en a pas et qu'elle connait pas son nom. Que dire de plus, elle m'a demandé de raccrocher alors que je lui parlais. Je n'hésiterai pas à donner mon avis défavorable envers eux</t>
  </si>
  <si>
    <t>sacia--d-128343</t>
  </si>
  <si>
    <t>Je suis satisfaite des services proposés par direct assurance 
Merci pour vos prix attractif et offres nous sommes 2 a avoir souscrit des contras automobiles chez vous</t>
  </si>
  <si>
    <t>nadia-a-121887</t>
  </si>
  <si>
    <t>Très satisfait du service et de sa réactivité.
A conseiller à d'autres personnes. Je pense que les choix pour l'assurance auto pourrait être plus clairs mais c'est déjà très bien !</t>
  </si>
  <si>
    <t>chbib-m-115903</t>
  </si>
  <si>
    <t>service excellent,que ce soit l'acceuil, les conseils, les prix sont résonnables, je conseille cette assurance à mon entourage, à tous ceux qui cherchent à s'assurer.</t>
  </si>
  <si>
    <t>thierry-b-126749</t>
  </si>
  <si>
    <t>Satisfait.
Efficace
Je préconise direct assurance pour signification de sa simplicité et de la facilité de son site en ligne.
Maintenant plus un avis est concis, plus compréhensible il sera</t>
  </si>
  <si>
    <t>06/08/2021</t>
  </si>
  <si>
    <t>tagada-87013</t>
  </si>
  <si>
    <t>Inadmissible
Aucun retour a mes mails car je veux résilier ma prévoyance
Proyance et produit assurance 
ainsi que GAV sinitre transmis via appli depuis 21/01/2020 aucun retour
Quand ont leur dit que le produits ne sont aussi bien mon ancien GAV ils se braquent
Auriez le mail du service client</t>
  </si>
  <si>
    <t>11/02/2020</t>
  </si>
  <si>
    <t>cloclo-139457</t>
  </si>
  <si>
    <t xml:space="preserve">Pour un sinistre voiture. Satisfaite de la rapidité et facilite de la prise en charge administrative au téléphone avec une interlocutrice pour expliquer les problèmes rencontres   </t>
  </si>
  <si>
    <t>12/11/2021</t>
  </si>
  <si>
    <t>emma-93090</t>
  </si>
  <si>
    <t>Je suis satisfaite du service. Les prix sont abordables et il y a une bonne réactivité de la part du service client. Je recommanderai cette assurance.</t>
  </si>
  <si>
    <t>mokhtari-b-124675</t>
  </si>
  <si>
    <t>Merci Direct Assurance et bravo j'étais galérer mais finalement j'arrive à m'en sortir et merci j'espère que tout le monde va voir comment bon courage au revoir</t>
  </si>
  <si>
    <t>25/07/2021</t>
  </si>
  <si>
    <t>carla-g-108815</t>
  </si>
  <si>
    <t>Je suis satisfaite de l'aide que j'ai eu des conseillers.
Notament le premier et dernier conseiller que j'ai eu au téléphone. 
Merci de m'avoir aidé dans cette démarche. 
Cordialement Carla.</t>
  </si>
  <si>
    <t>fuiyaitmatmut-64988</t>
  </si>
  <si>
    <t xml:space="preserve">Suite à une voiture incendiée la Matmut avait bien commencer les choses j’ai bien étais suivi mais sa na pas duré véhicule acheter 9500e il y’a 12 mois est 20 jours l’expert mappel pour me proposer 3900e sans compter qu’il ne c’est même pas déplacer pour voir le véhicule je lui explique l’état les photos l’es option là en 1 minute il me propose 5200e que je refuse bien évidemment il transmet sans rapport à la Matmut est là il le transfert au siège de la matmut je l’es contacte en leur signalant que la situation étais délicate que je travail est que je loue une voiture de ma poche est que part jours je gagne 15e net à cause de la location j’ai 1 enfant de 1 an et demi est ma femme est enceinte la femme de la Matmut me parle d’une façon j’avais l’impr Que je me cédait jugé j’étais télement déçu que je ne savait plus quoi dire une honte cette assurance part contre pour encaisser il savent faire vraiment déçu heureusement que je suis suivie part plus de 25 000 personne sur ma chaîne YouTube est que ma famille est la famille de ma femme aussi donc prochaine étape c’est de les traiter comme il me traite est je vais créer un page Facebook tous unis contre la Matmut est je vais tout résilier chez eux ainsi que ma famille j’espère juste que les 4000e perdu en 1 an je puisse leur faire perdre quelque millions je commencerait tous sa dans 1 semaine en espérant leur faire perdre 1 paquets d’argent </t>
  </si>
  <si>
    <t>22/06/2018</t>
  </si>
  <si>
    <t>pastel-61353</t>
  </si>
  <si>
    <t>Assurance de groupe imposée par l'entreprise.
Peut mieux faire eu égard aux cotisations très élevées versées par l'employeur et par le salarié.</t>
  </si>
  <si>
    <t>12/02/2018</t>
  </si>
  <si>
    <t>jean-pierre-p-114748</t>
  </si>
  <si>
    <t>Jesuis insatisfait de votre premier conseiller de clientèle qui m'a raccroché au nez, éducation basique
A contrario la seconde posée, bonne information, excellente communication top du top</t>
  </si>
  <si>
    <t>ngobo-59718</t>
  </si>
  <si>
    <t>CEGEMA à savoir d'abord ne pas une assurance mutuelle comme tout autre mutuelle. Elle ne respecte pas la loi Hamon et Chatel, or toute mutuelle est censée de la respecte pour ne pas prendre en otage un client qui trouve désagréable est libre de partir. Faite attention, elles sont dur et facile de vous rendre esclave en otage...</t>
  </si>
  <si>
    <t>jvallone-86850</t>
  </si>
  <si>
    <t>Cette complémentaire ne respecte pas la loi Chatel. Interlocuteurs qui cherchent absolument à rentrer du fric. Fuyez cette complémentaire. Méfiez-vous du contrat!! D'ailleurs cette mutuelle rencontre des difficultés de clientèles. Beaucoup de personne résilie suite à des malentendus aux droits à résilier....</t>
  </si>
  <si>
    <t>07/02/2020</t>
  </si>
  <si>
    <t>hoang-v-105304</t>
  </si>
  <si>
    <t xml:space="preserve">je suis satisfait pour le service rapide .Comme je suis votre client depuis très,très longtemps,merci pour une petite réduction de prix moins de 44E 18 par mois </t>
  </si>
  <si>
    <t>vandezande-i-137951</t>
  </si>
  <si>
    <t>je suis satisfait des services que j'ai demander et du contrat que jai souscrit la personne que j'ai eu au telephonne a su me donner les information que je souhaitais avoir.</t>
  </si>
  <si>
    <t>21/10/2021</t>
  </si>
  <si>
    <t>pipo-101088</t>
  </si>
  <si>
    <t>Très satisfaite de cet assureur j'ai essayé un autre et suis revenue très vite car ils sont vraiment à l'écoute et font le maximum pour les sinistres déclarés.  Le personnel des Sables-d'Olonne est très professionnel surtout les anciens</t>
  </si>
  <si>
    <t>18/01/2021</t>
  </si>
  <si>
    <t>nul-116535</t>
  </si>
  <si>
    <t>Catastrophique! pour le professionnalisme des employés dans le secteur , des réponses vraiment nul et en plus ils essayent de vous faire croire qu'un sinistre est pas couvert avec des articles dans les CGA qui ne correspondent pas AU SINSITRE QUE VOUS AVEZ DÉCLARE!</t>
  </si>
  <si>
    <t>jmgrasser-50679</t>
  </si>
  <si>
    <t>On me debite du montant du contrat alors meme que ce contrat est resilié. Au tel on me certifie que tout est ok, contrat annulé mais on me debite du montant d'un contrat fictif. La voiture ne peut pas assurée chez Direct Assurance car le propriétaire de la carte grise n'est pas l'assuré. Mais alors pourquoi valider le contrat et debite son montant?</t>
  </si>
  <si>
    <t>27/12/2016</t>
  </si>
  <si>
    <t>aurore-66533</t>
  </si>
  <si>
    <t>Tout simplement un tromperie. A fuir ! Sauf si vous voulez avoir à chercher un nouvel assureur au 1er sinistre. Au fait, quand on est résilier les prix sont multiplié par 2 alors ce qu'on a gagné pendant un an on le perd pendant toutes les années après.</t>
  </si>
  <si>
    <t>yassine-k-115471</t>
  </si>
  <si>
    <t>Accueil très sympathique. Une assurance claire et facile. Des offres variées, des modifications simples et très rapide. En espérons ne pas avoir besoin de l'utiliser. :)</t>
  </si>
  <si>
    <t>zaza24-104226</t>
  </si>
  <si>
    <t xml:space="preserve">Bonjour
Dégâts sur toiture suite tempête en 2019 (novembre et décembre) et SOGESSUR mandate l'expert SARETEC qui procède à une expertise via... google maps  !
En effet, pour la première tempête qui endommage une partie de la toiture et dans ce cas là, SARETEC estime une vétusté de ... 25% 
1 mois plus tard, une 2e tempête a lieu un mois plus tard et endommage une autre partie de la toiture et dans ce cas là, SARETEC estime une vétusté de ... 60%
En effet, personne ne se déplace mais expertise les dégâts selon le devis que je leur ai transmis puis en expertisant la toiture toujours via Google Maps... 
Une vétusté de 60% est appliquée à l'intégralité du devis (alors que les tuiles ne représentent que 5 à 10% du montant du devis et que, bien entendu , la MO est très majoritaire...) 
Cela fait 4 fois que j'appelle SOGESSUR qui se retranche derrière SARETEC. 
Egalement, je n'ai en aucune manière été informé de l'émission du rapport de SARETEC à l'assureur (pas de copie jusqu'à la semaine dernière soit plus d' un an après les faits) 
Je vais passer au RAR puis au dépôt de plainte. 
Si vous avez des témoignages à me communiquer, je suis preneur. 
Quant à SOGESSUR, vous connaissez mon dossier et j'en suis déjà au 4e ou 5e interlocuteur/trice qui m'explique toujours les mêmes choses (voir plus haut)... </t>
  </si>
  <si>
    <t>phil95340-77955</t>
  </si>
  <si>
    <t xml:space="preserve">INCAPABLE DE RÉSOUDRE LE MOINDRE PROBLÈME QU ILS ONT CRÉER EU MÊME 
VOUS BLOQUE AU TÉLÉPHONE ET REFUSE VOS APPELS
MALGRÉ 30 ANS D ADHÉSION SANS SINISTRE RESPONSABLE
JE DÉCONSEILLE FORTEMENT....JE VAIS RÉSILIER MES CONTRATS DANS LES JOURS QUI VIENNE ....
 </t>
  </si>
  <si>
    <t>26/07/2019</t>
  </si>
  <si>
    <t>lahcen-c-127203</t>
  </si>
  <si>
    <t xml:space="preserve">Avec direct assurance, je suis contente c'est simple et rapide. 
En plus y'a des garanties importants dans la vie Avec l'assurance 
Merci direct assurance. </t>
  </si>
  <si>
    <t>09/08/2021</t>
  </si>
  <si>
    <t>jecracke-52498</t>
  </si>
  <si>
    <t xml:space="preserve">La CNP retient abusivement le capital qui nous est dû suite au décès d'un parent qui a eu la mauvaise idée de souscrire une assurance vie chez eux. La CNP a pourtant tous les documents nécessaires au versement de ce capital mais prétend ne jamais avoir reçu nos courriers recommandés alors que nous avons l'accusé de réception qui est la preuve irréfutable de la remise de notre courrier et de surcroît envoyé par chacun des bénéficiaires (nous sommes trois donc la CNP n'a reçu aucun de nos trois courriers à les en croire). Comme c'est étrange. Mais surtout, quelle mauvaise foi. C'en est exaspérant et c'est à se demander comment on peut travailler pour une telle société et partager les valeurs de l'entreprise. Lorsque l'on parvient enfin à les joindre par téléphone, c'est pour s'entendre dire qu'ils ont un problème avec les envois en recommandé et qu'il faut renvoyer tout le dossier en courrier simple et rappeler 10 jours plus tard pour savoir s'ils l'ont bien reçu. Ben voyons, la réponse on la connaît déjà, votre courrier ne nous est pas parvenu Madame X, Monsieur Y, nous sommes navrés. Et là, aucune preuve remise du courrier. Facile. C'est consternant. La CNP a en effet un problème, non pas avec les envois en recommandé mais un problème tout court et un gros. C'est pourquoi nous avons saisi l'Autorité de Contrôle Prudentiel afin qu'ils prennent le relais et ouvrent une enquête sur le très gros dysfonctionnement d'ordre général au sein des services de la CNP. De telles pratiques sont malheureusement courantes mais elles sont intolérables et l'on sait très bien que les sociétés d'assurance mettent une éternité à débloquer les fonds qui leur rapportent bien plus d'intérêts que les pénalités de retard que la loi leur enjoint pourtant de payer. Au bout du compte, ce sont les bénéficiaires qui sont pris en otage et qui subissent une situation qui leur est imposée par des gens peu scrupuleux qui n'en ont absolument rien à faire de la m... dans laquelle ils nous mettent. Nous sommes toujours dans l'attente de notre dû, cela dure maintenant depuis novembre...
</t>
  </si>
  <si>
    <t>16/02/2017</t>
  </si>
  <si>
    <t>audrey-m-124333</t>
  </si>
  <si>
    <t xml:space="preserve">Merci de m’avoir assuré c’est gentil les sangs de la veine , je suis infiniment reconnaissante pour le service rendu . Plus efficace que vous c’est rare </t>
  </si>
  <si>
    <t>eric-a-117775</t>
  </si>
  <si>
    <t>Simple, rapide.
 les tarifs proposés ainsi que les garanties répondent a mes demandes.
devant l`urgence de ma situation, vous répondez clairement a mes attentes.</t>
  </si>
  <si>
    <t>jessica-w-132807</t>
  </si>
  <si>
    <t>bien, satisfaite des services et surtout de la réactivité pour les demandes occasionnelles. en revanche, dès qu'il y a un sinistre, là le délai de traitement est plus long.</t>
  </si>
  <si>
    <t>tres-decu-105051</t>
  </si>
  <si>
    <t xml:space="preserve">Augmentation de tarif inexpliquée en 2020. Réduction écopass douteuse. Réception à l’agence douteuse. Tarifs deux fois supérieurs aux devis reçus de la concurrence. Franchises restent très élevés avec grosses franchises pour plus de dix ans sans sinistres.
En pleine décrépitude </t>
  </si>
  <si>
    <t>vennet-a-135360</t>
  </si>
  <si>
    <t>Mise en place rapide. 
L'olivier est très conciliant.
Très bonne assurance .
Réponds vite à vos questions que se soit par tel ou par mail.
Je conseil l'assurance l'Olivier.</t>
  </si>
  <si>
    <t>laura-lesueur--115046</t>
  </si>
  <si>
    <t>Conseiller au top et prix raisonnable. Les informations sont simple et claires et la qualité de service est super. Je recommanderais à mes proches de venir chez vous</t>
  </si>
  <si>
    <t>27/05/2021</t>
  </si>
  <si>
    <t>berangere-m-127308</t>
  </si>
  <si>
    <t>J'attends de voir comment fonctionne le calcul de la tarification avec YouDrive.
Dommage de devoir être considérée comme jeune conducteur alors que j'ai mon permis et que je conduis depuis plus de 30 ans.</t>
  </si>
  <si>
    <t>tontonbubu-54321</t>
  </si>
  <si>
    <t>Je ne recommande a personnes ! 
Je suis victime d'un accident non responsable est assuré tout risque. Je suis en train de batailler pour que le dossier avance. J'ai envoyé tous les documents le jour même de l'accident. On me demande de payer la franchise malgré le fait que je ne sois pas en tort.  . Des incompétents</t>
  </si>
  <si>
    <t>04/02/2019</t>
  </si>
  <si>
    <t>olivierg95-85335</t>
  </si>
  <si>
    <t xml:space="preserve">Résilié pour 2 sinistres responsables en 2017 et 2018 dont 1 tout seul causé par une glissade sur une plaque de verglas
alors que je suis bonus a vis sur une assurance initialement sur un scooter et maintenant une moto et que j'ai également mon assurance habitation et scolaire chez eux
Ils n'aime les assurés que pour gagner de l'argent par en perdre d'aucune manière  </t>
  </si>
  <si>
    <t>bab-58447</t>
  </si>
  <si>
    <t xml:space="preserve">A eviter cherche à ne pas indemniser
Suite à un car jacking
Après 6 mois toujours pas de proposition d'indemnisation 
Assuré depuis 25 ans sans problèmes de paiement de cotisations 
Balloter d'un service à l'autre sans réponses depuis 6 mois
</t>
  </si>
  <si>
    <t>28/10/2017</t>
  </si>
  <si>
    <t>bil-63936</t>
  </si>
  <si>
    <t xml:space="preserve">Grosse flute Il vous font payer  4 mois et ensuite trouve des escuse  pour vous résilier  et garder les 4 mois d assurance .  Faite très attention .  A fuir  prévenez  votre entourage. </t>
  </si>
  <si>
    <t>12/05/2018</t>
  </si>
  <si>
    <t>florence-57232</t>
  </si>
  <si>
    <t>sociétaire depuis 40 ans fils et fille enseignants assurés maif.Quelle déception(a tomber a la renverse).J'en viens aufait.Le 15 juillet 2016' je  contacte mon agence locale ,pour des fissures apparues a mon habitation.Par retour de mail-mon agence me demande a quelle période elles sont apparues,en pensant que ceci n'était qu'une information,je leur réponds environ 2014.Réponse maif:pas de décret pour cette période ;dons pas de prise en compte garantie.Je m'incline et n'insiste pas.Mais au 1er septembre 2017 la commune d'auriol dont je fais partie et reconnue (en catastrophe naturelle).je  reprend contact avec mon agence locale:  et leur fait part de la nouvelle situation et dépose une 2éme déclaration.Toutes les conditions sont réunies puisque j'ai le contrat RAQVAM.Et la le piége se referme.Réponse maif: vous avez, dans  un 1er mail(le 15 juillet 2016)dit que les fissures était apparues  en 2014.Ce que j'avais pris pour une information ,n'était en fait qu'une piéce a conviction qui vas se retourner contre moi.(Pour la maif) la seule la malheureuse  déclaration anticipée (catnat) que j'avais déclaré hors décret: vas étre pris en compte sans discussions.Alors que aucun expert n'a était mandaté pendant ( jusqu'a maintenent),et que les fissures de 2016 sont sans commune mesures, avec celles de 2014.Je me demande quelles sont les conditions retenues de cette garantie(avant trop tot)(pendant pas de chance) (aprés trop tard).La française des jeux en somme.J'ai la désagréable impression d'avoir été pris pour un imbécile et de me heurter a un mur.</t>
  </si>
  <si>
    <t>24/09/2017</t>
  </si>
  <si>
    <t>xavier-a-138055</t>
  </si>
  <si>
    <t>Bien pour l'instant, A voir comment sera effectué le service. Etant nouveau client, il est encore trop tôt pour prononcer un avis sur les prestations et le rapport qualité/prix.</t>
  </si>
  <si>
    <t>michael-o-114593</t>
  </si>
  <si>
    <t xml:space="preserve">je suis satisfait du service 
simple et direct  renseignement rapide 
tres bon rapport  qualité prix  par rapport a d'autres assurances pour les mêmes options
 </t>
  </si>
  <si>
    <t>aurelienb-56050</t>
  </si>
  <si>
    <t>Accueil très agréable, explications claires, et rapport qualité prix +++, je suis très content très services et renseignements, 
 j'ai donné vos cordonnés à un ami pour assuré la voiture.</t>
  </si>
  <si>
    <t>17/07/2017</t>
  </si>
  <si>
    <t>paisana-m-125231</t>
  </si>
  <si>
    <t xml:space="preserve">Je suis satisfait de la rapidité pour s'assurer en ligne. interlocuteur a l'écoute de mes besoins Les prix sont convenables pour les jeunes conducteurs </t>
  </si>
  <si>
    <t>aventurier44-50578</t>
  </si>
  <si>
    <t>Quelle déception du service clients d'E Allianz qui ne daigne pas répondre à un E mail, qui coupe les conversations téléphoniques, qui ne respecte pas son contrat. Quelle désinvolture envers un fidèle client.Si pas de réponse dans une semaine, je change de compagnie d'assurance.</t>
  </si>
  <si>
    <t>22/12/2016</t>
  </si>
  <si>
    <t>fanfan1476-63667</t>
  </si>
  <si>
    <t>un peu cher et franchise élevé sinon prestations optimales
beaucoup de pubs peut etre diminuer les couts serait judicieux</t>
  </si>
  <si>
    <t>30/04/2018</t>
  </si>
  <si>
    <t>jeny-97939</t>
  </si>
  <si>
    <t xml:space="preserve">Bonjour l'olivier assurance est une très bonne assurance il on été la même dans des moment très compliqué il mon toujour trouvé une solution au plus vite et toujour dans notre intérêt je les recommande toujour très sympathique jamais eux de personne froide au téléphone même dans les moment ou jy croyais pas il mon toujour rassurée merci encore a toute l'équipe de l'olivier sa change de beaucoup d'autres </t>
  </si>
  <si>
    <t>28/09/2020</t>
  </si>
  <si>
    <t>maurice-m-111792</t>
  </si>
  <si>
    <t>Très satisfait du service et des conseils , de la rapidité et du professionnalisme des conseillers et de leur courtoisie, et bien sur sans oublier le prix. A voir à l'usage</t>
  </si>
  <si>
    <t>27/04/2021</t>
  </si>
  <si>
    <t>boubou-s-124512</t>
  </si>
  <si>
    <t xml:space="preserve">Je suis satisfait pour prix et la réactivité, c’est extraordinaire de travailler avec direct assurance, ça fait plusieurs années que je travaille avec vous je suis toujours content </t>
  </si>
  <si>
    <t>nicokaid-106501</t>
  </si>
  <si>
    <t>Cela fait bientôt 6 ans que je suis chez l'olivier assurance auto et je n'ai jamais eu de soucis pour le faire rembourser. C'est tout ce que j'attends de la part d'une assurance.</t>
  </si>
  <si>
    <t>jos-122386</t>
  </si>
  <si>
    <t xml:space="preserve">Je rejoint les avis précédents, ne surtout pas souscrire a cegema, a fuir, probleme pour 
obtenir un accord préalable soit 1 mois et demi, mantenant dans l'attente de leurs part
de remboursement,j'envoie aujoud'hui un recommandé, ensuite je saisi le médiateur des 
assurancesA0011s15548.
adresse:médiation de l'assurance
tsa 50110
75441 PARIS cedex 9
il faut les harceler !...., demander a votre courtier le mail de l'inspectrice de région.  </t>
  </si>
  <si>
    <t>goguy-113569</t>
  </si>
  <si>
    <t>Mon interlocutrice était d une extrême gentillesse ,elle m'a tout expliquer avec un très grand calme .la seul chose qui ai gênant c est de ne pas pouvoir prendre la formule au-dessus de la mienne tous de suite .</t>
  </si>
  <si>
    <t>12/05/2021</t>
  </si>
  <si>
    <t>mohamed-e-126699</t>
  </si>
  <si>
    <t>Je suis satisfait de direct assurance. Je souhaite juste connaître les modalités et démarche à suivre pour le dédouanement de mon véhicule. Merci pour vos conseils !</t>
  </si>
  <si>
    <t>dabou-m-124752</t>
  </si>
  <si>
    <t xml:space="preserve">Je suis satisfait du contrat signé. Le prix me convient, il correspond à mes attentes. l'échange avec le votre commercial était très explicite. Elle était a l'écoute. </t>
  </si>
  <si>
    <t>fera-62922</t>
  </si>
  <si>
    <t>J'ai souscrit et payé la cotisation annuelle hâtivement en moins de 30 minutes et lorsque je me suis rendu compte que les garanties n'étaient pas adéquates et qu'il était Impossible de changer avec le service client dans l'heure qui à suivie. J'ai immédiatement annoncée que j'allais faire valoir le droit à rétractation. Malgré un mail et lettre AR la compagnie m'a répondu que dans ce type de contrat, les conditions générales de ventes(a priori illégales) ne permettent pas un droit à rétractation. Résultat des frais des retenues non justifiées et remboursement partiel 2 mois après! Saisine de l'autorité de régulation ACPR PRUDENTIEL. En conclusion sans préjuger de la décision à venir se méfier d'une assurance qui prend des libertés avec les dispostions légales. A fuir ;-)</t>
  </si>
  <si>
    <t>04/04/2018</t>
  </si>
  <si>
    <t>jude111-49410</t>
  </si>
  <si>
    <t>Scandalisé!
Suite à la sécheresse de 2016 sanctionnée par un arrêté préfectoraldes fissures traversantes sont apparues sur  les murs de la villa de ma maman ,personne âgée de 93 ans.
Depuis 2ans la macif tergiverse prétextant des manques de fondations imaginaires qui ont été réfutées par un expert auprès des tribunaux.il nous est impossible de savoir
 Le résultat de l expertise contradictoire et les raisons de la non prise en charge de la macif. Cette maison construite il y a 45 ans  et assurée depuis cette époque se serait fendu sans le moindre problème exterieur  et sans raisons
Heureusement que ma femme qui s occupe des dossiers sinistres à la maif ne gère pas comme ça : j aurai divorcé depuis longtemps.
Comment peut on se  foutre  des gens et d une personne de 93 ans . L expert à la solde de la macif doit savoir qu elle n a pas le temps devant elle, et en profite</t>
  </si>
  <si>
    <t>04/10/2019</t>
  </si>
  <si>
    <t>barreau-n-116994</t>
  </si>
  <si>
    <t>Bon conseils et prix attractifs pour un jeune conducteur et pour une première voiture. Beaucoup de refus d'autre compagnie d'assurance. Je recommanderai à un proche si nécéssaire.</t>
  </si>
  <si>
    <t>clairette84-67279</t>
  </si>
  <si>
    <t>ancienne assurée chez vous et après avoir contacté plusieurs autres assureurs, je reviens chez vous pour la bonne qualité et le sérieux de vos conseils</t>
  </si>
  <si>
    <t>02/10/2018</t>
  </si>
  <si>
    <t>jean-pierre-a-126865</t>
  </si>
  <si>
    <t xml:space="preserve">Je suis satisfait du service. Super assurance a conseiller ! Pas cher et très très bien , parrainer par ma fille et mon gendre je ne pas déçu. J’adore </t>
  </si>
  <si>
    <t>lik-115049</t>
  </si>
  <si>
    <t xml:space="preserve">nul rien d'autre à dire
accueil tres froid
des propositions loin de la réalité
 0 disponibilité des conseillers de clientèle
prix de l'assurance excessif
qualité de l'intervention en cas de sinistre pas top
</t>
  </si>
  <si>
    <t>olivier-r-134714</t>
  </si>
  <si>
    <t>Simple, tres pratique
convivial et très rapide pour finaliser entièrement un nouveau contrat.
L'insertion automatique des données du conjoint facilite un contrat familial.</t>
  </si>
  <si>
    <t>27/09/2021</t>
  </si>
  <si>
    <t>jeoffrey-l-113037</t>
  </si>
  <si>
    <t>Je paie beaucoup trop cher pour une Peugeot 107 1,4hdi, ma 206 était beaucoup plus puissante et je payais bien moins cher.
J'aimerais un geste commercial de votre part si possible car toute ma famille est chez vous.</t>
  </si>
  <si>
    <t>gemtel12-104883</t>
  </si>
  <si>
    <t xml:space="preserve">je ne recommande pas cette mutuelle assurance 
je ne veux pas répéter la même chose ... que vous savez mieux dire que moi 
  &amp; je vous prie à toutes &amp; à tous de me faire suivre vos plaintes &amp; réclamations &amp; dé-accords formulés avec vos coordonnées complètes .... 
que je ferais suivre ... afin de demander l'annulation de nos contrats 
l'Union fait la Force .... JURIDIQUEMENT 
à : gemtel12@yahoo.fr 
ON VA GAGNER ENSEMBLE </t>
  </si>
  <si>
    <t>ferrariporsche-57889</t>
  </si>
  <si>
    <t xml:space="preserve">Clio volée 7/7, avisé de sa trouvaille le 25/8 , au 30/9 toujours pas remorqué?
Clio trouvée après 30jours Macif prétend non avant sans preuve ni précision date et ville ni courrier officiel.Le 3 oct.Macif écrit que la Clio arrivera au garage X et c est un garage Z qui vous contacte.Suis je face à des professionnels?
</t>
  </si>
  <si>
    <t>08/10/2017</t>
  </si>
  <si>
    <t>sandrinerobert-90151</t>
  </si>
  <si>
    <t>Facile à joindre et toujours correct et respectueux.</t>
  </si>
  <si>
    <t>nirvanana-99309</t>
  </si>
  <si>
    <t>Très satisfaite de cette assurance. Très bien couverte pour un prix très abordable par mois. Le service indemnisation est réactif et efficace. Je recommande.</t>
  </si>
  <si>
    <t>27/10/2020</t>
  </si>
  <si>
    <t>zoe-antoine-112421</t>
  </si>
  <si>
    <t>Hors de prix, refuse de faire une offre adaptée après 10 ans de clientèle. 
Personne désagréable au téléphone. 
Juste bon à prendre l’argent. 3 fois plus cher qu’ailleurs. Honteux point final.</t>
  </si>
  <si>
    <t>moichiraz-88484</t>
  </si>
  <si>
    <t>Cliente depuis 4 ans chez Direct Assurance aujourd'hui je découvre à quel point cet assureur est une calamité et à fuir.
Le 25.02, une femme (à son 4ème accident responsable de l'année) percute mon véhicule et le projette sur le véhicule de devant
Avec 1300 euros d'assurance par an (pack tranquillité / véhicule de prêt), non responsable de cet accident, l'assurance en 20 jours n'a pas procédé à l'expertise du véhicule.
- Au prétexte qu'en date du 25.02 après mon appel, ils n'ont pas crée le sinistre.
- Puis que j'ai omis de les informer d'où ILS AVAIENT EUX MEME remorqué mon véhicule
- Je découvre que je n'ai pas de véhicule de prêt car subtilité, le véhicule de prêt est octroyé seulement en cas de réparation... Or mon véhicule doit être expertisé car potentiellement économiquement non réparable.  On me consent 15 jours de location de véhicule ce qui est largement insuffisant pour avoir le résultat de l'expertise et acquérir un nouveau véhicule. 
Aujourd'hui, en période de confinement, l'assureur qui n'a pas son travail dans les 20 jours précédant le début du confinement, m'indique que je n'aurai rien jusqu'à la fin du confinement.
Voilà comment en étant non responsable d'un accident et en payant 1350 euros d'assurance annuelle vous vous retrouvez sans véhicule alors que vous habitez en rase campagne...
Je répète que même si je comprends que le confinement n'est pas du fait de l'assurance, Direct Assurance n'a pas bougé d'un iota durant les 20 jours qui ont précédé le sinistre...</t>
  </si>
  <si>
    <t>23/03/2020</t>
  </si>
  <si>
    <t>paquita-e-108361</t>
  </si>
  <si>
    <t xml:space="preserve">Je trouve cela Trop cher car fais moins de 5000 km par an et n'ai jamais eu de problème.
Et cela a terriblement augmenter depuis le début de ma souscription. </t>
  </si>
  <si>
    <t>valerie--137348</t>
  </si>
  <si>
    <t xml:space="preserve">Je suis très satisfaite de mon assurance salaire à la MGP. Je la recommencerai volontiers à mon entourage et ami(es). Les conseillers sont très aimables et leurs explications sont claires. </t>
  </si>
  <si>
    <t>cn-66633</t>
  </si>
  <si>
    <t>Mauvaise communication, ils ont attendu le dernier moment pour me dire qu'il y avait un soucis avec les documents que j'ai fourni, mon conseiller ne m'a jamais recontacter pour me donner la finalité par rapport a ma situation, ils sont non chalant et franchement je préfère payé un peu plus et avoir un meilleur suivi.</t>
  </si>
  <si>
    <t>louiski-71790</t>
  </si>
  <si>
    <t>Très bonne assurance ! les tarifs sont très compétitifs et le service client est parfait :  beaucoup d'amabilité et qualité des réponses apportées. Pour avoir eu 2 sinistres en 1 mois, je peux également attester de la qualité de la gestion des sinistres avec un excellent suivi du dossier de la part du conseiller. Leur réseau agréé propose systématiquement un véhicule de remplacement ainsi qu'un service de pose et dépose à domicile! 
A suivre, à la prochaine échéance si l'impact sur ma cotisation n'est pas trop important ;-)</t>
  </si>
  <si>
    <t>yves-51181</t>
  </si>
  <si>
    <t>Tout va bien tant que vous n avez pas de sinistres. 2 sinistres non responsables ( accident de voiture avec animal et cambriolage), et la les ennuis commencent. Pas d indemnisation des biens volés même avec facture, mauvais diagnostic de l' expert quant au dommage au véhicule, du coup contre expertise mais aucune prise en compte. Total résultat aucune indemnisation. Je change d assurance. N'y aller surtout pas !!</t>
  </si>
  <si>
    <t>11/01/2017</t>
  </si>
  <si>
    <t>shirley-t-121592</t>
  </si>
  <si>
    <t xml:space="preserve">Satisfaite du relationnel client mais pas du suivi. Pas d'envoi de ma vignette donc 1 mois sans assurance apparente sur ma voiture. Il a fallu que je les contacte pour faire bouger les choses et boitier Youdrive défaillant, communication par mail inexistant pour prévenir le client. </t>
  </si>
  <si>
    <t>morgan-o-133544</t>
  </si>
  <si>
    <t xml:space="preserve">Pourquoi ne me propose t-on pas le paiement mensuel étant déjà client chez vous.
Car selon ce qui est écrit cela aurait été mon choix mais pour cela il aurait fallut me poser la question !
Merci de votre compréhension </t>
  </si>
  <si>
    <t>19/09/2021</t>
  </si>
  <si>
    <t>mehdi-88860</t>
  </si>
  <si>
    <t xml:space="preserve">Bonjour,
Ma femme c'est fait volé sont véhicule il a plus de 2mois.
Cela fait maintenant un mois que nous n'avons Plus aucune nouvelle de la matmut aucune réponse à nos mails ou nos appel.
L'employeur De ma femme menace de la licencier car aujourd'hui elle n'a plus la possibilité de ce rendre à son travail et malheureusement le télétravail est impossible.
Comment faire pour être indemnisé rapidement ? </t>
  </si>
  <si>
    <t>14/04/2020</t>
  </si>
  <si>
    <t>mallaury-b-127723</t>
  </si>
  <si>
    <t xml:space="preserve">Bonjour très bonne réputation Rapidité et très explicite logiciel très bien tenu et bonne garantie. Après niveau tarif conforme au publicité sur la télévision </t>
  </si>
  <si>
    <t>12/08/2021</t>
  </si>
  <si>
    <t>maaf-51834</t>
  </si>
  <si>
    <t>J'ai déposé une réclamation sur un conseiller. A ce jour, je n'ai aucun retour. On se moque des clients, on leur ment ... Je demande un releve d'information sur un de mes véhicules, il faut au final appelé pour l'avoir.
Je n'ai jamais été aussi décue d'une assurance que je paie très cher. Quand on dépose une réclamation pour obtenir des excuses et un geste commercial, à cause d'un conseiller qui ne respecte pas ses clients, on étouffe l'affaire. Je vais très prochainement dire adieu à la maaf.</t>
  </si>
  <si>
    <t>30/01/2017</t>
  </si>
  <si>
    <t>mallaury-l-128632</t>
  </si>
  <si>
    <t xml:space="preserve">Génial. Je recommande. Très intuitif m, très simple et très très rapide. Le site est fait parfaitement bien pour vous aider. Service client disponible pour vous accompagner </t>
  </si>
  <si>
    <t>stephane-m-127018</t>
  </si>
  <si>
    <t>RAS TOUT EST OK JE COMMUNIQUERAIS LES PIECES MANQUANTE A RECEPTION DU DOSSIER SINO L ETABLISSEMENT DU DOSSIER EST SIMPLE ET RAPIDE JE TROUVE CELA TRES PRATIQUE</t>
  </si>
  <si>
    <t>guitchmada-81127</t>
  </si>
  <si>
    <t>Impossible de se connecter depuis 2mois. Aucun message d'erreur après tentative de login. Aucune communication d'AFER pour dire où ils en sont
On dirait qu'ils mettent en PROD un site non testé, mal migré</t>
  </si>
  <si>
    <t>19/11/2019</t>
  </si>
  <si>
    <t>sarah-s-114241</t>
  </si>
  <si>
    <t>Je suis satisfait de quasiment tout 
La GMF offre un service complet en terme d'assurance
J'attends encore quelques améliorations
Cependant, je donne un 5 étoiles aussi pour les services en ligne.
Je peux tout faire en ligne</t>
  </si>
  <si>
    <t>lalla-g-138573</t>
  </si>
  <si>
    <t xml:space="preserve">je suis satisfaite de la proposition de l'olivier assurance. de l'accueil téléphonique et des conseilles proposer.
quelques difficultés pour la connexion avec l'espace personnel et la finalisation du contrat.   </t>
  </si>
  <si>
    <t>29/10/2021</t>
  </si>
  <si>
    <t>romain-m-129383</t>
  </si>
  <si>
    <t>Bonjour
Nous sommes très content de votre proposition et de l’accord que nous avons trouvé concernant l’assurance du véhicule de notre fils Romain Martin merci à bientôt Christine Martin</t>
  </si>
  <si>
    <t>catrin-l-127514</t>
  </si>
  <si>
    <t>Très satisfait pour la souscription. En espérant que mon expérience avec l'Olivier assurance se poursuive dans les mêmes conditions et tout sera parfait</t>
  </si>
  <si>
    <t>el-fifi-99406</t>
  </si>
  <si>
    <t>Ne répondent pas au tél ou parès des attentes interminables ! Interdisent la réponse par email et donnent 1 réf différente à chaque envoi sur leur messagerie en ne reprenant pas la réf de départ et donc sont incapables de suivre un historique ! Réclament des costisations indues ! Sont incapables de mettre en place NOEMIE avant des mois quand il s'agit de la CPAM mais surtout de la MGEN ! Bref, à éviter impérativement ! Avis d'un mutualiste qui a connu Swis Life, GFP, UMC, Verspieren, Touraine Mutualiste, SMEBA, etc.</t>
  </si>
  <si>
    <t>christelle-d-113427</t>
  </si>
  <si>
    <t>Je suis satisfaite de vos tarifs. Les tarifs sont obtenus par Le Lynx. Ces éléments semblent très attractifs. L'ergonomie de votre site internet est agréable</t>
  </si>
  <si>
    <t>lepescadou-95820</t>
  </si>
  <si>
    <t xml:space="preserve">très content de cette assurance contact aimable et compétent pour en avoir fais expérience.accident de voiture 2 fois et réaction rapide et a l'ecoute.
</t>
  </si>
  <si>
    <t>graziella-l-138296</t>
  </si>
  <si>
    <t xml:space="preserve">Je suis satisfaite du produit et du tarif.l Inscription est facile et rapide en le réalisant sur internet.
Les choix sont intéressants et conviennent à toutes les bourses.
</t>
  </si>
  <si>
    <t>26/10/2021</t>
  </si>
  <si>
    <t>deszcz-j-129837</t>
  </si>
  <si>
    <t>Prise en charge difficile lorsque l'on tombe en panne loin de chez sois un vendredi soir...
Mauvaise expérience vécue avec un précédent véhicule l'année dernière</t>
  </si>
  <si>
    <t>27/08/2021</t>
  </si>
  <si>
    <t>angelique-m-114839</t>
  </si>
  <si>
    <t>Je suis satisfait du service et de l'accueil téléphonique ainsi que des renseignements fournis.
L'interlocutrice a été de bons conseils.
Les tarifs sont convenables.</t>
  </si>
  <si>
    <t>erdi-e-105851</t>
  </si>
  <si>
    <t>Service client ne répond pas au bout de 15min d'attente. Prix exorbitant. Site internet pas au point. Je suis extrêmement déçu des prestations de la compagnie.
Je vais fuir !</t>
  </si>
  <si>
    <t>seb-108757</t>
  </si>
  <si>
    <t>La seule assurance a la quelle j'ai souscrit qui n'indemnise jamais ses clients en cas de sinistre, tous les moyens sont bons pour ne jamais indemniser (utilisation de loi sans aucun rapport et autres...)
FUYEZ</t>
  </si>
  <si>
    <t>gaudre-r-113517</t>
  </si>
  <si>
    <t>Prix tout à fait correct et adapté à ma situation ainsi qu'à l'âge de ma voiture.
Conseillers joignables et courtois.
Souscription facile et rapide.
Je recommande.</t>
  </si>
  <si>
    <t>alicia100300-115927</t>
  </si>
  <si>
    <t>Assurance très concurrentes sur le marché, ils proposent un prix très attractif. Notamment les jeunes permis (50% moins cher pour une assurance complète. J'ai eu un sinistre il y a peu de temps, la prise en charge était plutôt réactif, j'ai pu les appeler plusieurs fois afin d'avoir des renseignement. Le réponse au téléphone était rapide. Le seul point négatif est le temps que l'expert à mis pour venir au garage (environ 1 mois). N'hésitez pas à utiliser mon code partenaire : LOA-FQKS45</t>
  </si>
  <si>
    <t>chaussy-g-125678</t>
  </si>
  <si>
    <t>difficile pour un néophyte en informatique. j"ai ete obligé de me faire aidé jespère que tout est bien fait. je reste dans l'attente de ma carte verte et vous remercie de l'accueil que j'ai reçu.</t>
  </si>
  <si>
    <t>louise-67465</t>
  </si>
  <si>
    <t xml:space="preserve">Des incompétents qui vous ajoutent des options sans votre accord puis tentent de vous imposer la signature d'un nouveau contrat pour éviter votre fuite vers d'autres assureurs. A éviter absolument. </t>
  </si>
  <si>
    <t>08/10/2018</t>
  </si>
  <si>
    <t>252500-52626</t>
  </si>
  <si>
    <t xml:space="preserve">la macif et une tres bonne assurance a condition que vous ne vous en servé pas lorsque vous en avez besoin aie les degas 31 ans avec 50% depuis plus de 20 ans sociétaire il se dise moins chere faut car il faut ajouté des petit plus </t>
  </si>
  <si>
    <t>21/02/2017</t>
  </si>
  <si>
    <t>pereira-ortet-m-116744</t>
  </si>
  <si>
    <t xml:space="preserve">Satisfait du service en ligne et rapidité dans les démarches pour l'inscription et paiement ainsi que l'ouverture de mon espace assuré. Je suis rassuré d'avoir pu souscrire chez vous </t>
  </si>
  <si>
    <t>jfcjeff-76745</t>
  </si>
  <si>
    <t>APRÈS DIFFICULTÉ DE REMBOURSEMENT L4INTERLOCUTEUR DE SANTIANE A RÉSOLUT LE PROBLÈME RAPIDEMENT</t>
  </si>
  <si>
    <t>13/06/2019</t>
  </si>
  <si>
    <t>avatar-52447</t>
  </si>
  <si>
    <t>ayant une mauvaise santé c est un combat de tout instant pour essayer de vous faire indemniser ils n ont pas commencé a le faire que deja un expert est missionner et tout est bloqué jusqu a la date du rdv bravo april et un petit conseil prendre un expert avec vous en cas d expertise aussi non c est perdu d avance APRIL a bannir</t>
  </si>
  <si>
    <t>15/02/2017</t>
  </si>
  <si>
    <t>sebastien-m-106830</t>
  </si>
  <si>
    <t>je très insatisfait, déçu, car je me fais vandalisé et le bris de glace ne fonctionne pas.
Totalement décevant.
 Je part de chez vous, assuré  depuis plusieurs années sans aucun sinistre bravo la reconnaissance.</t>
  </si>
  <si>
    <t>ana-103405</t>
  </si>
  <si>
    <t xml:space="preserve">A fuir de toute urgence. Mutuelle qui ne sait pas répondre aux questions. Ils n'ont jamais les informations ou des infos changeantes en fonction des agents... Certains agents manquent de  courtoisie, d'aimabilite... Le Délai de traitement extremement long. Le Délai de remboursement n'en parlons pas !!
J'attends toujours mes remboursements depuis août (nous sommes bientôt en février...)
Partez, fuyez... Mais ne leur laissé pas votre santé et votre argent !! </t>
  </si>
  <si>
    <t>29/01/2021</t>
  </si>
  <si>
    <t>frappeur-benguiste-97817</t>
  </si>
  <si>
    <t>Il y a 5 ans j'ai souscrit à une assurance habitation pour 35 euros mensuel. A ce jour je suis à 40euros par mois. en 5 ans j'ai déclaré 1 seul sinistre pour un dégât des eaux l'année dernière c'est à dire en septembre 2019. Nous sommes en Septembre 2020 et après plusieurs recommandé, je n'ai toujours pas entendu parlé de mon assureur.   Franchement si vous avez de l'argent à jeter par la fenêtre, pour pouvez allez à la SOGESSUR. si vous allez sur un comparateur pour souscrire à une assurance, si la SOGESSUR vous propose le meilleur tarif, passé votre chemin. Je ne recommanderai pas cette compagnie d'assurance à quelqu'un , même à mon ennemi. ABSOLUMENT PAS.</t>
  </si>
  <si>
    <t>24/09/2020</t>
  </si>
  <si>
    <t>gregory-d-135029</t>
  </si>
  <si>
    <t xml:space="preserve">Je suis satisfait du service, les prix me conviennent, simple et pratique. Bon contact avec Benjamin. Il est agréable et réactif.
Je recommande vivement. 
</t>
  </si>
  <si>
    <t>sylvie-a-122677</t>
  </si>
  <si>
    <t>je suis entièrement satisfaite du service de direct assurance.
les prix sont raisonnable. je pense que les bons conducteurs devraient avoir un bonus supplémentaire.</t>
  </si>
  <si>
    <t>marques-c-122408</t>
  </si>
  <si>
    <t>Je suis satisfaite du service et du prix qui me semble correct. L'accueil téléphonique a été très bien également et les conseils ont été bons. Merci à vous</t>
  </si>
  <si>
    <t>alexb-93349</t>
  </si>
  <si>
    <t xml:space="preserve">Je suis client Depuis 2009 aucun soucis Dossier toujours bien suivis en cas de sinistre ou autres je suis entièrement satisfait de direct assurance Je recommande vivement </t>
  </si>
  <si>
    <t>07/07/2020</t>
  </si>
  <si>
    <t>catherine-d-134884</t>
  </si>
  <si>
    <t xml:space="preserve">Satisfaite des différentes solutions d assurances proposées
Facilité d inscription et de résiliation
Les garanties sont bien expliquées
Très rapide clair limpide
Les prix sont très attractifs
</t>
  </si>
  <si>
    <t>juju-66842</t>
  </si>
  <si>
    <t>Expérience très courte et très décevante. Ne faites pas mon erreur et fuyez! J'ai commencé les démarches auprès de cette assurance dans le but de faire des économies.
J'ai payé plusieurs mois puis impossible d'avoir un contrat. Ayant plusieurs centaines d'euros d'engagées, je fais un dossier de fraude auprès de ma banque pour bien non rendu.</t>
  </si>
  <si>
    <t>malek-d-133312</t>
  </si>
  <si>
    <t>Je suis satisfait de l accueil de AMV pour assurer mon scooter, en espérant continuer longuement à vous faire confiance , au plaisir de votre soutien.</t>
  </si>
  <si>
    <t>17/09/2021</t>
  </si>
  <si>
    <t>crapet-y-127175</t>
  </si>
  <si>
    <t xml:space="preserve">Je recommande  cette assurance personnel à l écoute et très agréable à répondu à toutes mes questions et m a proposé une formule adaptée à ma recherche </t>
  </si>
  <si>
    <t>christophe-m-132163</t>
  </si>
  <si>
    <t>super et simple d'utilisation
Pratique et l assistance et fiable
rapide au niveau intervention
convivialité au téléphone je recommande tarif imbattable</t>
  </si>
  <si>
    <t>philmatt1-78328</t>
  </si>
  <si>
    <t>Pas cher !!!!! J'ai eu un sinistre non responsable, voiture moins d'un an. Remboursement intégral.  Après  menace et insistance,  j'ai été remboursé au bout de 6 mois. Des que l'on tombe sur mon dossier la ligne se coupe... Bizarre...</t>
  </si>
  <si>
    <t>vali-59544</t>
  </si>
  <si>
    <t>Très mauvaise compagnie d'assurance. Ne souscrivez surtout pas chez eux..a part encaisser les cotisations, rien. Assureur à éviter absolument ! Assurance irrespectueuse de ses bons clients. Je déconseille fortement cette assurance . Je n ai jamais vu ça.</t>
  </si>
  <si>
    <t>10/12/2017</t>
  </si>
  <si>
    <t>fantic305-64002</t>
  </si>
  <si>
    <t>J'ai souscrit un contrat d'assurance sur le site, réglé l'acompte demandé il y a plus de 12 jours et là silence interstellaire.
Pas de mail pour fournir un numéro de dossier, pas de contact téléphonique, pas de possibilité de consulter l'avancement du dossier, impossible d'avoir un responsable sans passer par un numéro surtaxé</t>
  </si>
  <si>
    <t>21/01/2019</t>
  </si>
  <si>
    <t>mike-s-130611</t>
  </si>
  <si>
    <t>Je suis très satisfait de ce service et je le conseille à mes proches également de s’abonner, Direct assurance reste le numéro 1 des assurances, les prix bas.</t>
  </si>
  <si>
    <t>any-91988</t>
  </si>
  <si>
    <t>Bonjour, je suis totalement désespérée de l'attitude de Metlife, je suis très mécontente, je ne donne même pas une étoilé à cette assurance. C'est le pire assureur connu dans ma vie, c'est catastrophique. C'est absolument impossible à joindre. Je suis assuré depuis le 5 avril 2019, mais ma banque n'avait pas encore accepté le changement d'assurance. J'ai eu une réponse positive à partir du 5 décembre 2019 (Lettre que j'ai reçu le 25 novembre). J'ai envoyé tous les documents le 27 novembre pour demander l'avenant de mon contrat (Avec le début du contrat le 5 décembre) et aussi en demandant le remboursement de primes payé du 5 mai au 5 novembre. Je n'ai pas eu du tout de réponse, j'ai relancé plusieurs fois le mail a dip@metlife.fr même de plusieurs adresses mail. Finalement, j'ai eu une réponse que le 12 mai 2020 (6 MOIS APRES), avec mon avenant de contrat qui commençait le 5 décembre et j'ai reçu un mail en disant que je serai remboursée le total que j'ai payé en plus du 5 mai au 5 novembre mais ils m'ont remboursé un 30% de ce que le mail disait. J'ai envoie un mail pour demander pourquoi je n'ai pas reçu la somme totale et bien évidement pas du tout de réponse.
En plus, pendant le confinement, ma banque m'a demandé une lettre d'accord de la part de l'assurance pour reporter la mensualité de mon crédit vu que j'étais en chômage partiel. J'ai envoyé un mail a dip@metlife.fr et aussi a gestion.sinistre@metlife.fr et encore sans réponse. Dans le moment que j'avais besoin de l'assurance que je paie tous les mois et je n'ai pas réussi faire reporter mes mensualités. Je me demande pourquoi je dois continuer payer une assurance qui n'est pas là dans le moment que j'ai besoin. Ça sert a quoi avoir cette assurance ??? Je regrette infiniment avoir changer l'assurance. A part que je ne récupère pas mon argent, je ne compte pas avec les bénéfices d'avoir une assurance dans le cas je ne peux pas payer mon crédit.
Si je pouvais ne pas mettre d'étoiles, je n'en aurais pas mis un seule. C'est n'importe quoi cette assurance. J'ai eu une expérience désastreuse.</t>
  </si>
  <si>
    <t>23/06/2020</t>
  </si>
  <si>
    <t>arthur--102516</t>
  </si>
  <si>
    <t xml:space="preserve">Personnel sérieux et compétent
Prix raisonnable
Dossier rapide à faire, même pour les changements d'assurance, carte verte un peu longue à recevoir mais ça reste raisonnable </t>
  </si>
  <si>
    <t>karim-108005</t>
  </si>
  <si>
    <t>Bonjour , 
je souhaite remercier le conseiller Génération . Sa connaissance du logiciel ainsi que sa gentillesse nous on permis de communiquer et de solutionner ma problématique.
super accueil et conseiller très humain. 
Cordialement.</t>
  </si>
  <si>
    <t>aureliemercier44850-94700</t>
  </si>
  <si>
    <t xml:space="preserve">Il n'y a pas de mot pour décrire cette assurance qui spolié  les clients... Ils ont gagné du temps pour éviter de me rembourser. Au chômage depuis Janvier 2020, j'ai passé mon temps à renvoyer des papiers qu'ils avaient déjà ou ils me demandaient des papiers qui n'avaient rien à voir avec ma demande... Le covid et le confinement à le dos large. Bref aucun remboursement en vu car j'ai fini de payer mon prêt auto donc bizarrement ils ne peuvent plus rien faire pour moi... Quel manque de respect, j'ai payé 5 ans une assurance de prêt...
Lamentable </t>
  </si>
  <si>
    <t>magali-j-134051</t>
  </si>
  <si>
    <t>A voir dans l'avenir, premier contrat chez vous je ne pourrais juger réellement qu'avec un peu de recul. Les prix semblent vraiment très raisonnable, mais je ne pourrais savoir que vous êtes aussi bien qu'un assureur physique que si un jour j'ai besoin de vous.</t>
  </si>
  <si>
    <t>22/09/2021</t>
  </si>
  <si>
    <t>turkan29-105884</t>
  </si>
  <si>
    <t>Dommage que l'on puisse pas mettre 0, suite a des gros pépins de santé, l assurance ne prend plus en charge car mon mari "est consolidé" la blague apres une operation artrodese rate des douleurs epouvantable une station debout impossible plus de 1 heure d affilé, pour leur expert tous va bien, il ne peut plus reprendre son boulot selon leur expert incapacité a reprendre son metier taux incapacité 100% , sur un autre métier 50% malgrés ca il n indemnise rien car il  peu exercé un métier de surveillance!!!!!!dixit le rapport d expertise De qui se moque t on, ils attendent quoi qu'il se mette une balle car oui il est a bout a la douleur physique évidente s ajoute une très grosse dépression.J'aimerai les voir ces assuranceurs après 3 ans a souffrir physiquement nuit et jour a ne pas dormir une nuit correcte, notre vie s'est arrêtée a la suite de cette accident plus de sortie, plus de vacances, vivre avec quelqu'un qui souffre en permanence et loin d'être évident toute la famille est impacté .Un conseil fuyez fuyez.Je précise que je suis au cmb depuis toujours tous mes comptes et assurances sont là, mon père était administreur.Mes oncles y ont travaillé.Quelle déception.La banque a qui parlé, oui parlé au mur vous aurez plus d écoute.Un conseil fuyez.</t>
  </si>
  <si>
    <t>Suravenir</t>
  </si>
  <si>
    <t>jean-philippe-p-123306</t>
  </si>
  <si>
    <t>Je suis très satisfait des contrats signés, du rapport garantis et prix,  et de l'accueil la sympathie des renseignements et de la patience de la conseillère..</t>
  </si>
  <si>
    <t>victor-b-110622</t>
  </si>
  <si>
    <t xml:space="preserve">prise de contact rapide, rappel par le support rapide, conseiller reste a l’écoute en cas de besoin 
meilleurs proposition de prix part rapport la proposition de la  banque   
</t>
  </si>
  <si>
    <t>pat-57711</t>
  </si>
  <si>
    <t xml:space="preserve">Bonjour,
j'ai été insulté par une personne me disant que je ne savais pas m'exprimer, car elle me demandait mon échéance de contrat voiture, mais elle me parlait de l'année 2016. Elle m'a finalement raccroché au nez. Honteux, je change d'assureur immédiatement.
</t>
  </si>
  <si>
    <t>29/09/2017</t>
  </si>
  <si>
    <t>frank-123726</t>
  </si>
  <si>
    <t xml:space="preserve">Jamais la quand vous en avez besoin service exécrable à fuir ! Pas d'aide en cas de sinistre pas d'aide en cas de contrôle pour le prix excessif pas de service client plus d'un mois pour obtenir un remboursement inacceptable </t>
  </si>
  <si>
    <t>chrichouchris-52704</t>
  </si>
  <si>
    <t>Via le site Assurland, j'ai découvert que cette assurance prenait en charge les personnes malussées et ayant des difficultés pour pouvoir se réassurer, ce qui était mon cas. Accident responsable avec les conséquences qui s'en suivent (perte de point, amende, suspension du permis de conduire avec visites médicales obligatoires). J'ai rempli mon dossier, fourni toutes les pièces nécessaires pour la constitution de celui ci, payé ma cotisation en une seule fois, les deux parties ont signés. tout était ok.
Je reçois un mail aujourd'hui m'indiquant qu'ils avaient décidé de me résilier conformément à l'article L 113-4, car mon permis a une durée de validité !! ?? C'est un accident responsable avec suspension de permis de conduire ! une seconde visite médicale est obligatoire pour l'obtention définitive de son permis de conduire ...
assurance qui ne couvre en aucun cas des gens ayant eu un accident responsable.
Je déconseille fortement cette assurance.</t>
  </si>
  <si>
    <t>23/02/2017</t>
  </si>
  <si>
    <t>spector-alain-99606</t>
  </si>
  <si>
    <t xml:space="preserve">Il faut être vigilant chaque année sur les augmentations de tarif et ne pas hésiter à réclamer un ajustement.
Ceci dit, je suis satisfait du niveau de remboursement et de la rapidité de paiement.
Le site internet n'est pas très intuitif quand on a également des placements chez Allianz mais c'est une question d'habitude.
Les employées de l'agence sont sympathiques et à l'écoute. </t>
  </si>
  <si>
    <t>04/11/2020</t>
  </si>
  <si>
    <t>cleo-76668</t>
  </si>
  <si>
    <t>Proposition intéressante mais un peu tardive, la relance aurait pu s'effectuer plus tôt.
Sinon le prix est correct et le montant des remboursements semblent avantageux.</t>
  </si>
  <si>
    <t>11/06/2019</t>
  </si>
  <si>
    <t>christophe-w-124643</t>
  </si>
  <si>
    <t>comparez le prix de mon assurance il y a 4 ans et aujourd'hui, pour cette même voiture avec AUCUN sinistre, vous comprendrez pourquoi je vais changer d assurance</t>
  </si>
  <si>
    <t>eric-80963</t>
  </si>
  <si>
    <t xml:space="preserve">SINITRE DECLARE LE 14 JUILLET 2019, depuis nous sommes le 13 novembre RIEN impossible à joindre par tel, aucune réponse par mail RIEN  et pourtant j'ai transmis un devis 30 septembre, mais non rien à battre de rien </t>
  </si>
  <si>
    <t>vasse-g-137705</t>
  </si>
  <si>
    <t xml:space="preserve">Je suis bien satisfait dû service
Les prix me conviennent
Simple et pratique
Apelle téléphonique parfait
A la écoute de nos demandes
J en parlerais à mon entourage
</t>
  </si>
  <si>
    <t>18/10/2021</t>
  </si>
  <si>
    <t>cassandre-98744</t>
  </si>
  <si>
    <t xml:space="preserve">Très professionnel et sérieux . 
Répondent aux appels téléphoniques très rapidement, service très sympathique.
Je recommande les yeux fermés, que nous soyons jeunes conducteurs ou expérimentés les prix sont très attractifs. 
</t>
  </si>
  <si>
    <t>kevinf-104041</t>
  </si>
  <si>
    <t>Un "retour sous 5 jours ouvré" qui ressemble plus à 15 jours ouvrés pour un rétroviseur cassé. 
J'ai contacté l'assurance pour une amelioration de formule et on m'a menti en m'expliquant qu'en couverture tout risque, la franchise ne s'appliquait qu'aux degats de ma responsabilité. C'est faux, si le tier n'est pas identifié (vandalisme, vol, etc) la franchise est à payer. 700 € en plus, la honte. Je me barre a la fin de mon contrat, tous a vouloir nous prendre notre argent, et menteurs de surcroit.</t>
  </si>
  <si>
    <t>12/02/2021</t>
  </si>
  <si>
    <t>le-consommateur-123806</t>
  </si>
  <si>
    <t>Avec ma compagne et nos enfants nous avons presques toutes nos assurances chez axa,  nous n'avons jamais eu de sinistre et ceci depuis des dizaines d'années. Ce jour je leur communique que ma télévision 50 pouces qui a 6 ans à commencé de fumer. Je dois, faire faire un devis de réparation: Problème, ne pouvant pas transporter ma télé, je dois faire venir à mes frais un dépanneur, ce dernier devra me faire un devis qui doit compoter l'origine de la panne. Soit c'est un  problème de vétusté (et je n'ai droit à rien) soit cela provient d'un coup de foudre ou d'une surtension, et je suis remboursé partiellement avec une franchise de170 euros. Geste commercial 0. Un conseil oubliez axa,ce que je vais faire en changeant toutes mes assurances de chez cette compagnie.</t>
  </si>
  <si>
    <t>pecquet-f-105449</t>
  </si>
  <si>
    <t>je suis entièrement satisfaite, aussi bien concernant mon assurance voiture qu'habitation accueil très aimable et professionnel
d ailleurs j 'ai parrainé mon mari et ma fille
continuez ainsi</t>
  </si>
  <si>
    <t>jp01-137667</t>
  </si>
  <si>
    <t>attention eurofil vous résilie sans raison il m ont résilié avec 50% de bonus sur six ans . 
Juste un accrochage pas de ma faute sur un parking 
Maintenant je suis fiché comme client a risque dur de retrouver une assurance</t>
  </si>
  <si>
    <t>canibale8-60545</t>
  </si>
  <si>
    <t>Le prix proposé est attractif seulement en 4 mois je n'ai pas eu d'attestation d'assurance.</t>
  </si>
  <si>
    <t>16/01/2018</t>
  </si>
  <si>
    <t>kiki-138065</t>
  </si>
  <si>
    <t>Mutuelle d 'entreprise obligatoire .je l ai gardee en tant que retraite mais je vis changer.multiples contacts pour avoir de simples remboursements,étude de devis mal faits ( oubliés de prendre en compte le cas que le médecin était OPTAM) ,DEMANDE D'ATTESTION SUR L'HONNEUR COMME QUOI je n'avait pas d'autre mutuelle( comme si on allait payer 2x 200 euros pour être remboursés de 10 ).
Je la deconseille vivement à tous les comités d'entreprises et à tous les particuliers</t>
  </si>
  <si>
    <t>pascal-132028</t>
  </si>
  <si>
    <t>Je déconseille fortement ! ! !
La note attribuée pour le prix est cohérente avec le service rendu.
Début juillet, ma fille s'est fait voler son vélo dans son garage assuré chez Direct Assurance.
Elle a transmis le 5 juillet les documents nécessaires afin de permettre rapidement de réparer la porte du garage et permettre le remboursement de son préjudice (facture du vélo volé).
Depuis, un serrurier mandaté par cette assurance s'est déplacé et attend toujours le retour du devis afin de finaliser les travaux de remise en état de la porte du garage, une intervention rapide nécessitant moins de 30 minutes !
L'assureur demande désormais le décompte de banque sur lequel figure le montant de l'achat effectué par un membre de la famille de a fille ainsi qu'une attestation émise par cette personne !
Celui ci date de 2017 !
Sauf que ma fille déménage demain et doit donc rendre les clés au propriétaire !
Je ne penses pas que celui-ci appréciera que ma fille lui dise que la réparation de la porte de son garage est en attente depuis plus de deux mois du bon vouloir de l'assureur... qui n'assure pas rapidement.
Le délais de 2 mois étant nécessaire avant de demander l'intervention du médiateur, la démarche est en cours.
Bien évidement, afin d'éviter toute déconvenue ultérieure, les démarches sont en cours afin de résilier les deux contrats (habitation et auto).</t>
  </si>
  <si>
    <t>sandrine--b-134191</t>
  </si>
  <si>
    <t>Satisfais de votre service de l'aide que vous m'avez faite ,j'ai eu un peut  de panique pour faire ce devis ,je me suis un peut mélanger les pinceaux merci encore</t>
  </si>
  <si>
    <t>23/09/2021</t>
  </si>
  <si>
    <t>vivi-66222</t>
  </si>
  <si>
    <t>cela fait plus dun mois quon ma volé mon tmax assuré tt risque et a l'année....et un mois après je nai aucunes nouvelles ni oar mail ni appels je trouve ca inadmissible et jai pas lintention den rester la! assurances des plus pitoyables, je les relance plusieurs fois par semaine mais on tombe au standard qui est inutile</t>
  </si>
  <si>
    <t>Assur Bon Plan</t>
  </si>
  <si>
    <t>phdb-40277</t>
  </si>
  <si>
    <t>Compliqué pour avoir un client au tél, personne ne décroche, je souhaitais avoir des infos pour souscrire mais personne pour renseigner. Dommage je vais rester chez L'olivier Assurance car de toute façon les tarifs sont quasi identiques et on me dit que super prix chez Direct la première année puis augmentation sans raison...</t>
  </si>
  <si>
    <t>15/09/2017</t>
  </si>
  <si>
    <t>jacques-l-131390</t>
  </si>
  <si>
    <t>très satisfait d' AMV, depuis que je suis client, toutes assurances confondues, ma satisfaction est totale, tranquilité , facilité, et toujours, si besoin ,quequ'un au téléphone de gentil et compétent.</t>
  </si>
  <si>
    <t>05/09/2021</t>
  </si>
  <si>
    <t>celine-l-108295</t>
  </si>
  <si>
    <t xml:space="preserve">simple et pratique/ bon tarif
rapide/interlocutrice sympathique et efficace
je vais pas faire une dissertation pour un changement d'assurance quand même
</t>
  </si>
  <si>
    <t>28/03/2021</t>
  </si>
  <si>
    <t>linda-g-126070</t>
  </si>
  <si>
    <t xml:space="preserve">Simple  et pratique, assurance abordable avec différentes options, 
Devis envoyé rapidement et bien expliqué , possibilité  de payer mensuellement
Je recommande. </t>
  </si>
  <si>
    <t>david-53918</t>
  </si>
  <si>
    <t>J'ai fait une demande de prime de naissance en janvier 2017. Temps standard de traitement annoncé par leur service : 15 jours. 
Nous sommes en avril 2017, et rien ne se passe. Je les appelle toutes les semaines, ils me disent "vous avez notre parole, ça sera fait dans la semaine. Mais rien ne se passe.</t>
  </si>
  <si>
    <t>07/04/2017</t>
  </si>
  <si>
    <t>maggio-a-113946</t>
  </si>
  <si>
    <t>Prix et services au top. Simplicité dans le paiement et la contractualisation. Je recommande cette assurance réactive mais aussi compétitive part rapport aux autres</t>
  </si>
  <si>
    <t>17/05/2021</t>
  </si>
  <si>
    <t>nath12-58199</t>
  </si>
  <si>
    <t xml:space="preserve">Actuellement assurée depuis 8 ans, mais plus pour longtemps, je suis outrée de voir comment mon dossier est géré.
Tous d’abord, l' « expert » à sous-évalué le montant des réparations 785,20 €  pour la réfection peinture et papier d'une pièce de 27 m².
J'ai eu la bêtise de ne demander que la réfection partielle : un pan de mur et tout le plafond (là, il n'y a pas le choix). J'ai obtenu un devis à 1 090 € communiqué en mars. Début avril, je reçois un virement de 628,16 €. Je ne comprends rien et appelle la MAIF. Ils me disent que cela correspond au montant chiffré par l'expert (sur pièce (càd sur photo) puisqu'il ne s'est jamais déplacé) déduction faite d'une soi-disant franchise de 157,04 €. Il s’avère que cette information est fausse et qu’il s’agirait en fait d’une vétusté devant m’être restituée sur présentation de la facture, selon la même gestionnaire, qui n’a pas été choquée de m’affirmer au préalable que ce montant comportant des centimes était une franchise…. 
Je conteste l’évaluation et surtout leur reproche d’avoir procédé à un virement sans me laisser le choix de recourir à un artisan agréé. Je leur demande donc de revoir le chiffrage ou de missionner quelqu’un après que je leur ai remboursé la somme virée sans me demander mon avis.
La gestionnaire du dossier fait mine de faire revoir le devis par l’expert puis m’oppose un refus. Je demande une expertise sur place ; elle refuse au motif que cela couterait aussi cher que la différence entre mon devis (1 100) et le montant estimé par l’expert (700).
Je demande alors qu’elle me communique les coordonnées d’artisans agréés. Silence radio.
Une avocate intervient. Mi-juillet 2017 (souvenez-vous tout ceci a commencé début mars 2017, la gestionnaire dans sa grande bonté nous communique enfin des noms d’entreprises agréées (pas très proches de mon domicile, bien évidemment…) ou me laisse la possibilité de percevoir le montant du devis de mars 2017.
Je recontacte l’artisan qui refuse d’intervenir, sa société a changé de statut, il a de plus gros chantiers et n’a plus le temps… Bref, j’ai enfin de quoi le payer mais il ne veut pas intervenir.
Je refais faire des devis mais en précisant que l’assurance ne veut pas payer une reprise totale et ne versera que 1 000 €.  
Beaucoup ne se déplacent même pas ou refusent de me faire un devis, d’autres chiffres à 1 900 € la reprise partielle ou entre 4 et 6000 € la reprise totale. 
Désespérée, je demande à mon avocate s’il est possible que l’assurance accepte de verser la somme de 1 600 € estimée entre temps pas l’expert pour un reprise totale, afin d’amortir au maximum le seul devis à peu près dans les clous à 1 900 € (pour une reprise partielle uniquement).
Là, la gestionnaire, responsable de tout ce bazar s’offusque et ne comprend pas pourquoi je ne fais pas intervenir l’artisan de départ, qui rappelons-le ne veut plus intervenir plus de 4 mois après son devis. Et pire encore, m’accuse d’avoir perçu indûment, voleuse que je suis, le franchise qu’elle m’aurait soi-disant remboursée ! Oui, on parle bien de la franchise, qui n’en est pas une mais de la vétusté…  
Je n’ai pourtant jamais perçu ni la somme de 125 € ni la somme de 157,04 €. Cette dame qui ne connait pas son dossier et me cause préjudice m’accuse désormais de choses erronées, ce qui est facilement prouvable (aucun virement…). Vu ses compétences, peut-être a-t-elle viré cette somme à un heureux bénéficiaire….
Il est impossible d’avoir un autre interlocuteur que la personne qui a ruiné mon dossier et me cause du tracas depuis mars 2017 en raison de son ingérence.
Quand on sait que certaines personnes perçoivent 1 000 € pour un cabinet de toilette de 1 m² et que lorsque l’on veut être honnête en faisant une réfection partielle et donc à moindre coût d’une pièce de 27 m², on nous pourri comme ça… C’est honteux ! Je suis dégoutée, je n’ai plus de mot… 
C’est décidé, je vais voir ailleurs si j’y suis !
</t>
  </si>
  <si>
    <t>19/10/2017</t>
  </si>
  <si>
    <t>raslebol-77118</t>
  </si>
  <si>
    <t>tant qu'il s'agit de payer mes cotisations qui d'ailleurs augmentent régulièrement sans que mes remboursements fassent de meme tout va bien
par contre quand je fais une demande de prise en charge alors la plus rien et impossible de les joindre au téléphone et ils ne répondent pas au mail c'est le pire service client que je connaisse</t>
  </si>
  <si>
    <t>26/06/2019</t>
  </si>
  <si>
    <t>deborah-c-107141</t>
  </si>
  <si>
    <t>POUR LE MOMENT AUCUN PB JE VIENS DE M INSCRIRE 
rapidité pr l inscription,site simple à utiliser moins cher que les concurents
A voir qd nous aurons besoin d'eux si tout se passe bien</t>
  </si>
  <si>
    <t>gh59--91769</t>
  </si>
  <si>
    <t xml:space="preserve">En cas de conflits faites appel à l'ACPR sur Paris la démarche à suivre </t>
  </si>
  <si>
    <t>22/06/2020</t>
  </si>
  <si>
    <t>fabien-s-110991</t>
  </si>
  <si>
    <t>Le prix ne me convient pas du tout cette année!
Augmentation de prés de 5%
J essaie de joindre votre service commercial, et cela est impossible chez Direct Assurance.</t>
  </si>
  <si>
    <t>dzudzurv69-115803</t>
  </si>
  <si>
    <t>J'ai déclaré et déjà mis un avis sur cette page. Il devait me rappeler une première fois suite à un accident. Chose faite car impossible de les avoirs. Ils devaient soit disant me rappeler une seconde fois car le dossier était monté en Niveau 2 de réclamation ( selon leur terme). Sa promet le niveau 2. TOUJOURS AUCUN SIGNE VIE !!!!
Donc POURQUOI JE PAYE DES PRESTATIONS INEXISTANTE ??? CELA SERAI T'IL VRAIMENT UNE ARN ????
PAYER MAIS SURTOUT NE NOUS DONNER PAS SIGNE DE VIE !!!!</t>
  </si>
  <si>
    <t>cacyje-132520</t>
  </si>
  <si>
    <t>je suis satisfaite de l'assurance habitation et de la protection juridique, les tarifs me conviennent, et l'application et le site internet sont très simple d'utilisation</t>
  </si>
  <si>
    <t>12/09/2021</t>
  </si>
  <si>
    <t>benoit-72197</t>
  </si>
  <si>
    <t xml:space="preserve">Etant client chez la matmut depuis plus de 14ans pour plusieurs contrats auto habitation etc... Suite a un soucis de date de declaration de sinistre (4 jours) la matmut refuse de prendre en charge le changement de mon pare brise leur but est uniquement lucratif et a aucun moment ils ne se soucient de leurs clients en trouvant des solutions intermediaires... Bref pour garder leur clients ils ne font aucun effort par contre pour encaisser de l argent ca c est sur la matmut elle assure....... </t>
  </si>
  <si>
    <t>15/03/2019</t>
  </si>
  <si>
    <t>fred06800-112143</t>
  </si>
  <si>
    <t>Très bonne assurance remboursement réactif et conseiller super sympa.25 ans de GMF avec sinistre au top du top  par rapport aux autres assurances ....</t>
  </si>
  <si>
    <t>29/04/2021</t>
  </si>
  <si>
    <t>christophe-j-103578</t>
  </si>
  <si>
    <t xml:space="preserve">accueil et professionnalisme du conseiller. réactivité et très bons conseils 
je recommande zen up pour la facilité de remplissage des dossiers et l'accessibilité du site </t>
  </si>
  <si>
    <t>19/02/2021</t>
  </si>
  <si>
    <t>lynette-106733</t>
  </si>
  <si>
    <t xml:space="preserve">Très satisfaite de notre échange 
Interlocutrice à l écoute à Bien pris le temps de me renseigner et à contacté les services afin d avoir confirmation sur ma demande.
</t>
  </si>
  <si>
    <t>pascale-l-103390</t>
  </si>
  <si>
    <t>Très satisfait du suivi du dossier par le gestionnaire qui est très professionnel, très réactif, très compétent et très sympathique. Je recommanderai cette personne et ce service sans hésitation.</t>
  </si>
  <si>
    <t>moi-112363</t>
  </si>
  <si>
    <t>le premier devis est intéressant, ensuite le tarif augmente tout les ans à une très grande vitesse !!!!
et ce sans aucun sinistre !
je ne recommande absolument pas !</t>
  </si>
  <si>
    <t>marylene-c-125546</t>
  </si>
  <si>
    <t>Bonjour,
Je suis satisfaite du service Direct Assurance, les prix sont très abordables et le choix très varie. De plus le service est rapide.
Merci à vous,
Bonne journée.</t>
  </si>
  <si>
    <t>diva-gaia--105475</t>
  </si>
  <si>
    <t>Je suis en attente d'un remboursement de cotisation effectuée à tort par Cégéma suite à décès, on m'a réclamé une tonnede justificatifs mais pas de remboursement...les conseillers sont injoignables par téléphone, on me propose d'être rappelé mais pas de rappel, c'est la galère totale 
Je regrette profondément d'avoir souscrit un contrat chez Cégema !!!</t>
  </si>
  <si>
    <t>marie-64010</t>
  </si>
  <si>
    <t>Dégats électriques en décembre, je suis assurée en valeur à neuf et j'ai bien envoyé les factures d'appareils ménagers demandées par l'expert suite à son passage (non réparables), le CM m'a payé avec déduction d'une vétusté (alors qu'ils m'ont vendu un contrat en valeur à neuf donc sans vétusté) j'ai contesté le paiement par LR + AR, la caisse locale a également contesté. Je ne vous parle pas également de factures de réparation que l'expert ne juge pas bon de prendre en compte. Pas d'électricité pendant toutes les fêtes et un expert qui se déplace 3 semaines après..., nous devions couper le peut d'électricité que nous avions pendant la nuit et pendant notre absence par risque d'incendie. 
Ils restent imperturbables.  
Savent vendre des contrats avec conditions supplémentaires.
Mais pour gérer sont totalement NULS et je me demande même s'ils sont honnêtes....</t>
  </si>
  <si>
    <t>15/05/2018</t>
  </si>
  <si>
    <t>phil-la-savoie-110547</t>
  </si>
  <si>
    <t>A priori grande Mutuelle avec "pignon sur rue" (ce qui m avait fait les choisir) 
Coté Remboursements : pas de problème il reste opérationnel et rapide (mais par chance j ai peu de besoins de 0 a 2 par an).
pour autant tarif élevé versus prestation et surtout pas d écoute du client lors de mes petites demandes (chgt de banque, évolution niveau garantie, devis ...) enfin de l'écoute mais AUCUN retour ou action (et l excuse Covid a le "dos large") . La principale raison de mon changement en cours.</t>
  </si>
  <si>
    <t>brunofoort-103695</t>
  </si>
  <si>
    <t xml:space="preserve">suite à une portabilité lié à un licenciement, je ne suis plus couvert malgré l'envoi des documents dans les délais impartis. très rapide pour suspendre le contrat, mais aucune réactivité pour maintenir malgré les textes légaux, et de plus aucune réponse à nos différentes demandes </t>
  </si>
  <si>
    <t>04/02/2021</t>
  </si>
  <si>
    <t>pascal22360-97996</t>
  </si>
  <si>
    <t xml:space="preserve">Quand je lis les avis  négatifs, je me pose vraiment la question si les personnes sont honnêtes. J'ai 2 chiens assurés depuis plusieurs années (Dogue argentin de 8 ans et un Whippet de 3 ans).
Dogues Argentin : rupture ligaments croisés patte arrière gauche. Otites. Problèmes de peau. Ablation oeil gauche. Actuellement perte de l'oeil droit avec sans doute une ablation prochaine. 
J'ai un contrat qui me rembourse à 70%. JE N'AI JAMAIS EU DE PROBLEMES DE REMBOURSEMENT (DELAI HYPER RAPIDE); 
Whippets : autre contrat  Forfait vaccins respectés.
Avant SantéVet, j'ai été dans une autre assurance pour la dogue argentin : j'ai été VIRE au bout d'un an car trop de problèmes....
JE RECOMMANDE SANTEVET A 100%.
</t>
  </si>
  <si>
    <t>29/09/2020</t>
  </si>
  <si>
    <t>fernandes-e-130324</t>
  </si>
  <si>
    <t xml:space="preserve">Je suis satisfait et le prix est intéressant service complet et sympa et sérieux très gentil et serviable le tarif a changé du jour au lendemain ??? Plus chère </t>
  </si>
  <si>
    <t>doudou-58085</t>
  </si>
  <si>
    <t>Sociétaire depuis plus de 35 sans aucun sinistre, en février 2017 ,fuite d'eau à mon domicile , malgré une déclaration en règle , malgré la fourniture de toutes les pièces à plusieurs reprises après une carence du dossier fin mai pour de fausses raisons, malgré des dizaines d'appels,de mail, d'interlocuteurs en octobre mon dossier est toujours en cours et aucun travaux à l'horizon ....avec en plus le silence des gestionnaires du dossier ....</t>
  </si>
  <si>
    <t>15/10/2017</t>
  </si>
  <si>
    <t>sarah-55592</t>
  </si>
  <si>
    <t>Que dire à part fuyez les. Une assurance qui ne respecte pas du tout ses clients. Lors d'un accident pendant que je me garais un monsieur me rentre dedans. J'ai un témoignage qui prouve que c'est lui qui est rentré dans ma voiture. La matmut m'envoie une lettre pour me dire "vous etiez en marche arrière votre témoin le confirme vous êtes en tord a 100%" sans même prendre en compte la suite du témoignage qui dit que c'est l'autre qui m'est rentré dedans. Le comble c'est que par téléphone un conseiller m'a dit témoignage ou pas vous êtes en marche arrière vous êtes responsable. Au téléphone c'est discours de sourd  Ma collègue a eu également des soucis avec eux et m'avait conseiller de ne pas aller chez eux. J'aurais du l'écouter. Cette assurance est la juste pour prélever de l'argent</t>
  </si>
  <si>
    <t>23/06/2017</t>
  </si>
  <si>
    <t>perrot-b-124372</t>
  </si>
  <si>
    <t xml:space="preserve">Je suis relativement satisfait de l'assurance auto j'ai déjà souscrit trois contrats très simples pour souscrire et renplire les documents je valide. </t>
  </si>
  <si>
    <t>mamoune17-63173</t>
  </si>
  <si>
    <t>Cliente Santiane depuis plusieures années contacté pour changement de contrat. .faire le point . Demande de mutuelle avec meilleures prestations.</t>
  </si>
  <si>
    <t>11/04/2018</t>
  </si>
  <si>
    <t>mystmail17-100317</t>
  </si>
  <si>
    <t>Bonjour,
j'ai effectué une demande d'adhésion le 18/11/2020 contrat EPSIL Sénior+ N°S7518-9374648.
J'ai fait valoir mon droit de rétraction ce matin le 19/11/2020.
Malgré cela, j'ai reçu le certificat d'adhésion avec son échéancier.
Merci de bien vouloir prendre en compte mon annulation de demande d'adhésion.
cordialement</t>
  </si>
  <si>
    <t>19/11/2020</t>
  </si>
  <si>
    <t>alexialma-64557</t>
  </si>
  <si>
    <t>J'ai eu un accident non responsable, un face à face avec une personne alcoolisée, ma fille de 18 mois avec moi dans le véhicule. Assurée tout risques  on m'a tout d'abord refusé de me reconduire chez moi après avoir été emmenée par les pompiers aux urgences de l’hôpital, il fallait que je rentre en bus n'étant plus sur les lieux de l'accident, puis on m'a refusé le prêt du véhicule, j'ai du sortir les textes de loi pour y avoir le droit et j'ai du déboursé 25% de la location, puis on m'informe que ma fille de 18 mois n'est pas considérée comme victime de l'accident puisque je cite "elle ne s'en souviendra plus une fois adulte". Après cela, on m'envoie vers un expert qui juge indispensable d'avoir un suivi psy, j'ai du avancer toutes mes séances car mon interlocutrice en charge de mon dossier ne me rappelait jamais, malgré les nombreuses relance où il manquait toujours un papier ! Au bout de 10 séances et 400 euros déboursés, elle m'informe que je n'ai le droit qu'a 3 séances de remboursées et que j'en aurais pas plus ! j'ai du stoppé les séances immédiatement. Après consultation du médecin expert, il m'informe que la MACIF n'aurait jamais du avoir de tels propos puisque c'est à lui de décider le nombre de séances utiles. Pour ma fille qui n'était soit disant pas victime on m'a tout d'abord proposé la somme de 110euros en réparation, après avoir écrit une lettre pour indiqué mon mécontentement on m'envoie vers un médecin expert qui estime le montant à 1400 euros !  10 ans que j'ai mon permis, 10 ans que je suis assurée, aucun accident à tord, j'attendais de mon assurance chez qui j'ai 4 contrats, qu'elle fasse son boulot, à savoir me défendre auprès de l'assurance adverse ! Aucun soutien, aucune aide, service déplorable ! Maintenant que cette histoire est derrière moi, mes 2 assurances auto, mon assurance moto et mon assurance habitation vont se faire un plaisir d'aller voir ailleurs !</t>
  </si>
  <si>
    <t>06/06/2018</t>
  </si>
  <si>
    <t>marion-58629</t>
  </si>
  <si>
    <t xml:space="preserve">Bonjour je suis dégoûtée et effondré par cette assurance je suis assuré tout risque je paye 150€ d'assurance par mois je me suis fait volé mon véhicule familial Peugeot 508 toute option à présent je me retrouve dans l'enbarras à prendre le bus avec ma fille et mon mari le jour où j'ai ramené la plainte du vol de mon véhicule du commissariat la macif ma fait remplir un document en me demandant le nombre de kilomètres approximatif la macif m'a répondu négativement en m'annonçant qu'il prendrait pas en charge le remboursement de mon véhicule dut a des erreurs de ma part concernant le nombre de kilomètres suite à sa j'ai envoyé au service réclamation un dossier prouvant ma bonne foi en démontrant le chèque de banque de 14000€ les photo de mon véhicule les factures à l'appuie puis on me répond par message vocal en inconnu que les déclarations que j'ai fournis sont frauduleuse tout sa pour dire que c'est grave tres tres grave de réagir ainsi et honteux des économies de 10 année j'ai pas méritée sa et personne ne devrait le vivre. Je suis toujours dans l'attente j'ai re envoyé mon dossier mais en vain </t>
  </si>
  <si>
    <t>06/11/2017</t>
  </si>
  <si>
    <t>debrief-89549</t>
  </si>
  <si>
    <t>Sociétaire depuis 1988, depuis quelques années je me pose beaucoup de questions sur la Macif!!! Prix, prestations, service client. Les assurances font de la finances, et les banques font de l'assurance. A méditer... La concurrence est vive et dieu merci car cela nous permet d'y voir certaines failles, également à la Macif. 
Après 32 ans de bon et loyaux services, je vais regarder vers d'autres horizons. J'ai plus financé que bénéficié à la Macif. On connait la règle du jeu. Je vais arrêté là chez la Macif, et voir ce qui est le plus avantageux pour moi en rapport qualité prix.</t>
  </si>
  <si>
    <t>12/05/2020</t>
  </si>
  <si>
    <t>kim-59816</t>
  </si>
  <si>
    <t xml:space="preserve">Des prix attractifs mais cela fait presque 1 mois que tout les jours je renvoie les pièces justificatifs afin de recevoir la carte verte définitive je reçois des mails me stipulant que ma demande va être traitée dans les plus brefs délais mais rien quand j'appelle je tombe sur des conseillères qui ne comprennent pas ce que je leur demande en plus des appels à 80 centimes la minutes vraiment très très déçu je me suis fait verbalisé car n'ayant pas de vignette et pourtant ma cotisation des 3 mois a bien été débitée </t>
  </si>
  <si>
    <t>20/12/2017</t>
  </si>
  <si>
    <t>jules-b-111370</t>
  </si>
  <si>
    <t>Rien à dire, assurance réactive et à des prix défiant toutes concurrences
J'ai pu assurer en 1 journée et à la moindre question ou demande, le service client est là.</t>
  </si>
  <si>
    <t>momo-88828</t>
  </si>
  <si>
    <t xml:space="preserve">vous payez tous les mois mais quand vous avez un sinistre ( vol ) il ne faut pas vous attendre a êtres rembourser  par compte la franchise ,il ne l'oublie pas de vous la réclamer,pour environ 5 000  a 6000 euro vous aurez  400 euro c'est SUPER je vous recommande la MACIF MACIF a ne pas oublier </t>
  </si>
  <si>
    <t>10/04/2020</t>
  </si>
  <si>
    <t>ldopa-45916</t>
  </si>
  <si>
    <t>Assurance chère droits d'entrées élevées, rendement mauvais avec des fluctuations à la baisse extrêmement forte, et très faible à la hausse. Un site internet lourd souvent hors service et donnant les résultats de manière aléatoire. Assureur peu combatif pour défendre les intérêts de ses clients lors de litiges avec une autre assurance.</t>
  </si>
  <si>
    <t>03/08/2017</t>
  </si>
  <si>
    <t>slavica-126875</t>
  </si>
  <si>
    <t>ATTENTION
Surveiller bien vos prélèvement, avoir eu des prélèvements automatique et pas problème d'argent ont ces rendu compte tardivement qu'ils ont prélevé la prime pendent 3 ans pour un véhicule vendu.Malgré qu'on a fournie la preuve que la voiture est exporté et meme fournie la carte grise étrangère prouvant que la voiture est bien en dehors de France et assuré a l'étranger le MACIF rembourse que 2 ans. donc argent encaissé mais ne veulent pas remboursé. La raison de non remboursement il ne peuvent pas remonter dans leur fichier a plus de 2 ans et ne rembourse pas malgré qu'ils ont les preuves devant leurs yeux.
Client a la macif depuis 1988 et jamais de sinistre, vous dire la considération des clients fidèle a la macif.</t>
  </si>
  <si>
    <t>molle-b-108043</t>
  </si>
  <si>
    <t>Je suis satisfait du service. Le conseiller en ligne est disponible et explique clairement les garanties souscrites. Amabilité des conseillers en assurances.</t>
  </si>
  <si>
    <t>zack-c-114937</t>
  </si>
  <si>
    <t xml:space="preserve">Je ne suis pas satisfait des montants appliqués cette année, alors que la voiture ne roule pas. Je ne peux pas voir depuis le site, les différentes formules accessibles à mon véhicule... </t>
  </si>
  <si>
    <t>adam-88569</t>
  </si>
  <si>
    <t>Client depuis 3 ans, je suis très mitigé envers cette assurance. La partie administrative est très procédurière, demandant des quantités de justificatifs qu'elle égare et redemande sans cesse, des annexes du contrat aux preuves d'achat d'antivol. C'est pénible et cela s'est produit sur mes 3 motos successives. J'ai également eu un sinistre et mon garagiste a abimé la selle de la moto pendant la réparation. Axa n'a fait aucun suivi du problème, arguant du fait que ce garagiste moto n'était pas agréé (il n'y en a aucun à Paris en fait). Enfin, lorsque j'ai changé de moto ils ont continué à prélever la cotisation de l'ancienne moto (pourtant résiliée et CG barrée fournie) pendant 6 mois malgré mes interventions. 440 € de litige toujours en cours avec un agent général qui s'en fiche totalement.Je suis en train de chercher un autre assureur.</t>
  </si>
  <si>
    <t>30/03/2020</t>
  </si>
  <si>
    <t>camchal-75882</t>
  </si>
  <si>
    <t>Comme beaucoup j'ai cru utile de prendre la moins chere des assurances pour ma voiture et résultat 
JAMAIS reçu de vignette d'assurance depuis 8 mois
AUCUN AUCUN AUCUN service client, pire une hotline qui coute 80 ct la minute !! 
AUCUNE réponse aux mails envoyés 
une cotisation qui augmente SANS EXPLICATION NI RAISON !! 
DES FRAIS de résiliation exorbitants 
A fuir au plus vite !! Un pur scandale, cette entreprise n'est organisée que pour vous piéger et nous rappeler qu'un prix anormalement bas est TOUJOURS suspect</t>
  </si>
  <si>
    <t>14/05/2019</t>
  </si>
  <si>
    <t>amelie-l-129003</t>
  </si>
  <si>
    <t xml:space="preserve">Satisfait des services proposés chez direct assurance 
Rapide et clair prix attractif comparer à d’autres assureurs 
Je vous remercie 
Merci je recommande 
</t>
  </si>
  <si>
    <t>yann-130078</t>
  </si>
  <si>
    <t>Notre studio de 27m carre a  subis un grand degas des eaux le 5 Juin 2020. Des le debut ils ont refuse de compenser  le faite que nous pouvions pas utiliser le studio et n'offrait aucune compensation. La chambre etait 90%humide. Ils ont refuse de mettre en place un deshumificateur qui l'aurait seche en 3 semaines et ont attendu 11 mois avant de commencer les travaux. Nous attendons toujours en Aout 2021 qu'ils finissent de le remettre en etat le sol, les placards et la fenetre. Evitez AXA a tout pris.</t>
  </si>
  <si>
    <t>madou-75542</t>
  </si>
  <si>
    <t>une close souscrite en plus sur mon assurance habitation. j'ai été bien indemnisée dans le respect du contrat pour un vol de portable.</t>
  </si>
  <si>
    <t>n95-66074</t>
  </si>
  <si>
    <t>Minables, petit, incompétents, un accrochage qui dure depuis 3 semaines  aucune réponse de leur part. IL FAUT QUE LE CLIENT GERE SON PROPRE SINISTRE AUSSI BIEN DE L ASSISTANCE QUE PAR LE CHOISI DU GARAGE, BREF TOUT DE A A Z</t>
  </si>
  <si>
    <t>08/08/2018</t>
  </si>
  <si>
    <t>td-02-50756</t>
  </si>
  <si>
    <t>après 25 année au sein de la maiif je me rend compte depuis 2 ans que cette société n'a plus rien à voir avec celle que je connaissais. après 2 sinistres, une inondation et un portail enfoncé par une voiture, le principe est toujours le même, l'envoi d'un expert arrogant et à la limite de l’irrespect qui établit un rapport égale à la franchise, c'est à dire que lui est payé et vous assuré n'avez rien ! Alors comme me l'a dit un  de ces "expert"  seul ceux qui pleurent obtienne quelque chose ! Je place mon avis ici.
Si quelqu'un connait une bonne assurance je suis preneur.</t>
  </si>
  <si>
    <t>02/01/2017</t>
  </si>
  <si>
    <t>gerard-81829</t>
  </si>
  <si>
    <t xml:space="preserve">suite a un sinistre (voiture incendiée)impossible de me faire rembourser.ils cherchent sans cesse de nouvelles excuses style documents manquant sachant qu'ils les ont déjà en 2 voir 3 exemplaires
personne qui vous raccroche au nez bref à vomir...
je vous déconseille fortement cet assureur </t>
  </si>
  <si>
    <t>12/12/2019</t>
  </si>
  <si>
    <t>marre-71330</t>
  </si>
  <si>
    <t>Arrêtez de nous contacter avec cet appel: "Une anomalie a été détectée dans votre dossier santé" et avec un numéro aléatoire. Comment peut-on avoir confiance en vous?</t>
  </si>
  <si>
    <t>15/02/2019</t>
  </si>
  <si>
    <t>mukoko-s-107262</t>
  </si>
  <si>
    <t xml:space="preserve">Je suis satisfait du service, le prix me convient 
ce simple et rapide, vous êtes parmi les assurances du premier catégorie
donc je dis simplement bravo   </t>
  </si>
  <si>
    <t>20/03/2021</t>
  </si>
  <si>
    <t>alo-69078</t>
  </si>
  <si>
    <t xml:space="preserve">Assureur à fuir !j'ai un dossier d'assistance juridique en cours depuis 2015.Impossible de contacter le responsable du dossier. Aucun rappel de cette personne .Mon dossier sur mon compte est vide .
Un sinistre voiture jamais résolu !!
</t>
  </si>
  <si>
    <t>03/12/2018</t>
  </si>
  <si>
    <t>cherifi-m-116727</t>
  </si>
  <si>
    <t>Assurance top. Il s'agit de ma 1ère assurance auto, et j'ai réalisé beaucoup beaucoup de devis dans d'autres assurances et les prix étaient exorbitant ! vraiment satisfaite du prix et des services et "protection" proposés.</t>
  </si>
  <si>
    <t>mathieujuh-75877</t>
  </si>
  <si>
    <t xml:space="preserve">Tout dépend sur quel conseiller on tombe car parfois certains sont méprisants. Il est noté un remboursement en 48h00 mais toujours rien au bout de deux semaines pour une facture de 100 euros. Dommage pour un début de relation commerciale ce n'est pas au top. </t>
  </si>
  <si>
    <t>13/05/2019</t>
  </si>
  <si>
    <t>kristian-138321</t>
  </si>
  <si>
    <t>Assurance intéressa pour les deux roues par contre je ne peux me prononcer sur les démarches et la réactivité en cas de sinistre n’ayant fort heureusement pas eu le besoin d’y avoir recours.Dommage qu’il n’y ait pas non plus d’assurance pour les petits rouleurs comme moi (2000 km par an voir moins depuis que je sus en retraite)</t>
  </si>
  <si>
    <t>bihel-t-115349</t>
  </si>
  <si>
    <t>JE DONNERAI MON AVIS DEFINITIF PLUS TARD MAIS PAS AU DEBUT DE MON CONTRAT. jE SUIS SATISFAIT DE MES PREMIERS CONTACTS AVEC L OLIVIER ASSURANCE MAIS C 4EST LORSQUE SURGIT UN PROBLEME QUE L ON MESURE LE DEGRE DE REACTVITE DE SON ASSUREUR</t>
  </si>
  <si>
    <t>30/05/2021</t>
  </si>
  <si>
    <t>peresse11-125652</t>
  </si>
  <si>
    <t>Bonjour, j'ai eu à discuter avec Mr GEORGES pour la resiliation de mon contrat parceque je bénéficie deja de CMU pour et je suis au chômage pour le moment donc je n'ai pas voulu s'adherer deja.</t>
  </si>
  <si>
    <t>off-81080</t>
  </si>
  <si>
    <t xml:space="preserve">Service client à l'écoute, merci CAROLINE pour vos réponses claires ! Je sors de cet appel déstressée et rassurée suite à un chevauchement de nos deux mutuelles. </t>
  </si>
  <si>
    <t>18/11/2019</t>
  </si>
  <si>
    <t>sandra87-100593</t>
  </si>
  <si>
    <t xml:space="preserve">Je suis très satisfaite de la mgp 
Ils sont  toujours facile à joindre et  toujours très aimable
Ils répondent à mes questions de manière  très compétentes 
Aucun problème de remboursement </t>
  </si>
  <si>
    <t>25/11/2020</t>
  </si>
  <si>
    <t>pyh-99094</t>
  </si>
  <si>
    <t>Bonjour,
Je déconseille fortement la MAIF. Adhérent depuis 25 ans , aucun sinistre, je me bat avec eux depuis 3 ans suite à une malfaçon faite lors d'un agrandissement.
Depuis 2018, la MAIF m'a annoncé qu'il n'y avait pas de recours contre l'entreprise qui avait exécuté les travaux étant donné qu'elle avait été radiée du registre des commerces et sociétés.
Cette affirmation était totalement fausse, l'entreprise , certes en difficulté financière, existe toujours en Octobre 2020..Il suffit d'aller consulter internet..
Voilà malgré cette erreur énorme, La MAIF ne reconnait pas son erreur et pire encore refuse un réexamen de ma situation..
Je déconseille fortement donc cette assurance.</t>
  </si>
  <si>
    <t>22/10/2020</t>
  </si>
  <si>
    <t>brazz94-62782</t>
  </si>
  <si>
    <t xml:space="preserve">Pour la petite histoire, 7 ans assuré chez eux pour le prix au départ, mais chaque année vous devez faire le mendiant pour économiser quelques euros,  car comme par magie quand votre bonus augmente le coût de votre cotisation aussi (j’ai jamais compris le concept du « soit un bon conducteur et tu payeras plus).
Cette année j'ai le droit à la plus grosse blague, je réalise un devis en tant que nouveau client et je vois que la cotisation annuelle et de 348 € sachant que la mienne est de 436, je me dis qu'il y a un problème je contacte la conseillère via le chat, elle me dit d'enregistrer le devis et  étrangement je ne peux pas, la session a expiré (au bout de 4 minutes seulement ??!!).
Pas de problème je recommence je rentre les mêmes infos et la BOOOM 606 € !!!!! Mais WTF !!!!! J'ouvre donc une page en connexion privée et là en rentrant les mêmes infos le prix 360 € (noter qu'on ne retrouvera jamais les 348 € on ou s’est enfuit ce devis, mais il a dû partir loinnnnnn). 
J'appelle un conseiller et là j'ai le droit à un ramassis d'âneries comme quoi mes infos ne serait pas les mêmes et que c’est pour ça que les tarifs changent, je lui demande de vérifier, il  me dit qu'il ne peut pas alors que tous les autres, les années précédentes le pouvaient. Moi je vérifie de mon côté elles sont bien exact. Là il faut qu’il trouve autre chose, donc il me dit que les prix des assurances change de jour en jour, ok mais bon de là à changer de minute en minute, avec des écarts de prix gigantesques, pour un même contrat  quand même il y a un marge.
Mais la plus grosse blague de conseillers ça a été de me dire  « mais pourquoi vous vous plaignez, vous regardez que le tarif de 348 € et vous dit c'est trop cher mais si vous regardez celui de 606 c'est moins cher non ?? » FATALITY !!!
Là j'en pouvais, je savais à quel type d’être vivant j’avais à faire, ne voulant pas être contaminé par son imbécilité, j'ai raccroché.
C'est la plus belle phase que j'ai eu en ce début d’année,  apparemment ce mec quand il voit une voiture à 20000 euros et qu’il sait qu’il peut l'avoir à 10000 euros, il la paye quand même 20000 euros parce qu'il en a vu une autre 25000 euros. Où va ce monde avec ce genre de personne ???
</t>
  </si>
  <si>
    <t>29/03/2018</t>
  </si>
  <si>
    <t>gingou-32607</t>
  </si>
  <si>
    <t>Que ce soit n importe qu elle assurance.
De pire en pire, de plus en plus lamentable, plate forme /employés qui ne connaissent pas votre dossier( ça  a la limite je comprend) mais ne cherchant pas a vous aider,se moque de vos soucis, n'accepte pas notre état d'énervement quand cela fait 4 fois sur la journée que vous appeler car ils refusent de vous passer le responsable de votre sinistre.bref a la macif vous etes bon a payer les primes d assurance mais ATTENTION!! si sinistre vous n'êtes pas aidé.Pire et un internaut l a écrit, je viens de me'en rendre compte, vous avez un profil a la macif Je m"explique ..Le conseiller a sur son écran le profil de l assuré c'est a dire, vous appelé souvent, vous êtes pénible, vous vous plaignez toujours ect ect..Et oui, quelques fois certains pensent lire tout bas, en réalité ils ne font pas attention que vous êtes au bout du fil... ET vous entendez.. 
AUTRE POINT.J'ai arrete 4 assurances ce début d année assurance  résilié par ma nouvelle, MACIF m a refusé la résiliation habitation, motif:" c 'est votre nouvelle assurance qui doit résilier!!!" ce qui a été fait , mais depuis 2 mois la macif me prélève toujours cette assurance habitation, qui coute quand même 395 euros a l année, alors que le necessaire a été fait.Quand aux autres problèmes" SINISTRE" en 18 ans de MACIF,4 ou 5 je crois donc pas trop, ??lisez mes aventures.
Je déconseille très fortement cette assurance.OK ils sont un peu moins cher mais croyez moi que de soucis que d appels que de stress et aucune aide même pour un accident qui m'a obligé a faire plus d'une année de rééducation.Aucune compréhension, et si vous voulez avoir gain de cause car je n'étais pas en tort, et bien débrouillez vous vous m^mes.</t>
  </si>
  <si>
    <t>03/06/2019</t>
  </si>
  <si>
    <t>michel-m-129440</t>
  </si>
  <si>
    <t>Je suis agréablement surpris par votre prestation dans le cadre de la mise en place de ce contrat. Nous verrons à l'usage et en particulier en cas de 'problème'........!
J'ai dèja  fait de la pub pour vous dans mon cercle familial et amical.....</t>
  </si>
  <si>
    <t>ioan-daniel-m-133628</t>
  </si>
  <si>
    <t xml:space="preserve">super prix, le plus bas 
parcours rapid avec tout le documents
très facile pour faire le démarche
je suis très content pour la rapidité et la présentation </t>
  </si>
  <si>
    <t>20/09/2021</t>
  </si>
  <si>
    <t>thomas95-56822</t>
  </si>
  <si>
    <t>Assurance a fuire absolument !!!! J'ai voulu bénéficier de mon pack assistance mécanique que je paye tous les mois. J'appelle le service client pour savoir comment procéder, on m'explique qu'il faut déposer la voiture dans un garage avec une remorque donc moi j'explique que ma voiture roule encore et si je suis obligé de quand meme appeler une remorque on me dit que non deposer la voiture et vous n'avez qu'a transmettre vos informations au garage pour qu'il prenne contact avec eux pour la mise en place de la garantie. Et a ma grande surprise Eurofil refuse la prise en charge car ce n'est pas une remorque qui a deposer ma
Voiture. Malgré mon appel pour leurs dire que c'est eux qui m'avait donner de fausses informations il n'ont rien voulu savoir!!! Bref fuyez!!!!!</t>
  </si>
  <si>
    <t>mimi560-87740</t>
  </si>
  <si>
    <t xml:space="preserve">Comme d'autres avant moi j'ai été démarché au téléphone par des conseillers et abusé. Ces personnages (pour rester poli) exercent sous le nom de MMI courtage et sont mandatés par NEOLIANE SANTE. Par des méthodes scandaleuses et indignes sur lesquelles je ne m'étendrai pas sur ce forum, ils arrivent à vous extirper votre N° IBAN et à produire une signature électronique au nom de NEOLIANE pour vous prélever des sommes d'argent à votre insu. Avant même avoir raccroché, je me suis rendu compte de la supercherie. Le personnage indélicat que j'avais en ligne a fini par me faire comprendre qu'il venait de remplir une bulletin d'adhésion en ligne en mon nom. Il m'a indiqué que j'allai recevoir un contrat d'adhésion et que pourrai me rétracter facilement dans les 14 jours qui suivraient. J'ai attendu plus d'une semaine avant de recevoir un pli de la part de NEOLIANE.
Bien entendu dés réception, j'ai tout de suite fait valoir mon droit de rétractation par courrier recommandé à NEOLIANE et à MMI courtage. J'ai également fait copie de mes courriers par E-mail à l'adresse indiquée sur l'offre reçue par courrier: neolianne@owliance.com.
Deux jours plus tard, mon facteur est venu vers moi avec le courrier envoyé à MMI courtage en m'indiquant que le destinataire était inconnu à l'adresse mentionnée. Cette adresse était pourtant celle qui était portée sur le bulletin d'adhésion de NEOLIANE. J'ai alors vérifié l'adresse de NEOLIANE sur internet et là encore je suis tombé des nu. L'adresse internet ne correspondait pas à celle indiquée sur le bulletin d'adhésion. Le site résilier.fr indique une adresse à Nice alors que le bulletin d'adhésion mentionne une adresse sous forme de boite postale (sans autre indications) à Muret.
A plusieurs reprises, j'ai essayé de joindre NEOLIANE par téléphone au numéro indiqué sur le bulletin d'adhésion: aucune réponse. En revanche, je suis harcelé (le mot n'est pas trop fort) sur mon portable par un numéro niçois qui correspond à un des numéros utilisés par NEOLIANE. Quand je décroche, aucune réponse ! A force j'ai fini par ne plus y répondre. Des appels juste pour prouver ma mauvaise foi ? Peut-être. J'ai donc à nouveau repris ma plume et envoyé mon courrier de résiliation sous pli recommandé à l'adresse niçoise. Une copie a été envoyé à l'adresse mail reclamation@neoliane.fr. Tout cela s'est fait en moins de 14 jours.
 Je n'ai pour l'instant reçu aucune réponse et je n'en attendais d'ailleurs pas vu les efforts manifestes entrepris par NEOLIANE et son courtier pour brouiller les pistes. Je dépense de l'argent pour des recommandés et passe un temps fou à chercher des coordonnées valides pour faire valoir mon droit de rétractation. A mon sens tous les moyens sont mis en œuvre délibérément pour que les démarches de résiliation n'arrivent pas dans les délais impartis. 
Je demande donc à NEOLIANE de m'envoyer un courrier dans lequel la société prend acte de ma rétractation. Sur les conseils de mon avocat et excédé par cette communication volontairement faussée , j'irai porter plainte si NEOLIANE ne me répond pas avant le délais des 14 jours.
</t>
  </si>
  <si>
    <t>jean-philippe-p-109576</t>
  </si>
  <si>
    <t>Je suis satisfait du service, l'assurance a été rapidement mise en place et les tarifs sont plutôt corrects. J'aurais tout de même préféré envoyer les documents avant le règlement...</t>
  </si>
  <si>
    <t>jerome-g-123534</t>
  </si>
  <si>
    <t>Tarif correct avec de bonnes garanties. Pas encore eu besoin des services de l'assurance depuis ma souscription, tout va bien. L'actualisation du contrat par internet ne fonctionne pas.</t>
  </si>
  <si>
    <t>adrien-g-112065</t>
  </si>
  <si>
    <t>le service est bon et repond a nos attentes lors nottament d une discution telephonique.
le prix de mon assurance vehicule etant seulement au tiers , est bien trop elevée</t>
  </si>
  <si>
    <t>vince-80449</t>
  </si>
  <si>
    <t>sinistre dégâts des eaux datant de mai 2019, impossible de relouer mon appartement depuis 5 mois, échéances mensuelles du prêt fait au CMUT de 900euros n'ont pas été reportées malgré ma demande, perte de loyers non prise en compte, devis inexistants, expertise mal faite etc. découvert chaque mois de plus en plus important car mon assureur n'assume pas ses responsabilités</t>
  </si>
  <si>
    <t>27/10/2019</t>
  </si>
  <si>
    <t>ahmed-versailles-94284</t>
  </si>
  <si>
    <t>Le service client compétent, à l'écoute avec des tarifs très attractifs. Mon ancien assureur me faisait payer un prix exorbitant pour une voiture vieille de 15ans. J'ai réussi avec eux à réduire ma cotisation pour mon nouveau véhicule (qui est de surcroit neuf) et qui vaut dix fois plus le prix de mon ancien véhicule.</t>
  </si>
  <si>
    <t>16/07/2020</t>
  </si>
  <si>
    <t>tess-139075</t>
  </si>
  <si>
    <t xml:space="preserve">J'ai reçus un appel tel ce jour ,un conseille complètement stresse et empressé qui m'indique que ma banque n'a pas validé mes assurances de la il me demande de confirme mon RIB et me demande le code d'activation 
Dans la précipitation étant dans la rue je le reprend car je le trouve très directif et autoritaire d'où le  doute .
Il m'indique qu'une collègue va me tel pour confirme la validation 
J'appelle donc rapidement mon conseiller en banque pour lui faire part du doute de la démarche et celui-ci me dis qu'il n'y a aucuns compte décrit  
Méfiez vous de leur démarche téléphonique 
il je nous laisse pas le temps de réagir prise sur le fait et enchaîne sur leur lecture de vente  forcing confirme vous n'avez pas le temps de comprendre  
Vous signe et vous vous retrouvé avec des contrats souscrit alors que vous en avez déjà ailleurs .
Ils disent que vos contrat ne sont pas validé ou activé gros mensonge 
La sois disante conseillère qui m'a recontacté après m'a confirmé l'annulation des contrat a suivre </t>
  </si>
  <si>
    <t>ilgenmann-l-110279</t>
  </si>
  <si>
    <t>Je suis très satisfait du service et du prix , en espérant obtenir un meilleur prix l'année prochaine . merci a vous très bonne accueille téléphonique !</t>
  </si>
  <si>
    <t>jobiker-105121</t>
  </si>
  <si>
    <t xml:space="preserve">Je suis plus que déçue du service d'ALLIANZ !!! 
J'ai souscrit à une assurance en janvier et j'ai fournis tout les documents, deux fois.
ils ont résilier mon contrat depuis le 22 février pour défaut de justificatif, et je ne l'ai su qu'hier, c’est scandaleux !!! 
personne ne peut me donner de réponse quand j'appelle. On m'as dit "ca peut arriver parce que nous avons beaucoup de client" IL FAUT SAVOIR ASSUMER SES CLIENTS
Et si j'avais eu un accident ? </t>
  </si>
  <si>
    <t>quinquin-136715</t>
  </si>
  <si>
    <t>Je déconseille fortement cette compagnie d'assurance pour plusieurs raisons:
- sur le relevé d'information seul le bonus moto est retenu contrairement à la concurrence qui se base sur le bonus auto si celui-ci est meilleur
-augmentation de la cotisation par 3 suite à un changement de moto de même marque mais modèle plus récent, soit 200 euros plus chère que la concurrence
-une résiliation de contrat que je n'ai pas demandé (certainement une erreur informatique...)</t>
  </si>
  <si>
    <t>mariam--108526</t>
  </si>
  <si>
    <t xml:space="preserve">Très  insatisfaite de harmonie mutuelle,  les remboursements peinent à arriver et encore, il faut fournir toujours des justificatifs dont elle a accès mais ne fait aucun effort. Demande toujours des factures acquittées et des factures  détaillées. En gros je dois payer leurs échéances et en même temps m'acquitter des factures de soins. Hâte de voir ailleurs. </t>
  </si>
  <si>
    <t>richard-r-115997</t>
  </si>
  <si>
    <t xml:space="preserve">Conseillé très sympas, par contre a chaque appel une demande satisfaction clientèle qui a la longue peut être énervant. Sinon dans l'ensemble satisfait pour l'instant.
Merci                              </t>
  </si>
  <si>
    <t>deborah-93922</t>
  </si>
  <si>
    <t xml:space="preserve">Je suis satisfaite du service, je ne suis pas tout à fait satisfaite du prix
Je souhaite voir pour assurer les 4 véhicules chez vous, mon conjoint étant assuré chez vous et très sastisfait </t>
  </si>
  <si>
    <t>beche-s-130771</t>
  </si>
  <si>
    <t xml:space="preserve">simple et pratique je suis satisfais de la rapidité de réaction des conseillées. 
les prix sont attractif ainsi que les prestations proposer par l'olivier assurance.  </t>
  </si>
  <si>
    <t>domi-111402</t>
  </si>
  <si>
    <t>Un grand merci à Pape qui a répondu avec efficacité à ma demande.
Très courtois au téléphone, aimable, il a su gérer mon dossier avec rapidité. Bonne journée.</t>
  </si>
  <si>
    <t>virginie-d-112528</t>
  </si>
  <si>
    <t>simple et pratique , j'ai souscrit en ligne de façon très rapide et sans difficultés majeures.
j'attends de voir la suite du traitement de mon dossier.</t>
  </si>
  <si>
    <t>tom-103912</t>
  </si>
  <si>
    <t>Les publicités qui passe a la tv sont des mensonges, il y a personnes pour vous écouter ou accompagner.
Les seules fois ou j'ai essayer de les contacter pour savoir ou en ais mon dossier pour un sinistre auto, je me fais remballer comme une m***e, excusez moi pour ce terme mais c'est le sentiments que j'ai eu.
Cela fais 2 semaines.
J'appelle un numéro expert joint dans un mail.
Et la au bout d'insistance pour que une personne décroche, une femme nathalie me répond un peu sec sans bonjour.
Oui la politesse c'est pas donner a tout le monde malheureusement.
J'explique la situation et la elle me stoppe en disant que ce probleme ne lui concerne pas et que pour le moment c'est en cours d'examination et elle décroche en répondant vaguement a mes questions, je suis rester sans voix aprés ça!!!!!
On se sent accuser pour des crimes non commises.
Moi qui suis une personne anxieux, ça me donne pas envie de les recontacter pour l'avancement qui sûrement sera une personne différente a expliquer le problème, si elle veut bien.   
Il y a pas cette proximité comme mon ancien assureur avec des gens aimable et a l'écoute et en physique. 
Une fois cette histoire fini, je retourne a mon ancien assureur
De mon avis personnel, je vous déconseille, c'est comme prendre une assurance en ligne avec personne a votre écoute</t>
  </si>
  <si>
    <t>druzicka86-72447</t>
  </si>
  <si>
    <t>ancien client nexx 2010 a 2017 puis maaf 2017 a 2019, 2 sinistres NR et tous pris en charge! pret de voiture pendant 6 mois, rien a dire, le top au niveau garantie et meme dans les pays de l'est.
Sauf que suite a la vente de ma mondeo il refuse de me reprendre!...je suis triste</t>
  </si>
  <si>
    <t>chantal-g-137470</t>
  </si>
  <si>
    <t>JE SUIS ASSEZ SATISFAITE RAPIDITE SIMPLICITE TARIF PLUTOT MOYEN;
toUT EST PLUS BIEN EXPLIUQUE ET COMPREHENSIBLE
VOILA C EST TOUT CE QUE J AI A DIRE MERCI</t>
  </si>
  <si>
    <t>patrick-104983</t>
  </si>
  <si>
    <t>Mutuelle d'assurance qui n'est pas à l'écoute de sa clientèle. Fortement déçu alors que j'étais chez eux depuis 40 ans , je me vois dans l'obligation de les quitter avec regret.</t>
  </si>
  <si>
    <t>lantoine-c-110988</t>
  </si>
  <si>
    <t>Je trouve que l'olivier assurance est :
- Rapidité pour avoir un devis,
- Retour assez rapide,
- Tarif très attractif,
- Service de qualité,
- Délai de réponse rapide</t>
  </si>
  <si>
    <t>pavinou-69844</t>
  </si>
  <si>
    <t xml:space="preserve">Très mauvais placement de ma part avec un rendement négatif pour l'année 2018 de -7,4% sur un mandat défensif en gestion pilotée!!
Je déconseillerai sans réserve ce produit surexposé en termes de publicités. </t>
  </si>
  <si>
    <t>03/01/2019</t>
  </si>
  <si>
    <t>luc-i-124155</t>
  </si>
  <si>
    <t xml:space="preserve">JE SUIS SATISFAIT DU SERVICE SIMPLE ET PRATIQUE LES TARIFS D ASSURANCE SONT CORRECT LA COMMUNICATION EST TRES BONNE                                   </t>
  </si>
  <si>
    <t>21/07/2021</t>
  </si>
  <si>
    <t>radidja-b-108512</t>
  </si>
  <si>
    <t>J'attends de voir les offres exceptionnelles tant promises. J'attends de voir les offres qui peuvent me faire changer d'avis à l'avenir. Bref pas d'avis favorable pour l'instant</t>
  </si>
  <si>
    <t>laurene-86372</t>
  </si>
  <si>
    <t>Nous avons souscrit un contrat Equilibre pour deux personnes. Progressivement, des remboursements ont tardé à arriver, voire n'ont plus eu lieu pour certains dépassements d'honoraires (ophtalmo), alors que nous avions choisi cette formule car elle nous les remboursait. Il nous fallait sans cesse garder un oeil sur nos dépenses et nos remboursements. La cerise sur le gâteau a été lorsque nous avons décidé de partir en novembre dernier, bénéficiant d'une mutuelle d'entreprise à caractère familial et obligatoire. La MGEN, malgré nos nombreuses relances, n'a jamais annulé la télétransmission Noémie, empêchant notre mutuelle actuelle de nous rembourser nos soins. Deux mois plus tard, il nous a fallu téléphoner directement à la Sécurité sociale pour qu'elle force l'arrêt de la télétransmission. Au passage, 135 euros de cotisation ont été prélevés sur notre compte pour le mois de décembre et ne nous ont toujours pas été remboursés, malgré nos nombreuses réclamations. Mutuelle à fuir.</t>
  </si>
  <si>
    <t>27/01/2020</t>
  </si>
  <si>
    <t>tanguy-b-131474</t>
  </si>
  <si>
    <t xml:space="preserve">etapes très simples à suivre, prix ultra compétitifs ! Merci de me sauver des griffes de Groupama qui même après 11 ans chez eux sans aucun incident sur mon véhicule, me prennent 24€/mois pour moins de 8000km/an. </t>
  </si>
  <si>
    <t>micbric-99457</t>
  </si>
  <si>
    <t>Suite à une erreur du conseiller clientèle je me retrouve avec 2 contrats d'assurance pour ma maison.Une au nom de la Sci et une en mon nom propre.
Malgré des dizaines d'échanges par téléphone et mails la Macif ne veut pas reconnaitre son erreur , ni supprimer un de mes deux contrats et encore moins me rembourser !
Ma seule solution est de supprimer tous mes contrats et compte bancaire chez la Macif et de faire appel à un médiateur.
Voila la solidarité de la " Mutuelle" Macif....</t>
  </si>
  <si>
    <t>31/10/2020</t>
  </si>
  <si>
    <t>phine-123575</t>
  </si>
  <si>
    <t xml:space="preserve">Désolant après avoir été adhérente depuis plus de 10 ans résilier car 4 sinistre en de 2016 à 2020 dont 2 non responsable 
Je ne trouve pas cela juste et la fidélité et les annees sans sinistre ne comptent pas hélas </t>
  </si>
  <si>
    <t>sonia-78716</t>
  </si>
  <si>
    <t>Mon compagnon s'est assuré chez l'olivier la semaine passée au telephone avec les commerciaux tout est possible. le matin il appelle pour effectuer la souscription sur un véhicule que l'on devait acheter le soir, une heure après il decide de se rétracter sauf que entre temps il a donné son numéro de carte, l'assurance le débite directement de 250.00 euros, il envoi une lettre de rétractation n'ayant pas acheté le véhicule. Il a envoyé lARC la semaine passée etant dans le delai legal de retractation à ce jour par de nouvelle hormis le debit sur son compte et lorsqu'il a appelé afin de savoir comment se passe le remboursement la conseillère lui a indiqué qu'il y aurait des frais lié a la résiliation alors que c'est une rétractation  le véhicule n'était meme pas en notre possession aucun contrat signé!!!!.cela ne les a pas empêché de débiter son compte malgré tout. C'est lamentable service client deplorable, je comptai mettre mes 2 véhicules à la rentrée chez eux mais après cet episode c'est hors de question. je les avais recommandé pour le prix. Mais a fuir ! j'ai fait appel à ma protection juridique il y a des lois qui encadrent les consommateurs je ne laisserai pas passer cela, ils savent te rappeler dans la minute pour la souscription en revanche pour avoir des explications sur le remboursement de la somme débitée sans avoir signé aucun contrat par voie dematerialisée somme importante de surcroit toujours pas de nouvelles</t>
  </si>
  <si>
    <t>27/08/2019</t>
  </si>
  <si>
    <t>jean-francois-t-117801</t>
  </si>
  <si>
    <t>une assurance moto rapport qualité prix intéressante !
J'ai un ami qui est assuré chez vous et il m'a conseillé de faire un devis pour ma prochaine moto, chose faite !</t>
  </si>
  <si>
    <t>22/06/2021</t>
  </si>
  <si>
    <t>demaz-79136</t>
  </si>
  <si>
    <t>Fuyez 
Les démarches pour s inscrire sont faciles les paiements d autant plus rapides 
Par contre j avais un scooter d'une valeur de 3000euros prouvée et ils ne veulent m indemniser que 800euros Bien entendu contesté je n ai plus de nouvelles depuis plus de 3 mois L assurance n est pas adhérente à la médiation d assurance donc vous pouvez toujours courir si quelconque décision ne vous plait pas
Sinistre en février toujours pas remboursé en septembre</t>
  </si>
  <si>
    <t>steve-b-114607</t>
  </si>
  <si>
    <t>Je suis tres satisfait du service client. Personnel agreable et qui prend le temps de nous conseiller, ce qui est fort appreciable.
La seule chose qui est dommage c'est qu'il n'y ait pas d'application ...</t>
  </si>
  <si>
    <t>al-66800</t>
  </si>
  <si>
    <t xml:space="preserve">J'ai souscrit un contrat auto chez active assurance, depuis j'ai envoyé les papiers demandés afin de finaliser, mais ils refusent un relevé de situation parfaitement valable pour on ne sait quelle raison. depuis impossible de se connecter sur l'accès client </t>
  </si>
  <si>
    <t>12/09/2018</t>
  </si>
  <si>
    <t>bece973-56484</t>
  </si>
  <si>
    <t>Il ne faut surtout pas avoir de problème car ils n'hésitent pas à vous enfoncer au lieu de vous défendre.</t>
  </si>
  <si>
    <t>04/08/2017</t>
  </si>
  <si>
    <t>cabalero-79968</t>
  </si>
  <si>
    <t>Nouveau client chez vous, très satisfait du service client au téléphone j'ai eu comme conseillère Ikram super sympathique, aimable, à l'écoute du problème rien à redire.</t>
  </si>
  <si>
    <t>de-oliviera-m-109985</t>
  </si>
  <si>
    <t>Je suis satisfait du prix et de l’accueil par téléphone, je conseillerais l’olivier assurance à mon entourage et surtout à mes proches.je suis désolé du retard de la signature de mon contrat.</t>
  </si>
  <si>
    <t>11/04/2021</t>
  </si>
  <si>
    <t>paga-108062</t>
  </si>
  <si>
    <t xml:space="preserve">Très déçu du service sinistre de la Macif malgré plusieurs relances ma demande n’est pas traitée je déconseille .
Le prix est avantageux mais manque de professionnalisme dans les réponses </t>
  </si>
  <si>
    <t>bardouni-s-123139</t>
  </si>
  <si>
    <t>Je suis saisfait de l'accueil téléphone et du conseil que j'ai reçu par téléphone
Documents reçus rapidement par email, tout est ok.
Prix correct et vite assuré</t>
  </si>
  <si>
    <t>12/07/2021</t>
  </si>
  <si>
    <t>nordine-z-130382</t>
  </si>
  <si>
    <t xml:space="preserve">je suis satsfais de ces prestations et du prix que vous proposez mais pour l instand je suis un nouveau client a voir plus tard dans la duree merci de votre servce </t>
  </si>
  <si>
    <t>boney-104673</t>
  </si>
  <si>
    <t>Très bon accueil téléphonique et réponses claires et sans ambiguïtés. Le délai d'attente parfois long est compensé par une proposition de rappel automatique. Top</t>
  </si>
  <si>
    <t>23/02/2021</t>
  </si>
  <si>
    <t>maryon20-80607</t>
  </si>
  <si>
    <t>Assurance au top! Meilleur contrat sur le marché! J'ai utilisé l'assistante, ils sont vraiment serviables et agréables. Toujours quelqu'un pour répondre à mes questions. Personnel qualifié.</t>
  </si>
  <si>
    <t>31/10/2019</t>
  </si>
  <si>
    <t>caron-j-117761</t>
  </si>
  <si>
    <t>A la suite d'un devis fait sur internet, l'équipe commerciale a été réactive et attentive. Les prix défient toute concurrence. Les démarches sont simplifiées via internet. Jusqu'ici, tout est parfait.</t>
  </si>
  <si>
    <t>lahyene78-77415</t>
  </si>
  <si>
    <t>Vous êtes au top rapidité et efficacité sont vos maîtres mots, e vous en remercie</t>
  </si>
  <si>
    <t>08/07/2019</t>
  </si>
  <si>
    <t>stephen-l-137730</t>
  </si>
  <si>
    <t>La souscription de mon contrat de ma complémentaire santé chez April a été très simple: pratique, rapide à réaliser et parfaitement adapté à mes besoins. C'est positif.</t>
  </si>
  <si>
    <t>eric42-65394</t>
  </si>
  <si>
    <t>Suite à accident je n'ai pas pu faire appel à l'assistance vu que j’étais pris en charge par les pompiers
Donc la gendarmerie à fait appel a leur dépanneur pour enlever ma moto.Pour la récupérer j'ai avancé les frais de dépannage qui doivent être prendre en charge par l'assistance et la 2 mois après avoir envoyer la facture tjrs pas de remboursement malgré les multiples relance.Amv c'est l'assistance qui doit payer nous les relançons et le même discours depuis 2 mois</t>
  </si>
  <si>
    <t>10/07/2018</t>
  </si>
  <si>
    <t>garcia-a-124462</t>
  </si>
  <si>
    <t xml:space="preserve">je suis satisfait, rapidité et efficacité du devis au contrat/.en outre des prix tres compétitifs et un accueil des plus agréable.
je recommanderai l olivier a mes amis
</t>
  </si>
  <si>
    <t>silvia-marcela-j-132476</t>
  </si>
  <si>
    <t>En tant que conducteur secondaire, Direct Assurance a été un très bon choix, maintenant je suis contente avec ma première voiture et une assurance fiable et pratique !</t>
  </si>
  <si>
    <t>kleven-69536</t>
  </si>
  <si>
    <t xml:space="preserve">ah là pas du tout satisfait, j'ai l'impression que plus tu te fidélise avec direct Assurance plus ta facture devient amère, de 55 euros a ma première souscription apres 2 ans je suis à plus de 67 euros </t>
  </si>
  <si>
    <t>19/12/2018</t>
  </si>
  <si>
    <t>carvalho-macedo-gomes-a-126654</t>
  </si>
  <si>
    <t>Je suis satisfait du service.
Niveau prix je pensais avoir meilleur prix que ça mais content comme même.
Deux voitures sur 3 chez L'olivier Assurance ça méritait un meilleur contrat.</t>
  </si>
  <si>
    <t>ostma-61024</t>
  </si>
  <si>
    <t xml:space="preserve">A fuir absolument ! J’ai souscrit à cette mutuelle suite à une site de comparaison de mutuelles. J’ai voulu me rétracter dans le délai, ayant pris la décision trop vite, mais la: impossible!! A chaque fois ils trouvent quelque chose que j’aurais du faire en plus pour manifester ma volonté de les quitter. J’ai bloqué les prélèvements mais rien n’y fait...!!!! Je deviens désespérée, je n’en peux pas payer deux mutuelles!!! </t>
  </si>
  <si>
    <t>lolo-85287</t>
  </si>
  <si>
    <t>Quelle kata ! Des cotisations qui s'envolent et des soins de moins en moins bien remboursés. Aucune réactivité, 15 jours pour une réponse par mail... j'envoie une lettre de résiliation en bonne et due forme et pas de réponse... ni au téléphone, ni par mail, ni en agence !</t>
  </si>
  <si>
    <t>27/12/2019</t>
  </si>
  <si>
    <t>lolo67-64943</t>
  </si>
  <si>
    <t xml:space="preserve">apres un sinistre qui a mis 6 mois a être statué j ai exprimé un billet d'humeur  au service sinistre qui s'occupe du dossier de ma fille et 30 minutes plus tard elle a été sanctionné par un mail  statuant mon sinistre sur un 50/50 avec le tiers qui lui a causé le sinistre dont ma fille n'etait pas en tort!! bravo! pour une assurance qui doit défendre les intérêts des adhérents c'est scandaleux! assureur incompétent ! et peu scrupuleux!
</t>
  </si>
  <si>
    <t>20/06/2018</t>
  </si>
  <si>
    <t>anne-94624</t>
  </si>
  <si>
    <t>RAS pour le moment mais 
Je regrette de ne pas pouvoir voir tout de suite le devis et notamment les conditions de Bros de glace (franchisé ou pas).........</t>
  </si>
  <si>
    <t>20/07/2020</t>
  </si>
  <si>
    <t>kev-56882</t>
  </si>
  <si>
    <t>C'est un assurance qui met du temps à vous rembourser et vous croule sous la paperasse avant de pouvoir vous rembourser même lors d'un sinistre non responsable.</t>
  </si>
  <si>
    <t>25/08/2017</t>
  </si>
  <si>
    <t>riberot-bariolade-s-112124</t>
  </si>
  <si>
    <t>je suis satisfaite du service tres bon rapport qualite prix et tres simple d utilisation  .
nous pensons assurer nos autres vehicules ainsi que notre logement .</t>
  </si>
  <si>
    <t>audrey-h-116031</t>
  </si>
  <si>
    <t>je suis très satisfeste du service client avec les prestation de service proposer au client et l'accompagnement pour trouver les solution relative à nos demande</t>
  </si>
  <si>
    <t>antolinos-j-115391</t>
  </si>
  <si>
    <t>adhésion rapide, simple et claire.
Accueil téléphonique rapide et efficace, information claire, tarif toujours trop élevé mais compétitif. 
Je ne vois pas ce que je peux dire de plus.</t>
  </si>
  <si>
    <t>Nous avons eu 2 sinistres : un dégât des eaux et un appareil ménager endommagé par la foudre et nous n'avons eu aucun problème avec l'assurance. Un seul bémol pour nous, c'est que n'étant pas client de la banque en dehors de l'assurance d'habitation, nous ne pouvons avoir d'espace client sur internet.</t>
  </si>
  <si>
    <t>jeanne-t-125857</t>
  </si>
  <si>
    <t>Souscription facile et rapide, minoration de la note car trop de relances téléphoniques. Pour ma part, j'aime prendre le temps de réfléchir SEULE avant de m'engager.</t>
  </si>
  <si>
    <t>kari-93759</t>
  </si>
  <si>
    <t>Les prix chez direct ont tendance à augmenter t ne sont plus compétitifs. Le service en ligne est très bon et les conseillers sont très affables.  Par contre, l'espace personnel n'est pas réactualisé régulièrement on se retrouve avec des devis d' il y a 2 ou 3 ans et qui sont toujours  affichés..</t>
  </si>
  <si>
    <t>10/07/2020</t>
  </si>
  <si>
    <t>dou974-49480</t>
  </si>
  <si>
    <t>Bonjour je souhaiterais savoir si vous avez un numéro sur le quel je peux vous joindre à partir de la réunion ! Car le 0892020423 ne fonctionne pas. Merci d'avance                     .
                                         .    
.
.
.
.
.
.
.
.
.</t>
  </si>
  <si>
    <t>23/11/2016</t>
  </si>
  <si>
    <t>ludovic-v-133293</t>
  </si>
  <si>
    <t>Simple et rapide par contre rajouter bris glace et réduire la franchise
Coute bien plus de 100€.sinon site de bonne facture et conseiller
Très réactif.</t>
  </si>
  <si>
    <t>papa-68012</t>
  </si>
  <si>
    <t>trés bonne compagnie . personnel a l'ecoute reponse rapide .assistance trés reactive et surtout efficace .pneu eclater voiture immobiliser . depaner 30MN aprés</t>
  </si>
  <si>
    <t>24/10/2018</t>
  </si>
  <si>
    <t>nad-128373</t>
  </si>
  <si>
    <t>J'ai changé il y a deux ans de mutuelle pour souscrire à la MGP. J'ai obtenu un prix de cotisation inférieur à celui que je payais précédemment pour une couverture santé similaire.
Les remboursements sont très rapides après transmission par la Sécurité Sociale.</t>
  </si>
  <si>
    <t>smain-65123</t>
  </si>
  <si>
    <t>Depuis le 13/06 j'essaie de contacter direct assurance par téléphone, mail, whatsapp mais on me dit que toutes les lignes sont prises dû au intempérie.
J'ai envoyé plusieurs mails via le site internet, des fois je reçois des mails de confirmation et des fois rien.
Quand je reçois des mails de confirmation que mes messages sont bien passé, on me dit qu'on va me contacter sous 24h mais on ne m'a jamais rappelé 10j plus tard.
Aujourd'hui gros RAS LE BOL, assurance injoignable, je regrette d'avoir souscrit à une assurance en ligne, j'avais une crainte de joindre personne quand j'ai souscrit, ma crainte vient d'être confirmer.
Je n'en peux plus, on fait tout pour que je ne sois pas pris en charge, depuis 2 semaine j'ai eu aucun conseillé qui m'a contacté ou répondu malgré mais messages, mails et appels.
A FUIRE!!!!!</t>
  </si>
  <si>
    <t>28/06/2018</t>
  </si>
  <si>
    <t>steppi-71563</t>
  </si>
  <si>
    <t>Un Assurance pas sérieux, je signe contrat chez April Moto et jusqu'à aujourd'hui hui je ne pas reçu ma carte verte, il ya toujours quelques choses qui manque et chaque fois dans 10 jours, définitivement pas sérieux</t>
  </si>
  <si>
    <t>22/02/2019</t>
  </si>
  <si>
    <t>jbb-139676</t>
  </si>
  <si>
    <t xml:space="preserve">Les remboursements sont inexistants 
Heureusement qu'il y a la sécurité sociale 
Je déconseille cette mutuelle 
Je suis en catégorie 3 et pour plus de 2000 euros par ans c'est ce que nous payons il vaut mieux ne pas s'assurer 
J'ai eu a peine 500€ de remboursement dans l'année pour moi et mon épouse .
Les mutuelles font du fric sur le dos des assurés c'est pourquoi il y en a tant !
</t>
  </si>
  <si>
    <t>loic-86726</t>
  </si>
  <si>
    <t>Suite a l envoi de 2 recommandés de demande de résiliation, ils n ont pas pris en compte l un des deux et j ai du payé l assurance d un appartement que je n habitais plus pour l année.
J avais deja assuré le nouveau et maintenant ils ont résilié mon contrat pour manque de paiement en Janvier (sans aucun avertissement!) cependant je dois tout de même payé la cotisation pour l année 2020! Aucun moyen de régler le problème a l amiable avec leurs service client basé en Afrique du nord.
A FUIR A TOUT PRIX!</t>
  </si>
  <si>
    <t>romain-r-137659</t>
  </si>
  <si>
    <t>Je suis satisfait du service les prix me convient je serai ravi d’en parler à mes amis Et de leur expliquer que c’est assurance est l’une des plus faciles que j’ai vu sur Internet je vous remercie de votre part de votre professionnalisme</t>
  </si>
  <si>
    <t>mederic-b-123058</t>
  </si>
  <si>
    <t>Rapide efficace, pas cher, a voir ce que ca donne dans le futur niveau assurance
Sachant que je vais bientôt déménager aussi je verrais si les demarches sont simples ou non</t>
  </si>
  <si>
    <t>ysold-112852</t>
  </si>
  <si>
    <t xml:space="preserve">J'ai un contrat Véhicule Tout Risque pour une voiture , et un contrat Multirisque Habitation pour mon habitation principale dans le 92 et un appartement de vacance à Cannes.
Cette assurance est chère mais sérieuse
Je roule peu et je regrette que le prix payé n'en tienne pas compte </t>
  </si>
  <si>
    <t>mapomme78-131310</t>
  </si>
  <si>
    <t>Excellent contact initial, on m’a vendu du rêve et surtout des mensonges ! Quand j’ai eu besoin de me faire rembourser une partie des frais de soins pour mon chien, il est apparu un délai de carence pour ceci, un refus pour cela et je n’ai été remboursé de rien.
FUYEZ LES</t>
  </si>
  <si>
    <t>caline-65473</t>
  </si>
  <si>
    <t xml:space="preserve">Je déconseille fortement AFI.
J'ai signé une complémentaire santé ( hospitalisation)fin février 2018. Signature électronique 01/03/2018.
La conseillère me dit alors qu'il y a un mois de carence et que l'assurance prendra effet le 1/04/2018.
J'ai été hospitalisé un jour (26/04 au 27/04).
Le centre hospitalier m'envoie une lettre me disant que l'assurance refuse de prendre en charge cette hospitalisation car j'étais en période d'attente.
Le mois de mars n'est pas pris en compte et c'est le mois d'avril qui est pris en compte . Donc j'ai payé 1 mois pour rien 
Merci AFI 
</t>
  </si>
  <si>
    <t>13/07/2018</t>
  </si>
  <si>
    <t>guy-f-116822</t>
  </si>
  <si>
    <t>Satisfait de vos services.
Prêt a les recommander.
J'ai déja rempli ce document une fois ,il ne m'est très compliqué a le refaire.
En vous en souhaitant bonne réception</t>
  </si>
  <si>
    <t>abdul-t-112745</t>
  </si>
  <si>
    <t xml:space="preserve">Satisfait de l ouverture du dossier mais frais de transfert eleve 183 euro pour une échéance a 65 euros c est dur si possibilité d avoir un remboursement se serait le bienvenue </t>
  </si>
  <si>
    <t>denis-l-122484</t>
  </si>
  <si>
    <t>Compliqué pour finaliser le contrat
on reçoit un mail sans explications
bon service client au téléphone
tarifs corrects
rien de plus..................</t>
  </si>
  <si>
    <t>samira-b-112173</t>
  </si>
  <si>
    <t>super réactivités des services contacter.Bonne prise en charge. très rapide.
demande de souscription en ligne effectué avec une personne sur le chat.
Très bon service client je recommande</t>
  </si>
  <si>
    <t>gustave-d-124369</t>
  </si>
  <si>
    <t>Tres simple et intuitif lors de l'inscription sur le site. tarifs abordables et tout est clair. A voir sur le long termes mais pour l'instant sa commence tres bien.</t>
  </si>
  <si>
    <t>j2m-78248</t>
  </si>
  <si>
    <t>gmf !! à part nous dire "" votre sinistre ne peut pas être pris en charge"" et augmenter chaque année de 10.1 à 15.3% la cotisation, vous servez à quoi, en fait ?
Toutes ces assurances forment une bulle très opaque, constituée d'individus injoignables et formés pour vous manipuler et vous obliger à abandonner les démarches. A fuir sans hésiter, GMF en tête !</t>
  </si>
  <si>
    <t>08/08/2019</t>
  </si>
  <si>
    <t>erika-s-129417</t>
  </si>
  <si>
    <t xml:space="preserve">SIMPLE D UTILISATION  ET AGREABLE FACILE ET BIEN EXPLIQUER SUITE AU EXPLICATION TELEPHONIQUE JESPERE RECEVOIR MON ASSURANCE ROUR ROULER EN TOUTE SECURITER </t>
  </si>
  <si>
    <t>zabrodskaya-t-110232</t>
  </si>
  <si>
    <t xml:space="preserve">Le site est bien fait, le service au telephone a laissé une agreable impression,
les prix ne sont pas les plus bas, mais n'exedent pas la concurence,
 on verra a la longue... </t>
  </si>
  <si>
    <t>kiki-75170</t>
  </si>
  <si>
    <t xml:space="preserve">j'ai appelé service client pour un petit soucis, je suis tombé sur sami tres professionnelle et efficace, il m'a tres bien aidé , je suis tres satisfaite du service en général et de sami en particulier </t>
  </si>
  <si>
    <t>audrey-r-105431</t>
  </si>
  <si>
    <t>la conseillère était très sympathique au téléphone , prix raisonnable et attestation reçu rapidement !
je suis satisfaite et recommanderai avec plaisir votre assurance .</t>
  </si>
  <si>
    <t>meunier-j-124676</t>
  </si>
  <si>
    <t xml:space="preserve">Procedure Souscription contrat automobile simple , rapide et efficace , tarif attractif , merci a vous , cordialement Mr Meunier Jean-Jacques , merci à votre équipe.  </t>
  </si>
  <si>
    <t>collin-89141</t>
  </si>
  <si>
    <t xml:space="preserve">Très bonne assurance. Suite à sinistre tempête. </t>
  </si>
  <si>
    <t>25/04/2020</t>
  </si>
  <si>
    <t>marc-r-109297</t>
  </si>
  <si>
    <t>tres satisafait du tarif et des garanties tout va bien 
pourvue que le service soit à la hauteur en cas de problème 
les garanties ont l air au point</t>
  </si>
  <si>
    <t>caid-s-122439</t>
  </si>
  <si>
    <t xml:space="preserve">Je suis très satisfait du prix et du service je vous recommande cette assurance ils sont au top merci à vous bien à vous Monsieur Caid Samir merci beaucoup </t>
  </si>
  <si>
    <t>celine-m-125494</t>
  </si>
  <si>
    <t>difficile d'avoir un conseiller en ligne
la démarche en ligne est simple et rapide
prix compétitif mais informations claires
je ne sais pas si en raoutant des contrats, nous bénéficions d'une réduction ?</t>
  </si>
  <si>
    <t>roydgers06-104708</t>
  </si>
  <si>
    <t>Excellent accueil , toujours à l'écoute quelque soit la demande. A noter le grand professionnalisme du personnel toujours disponible. Temps d'attente téléphonique relativement court</t>
  </si>
  <si>
    <t>sab-89613</t>
  </si>
  <si>
    <t xml:space="preserve">Satisfaite du service, les prix restent élevés pour les jeunes 
mais service rapide tout de même et malgré cela vous restez les moins cher 
cordialement </t>
  </si>
  <si>
    <t>olivier--109289</t>
  </si>
  <si>
    <t>J'ai eu un sinistre début fevrier.
Je demande à être indemnise directement pour réparer le véhicule moi même. 
Le report d'expertise initial est de 2000€, comme je suis particulier il m'indemnise sur la base d un second rapport de 1537€.
Mais en plus il retirent la tva donc 1537€ - 299€ de franchise - la tva il me donne 962€.
Cherchez l'erreur il paye moins parce que je suis particulier mais il retiennent la tva comme un pro.
Je viens de les appeler il doivent me tenir au courant ?...</t>
  </si>
  <si>
    <t>couraye-p-126187</t>
  </si>
  <si>
    <t>très réactif et facile via le site internet, la hot line répond rapidement, et suite à plusieurs appels, j'ai toujours à faire à des personnes très agréables au téléphone</t>
  </si>
  <si>
    <t>enio-p-131534</t>
  </si>
  <si>
    <t xml:space="preserve">je suis très content. et je vais aussi ajouter ma deuxième voiture. merci pour la qualité de service que j'attends être au point et en ligne avec mes attentes. </t>
  </si>
  <si>
    <t>mumu-116451</t>
  </si>
  <si>
    <t xml:space="preserve">Assurance bien jusqu'au jour ou il vous arrive quelque chose pour mon dossier incendie qui a eu lieu en janvier et on est en juin je n arrive toujours a pas resilier mon contrat donc à être prélevé tout les mois car l expert n'a pas rédigé son rapport. Les conseiller qui vous disent que je vais être remboursé alors que  la gestionnaire dit le contraire. Franchement assurance a fuir. </t>
  </si>
  <si>
    <t>d-j-105471</t>
  </si>
  <si>
    <t xml:space="preserve">On me compte une majoration pour un sinistre alors que je suis la victime d'un chauffard. Je n'ai absolument pas été indemnisée depuis le 28/08. Pas efficace Direct assurance... </t>
  </si>
  <si>
    <t>maxime2542-55728</t>
  </si>
  <si>
    <t>Cela fait 6 mois que j ai souscrit mon contrat d'assurance et toujours pas de carte verte definitive  Je vois que le probleme est que reccurent dans cette compagnie ...
Envoi d au moins 7 mails et 5 appels et toujours rien  
Entre temps j ai assuré d autres vehicules ailleurs et j ai recu les cartes vertes definitives.
Num de contrat:
1080145834</t>
  </si>
  <si>
    <t>30/06/2017</t>
  </si>
  <si>
    <t>tony-106452</t>
  </si>
  <si>
    <t xml:space="preserve">Absolument dégouté a la reception de mon avis d'echeance 2021 ,18 % d'augmentation alors qu'avec le covid nous avons fait  2800 kms de moins avec 2 scooters assurés  J'avais d'ailleurs fait un courrier au printemps demandant une baisse de prime correspondant a une non utilisation forcée de nos scooter ,ma femme travaillant dans la restauration et n'ayant plus de travail  ...j'ai reçu un courrier fort peu courtois ;
Manifestement on se fout du monde a la mutuelle ,augmenter leurs tarifs dans une telle periode de 18 %   
je recherche une autre assurance de suite mais a mon avis ils se sont tous mis d'accord </t>
  </si>
  <si>
    <t>alidra-s-114150</t>
  </si>
  <si>
    <t>Service rapide, couverture satisfaisante, process simple et rapide. Le avis clients m'ont également beaucoup rassurée, cette assurance a l'air sérieuse</t>
  </si>
  <si>
    <t>bibou70-52900</t>
  </si>
  <si>
    <t>A fuir comme touts les assurances des qu il faut indemnisé un sinistre c est tout un programme on nous mènes tous simplement en bateau .Inondation avec intervention des pompier depuis le 31/01/2021 et dossier toujours au meme point .L'expert donne sont accord et comme le devis est trop élever pour eux il mandate un autre expert .Lamentable en attendant le parquet est tout gonflé les portes ne se ferme plus .Quand les échéances sont c est prélever c est bon mais quand sa doit aller dans l'autre sens c est lamentable .</t>
  </si>
  <si>
    <t>valentin-g-122430</t>
  </si>
  <si>
    <t>je suis satisfait du services proposé par April moto 
Leurs site est facile d'accès et d'utilisation ainsi que les prix sont correcte et devis simple et rapide</t>
  </si>
  <si>
    <t>c-h-117058</t>
  </si>
  <si>
    <t xml:space="preserve">Je ne recommande absolument cet compagnie d'assurances. 
Il faut suivre et vérifier tous les remboursements et cela fait un mois que je réclame le complément d'un soin dentaire sans succès , ni même un signe de vie à mes nombreux mails et courriers, je ne parle pas des appels téléphoniques, longs et fastidieux, qui restent bien sûr sans réponse. </t>
  </si>
  <si>
    <t>kayshou-64079</t>
  </si>
  <si>
    <t xml:space="preserve"> 3 ans que je suis chez direct assurance et ce sera la dernière. J'ai dû mettre une étoile car ce n'est pas possible de mettre zéro.
J'ai contacté direct assurance afin de passer en mensualisation et arrêter de payer en une fois mon assurance. Ils ont monté de presque 200 euros mon assurance pour cela, ok pas de problème j’accepte. Mais SURPRISE ils m'ont quand même débité de plus de 1400 euros en une fois sans me prévenir Ce qui me met dans une  panade monumental au niveau de ma banque. Donc, ils montent mon assurance de 200 euros pour une mensualisation qu'ils ne font pas et lorsque j'appelle pour qu'ils me rembourse la différence sur la mensualisations ils me disent sous 48h nous vous remboursons. Une semaine après toujours rien.. Je rappelles ce jour et ils me disent qu'il faut attendre qu'ils n'ont pas de délai à me fournir qu'il faut juste être patiente...
Je peux vous dire que cette année sera ma dernière année chez eux. UNE HONTE </t>
  </si>
  <si>
    <t>18/05/2018</t>
  </si>
  <si>
    <t>philfch-77617</t>
  </si>
  <si>
    <t>Cette assurance pratique le harcèlement, vous recevez des relances SMS, EMAIL, Lettre recommandée pour un règlement non effectué alors que votre contrat est résilié en bonne et due forme depuis 1 mois. Il essaie de prélever directement sur votre compte des sommes dont vous ne savez même pas à quoi cela correspond !!! Il vous facture des frais de rejet alors que vous n'etes plus client chez eux et prétende en bug du logiciel !!!
Méfiance méfiance si vous résiliez un contrat chez eux vous n'êtes pas aux bout de vos surprises !!!</t>
  </si>
  <si>
    <t>aurelia99-92034</t>
  </si>
  <si>
    <t xml:space="preserve">
La publicité faite par Direct assurance pour le remorquage du véhicule en cas de panne est très attractive sauf qu'il ne faut pas oublier de souscrire l'extension de garantie pour une panne débutant à O Kms de chez vous et pour le prêt de voiture. Encore faut-il le savoir si lors de la souscription, cela n'est pas précisé. Par ailleurs, il y a un forfait de 153 euros pour le remorquage. en cas de panne du véhicule, ce qui est peut-être suffisant si la panne survient en ville mais largement insuffisant si cela arrive sur une autoroute d'autant plus que le dépannage sur auroroute est réglementé. Et bien sûr, le mntant de ce forfait est indiqué dans les conditions spéciales à la fin des conditions générales que personne ne lit, surtout lorsque l'on signe un contrat en ligne, et que la personne qui fait signer le contrat se garde bien de mentionner. 
Cela fait peur si un sinistre survient pour l'habitation. 
</t>
  </si>
  <si>
    <t>cristal-62265</t>
  </si>
  <si>
    <t>A fuir!! Ils ne craignent ni leur clients ni la justice!surtout ne souscrivez pas en cas de sinistre il voys ignorent!!! Lorsque vous declarez votre maladie ils vous rendent encore plus malade!!! Fuyez!</t>
  </si>
  <si>
    <t>amano-l-128446</t>
  </si>
  <si>
    <t xml:space="preserve">TRES SATISFAITE. COMMUNICATION FLUIDE ET CLAIRE, PRIX ATTRACTIF. LA PERSONNE QUE J'AI EU EN LIGNE ETAIT TRES A L'ECOUTE ET TRES PROFESSIONNELLE. SUPER SERVICE </t>
  </si>
  <si>
    <t>alex-77333</t>
  </si>
  <si>
    <t>On dit souvent qu'une assurance ne paraît chère qu'avant l'accident. Avec la MAIF, c'est l'inverse : l'assurance ne s'avère chère que lorsque vous avez un sinistre et que vous constatez que le niveau d'indemnisation est ridiculement bas, après que le "service client" (à tous niveaux) et autres "experts" maison soient intervenus.
Assureur militant surtout pour son image en marketting et publicité, la MAIF ferait mieux de s'orienter vers ses sociétaires, qui comme moi sont restés accrochés à l'image d'un passé lointain prestigieux qui malheureusement ne cesse de se dégrader sans que cela ne semble affecter les dirigeants et le personnel</t>
  </si>
  <si>
    <t>04/07/2019</t>
  </si>
  <si>
    <t>fran-90804</t>
  </si>
  <si>
    <t xml:space="preserve">Ne prenez pas la couverture dommage aux canalisations exterieures ,ayant le contrat de niveau 2 , j'ai eu la fosse bouchée il voulais m'envoyer un expert le lendemain mais resultat aucun expert ne ma appellé  il ne sont pas serieux  </t>
  </si>
  <si>
    <t>abdelhamid-s-124509</t>
  </si>
  <si>
    <t>je suis satisfait des services. merci beaucoup pour la rapidité d'action. l'espace client est trés pratique pour avois tous ses contrats dans un seul endroit et avoir un seul contact. merci</t>
  </si>
  <si>
    <t>dimitri-b-127389</t>
  </si>
  <si>
    <t>Je suis en train de tout changer mes véhicules pour les mettre chez vous à quel point je suis content comment le dis tout le temps vaut mieux payé son assureur que lui demander quoi que ce soit vos tarifs sont vraiment intéressant bonne route</t>
  </si>
  <si>
    <t>nanou-137685</t>
  </si>
  <si>
    <t xml:space="preserve">Je me suis faite piegee par une conseillère par téléphone elle m a fait adhérer a NEOLIANE  mais je ne suis du tout contente de leurs services...depuis le 7 mai 2021 j attends les decomptes de remboursements   impossible d ouvrir l espace personnel. Impossible de leur adresser par email les decomptes de ma caisse maladie 
Depuis le mois de Mai Neoliane n a pas encore mis en place le FLUX avec AMELI et ma caisse.
Par contre ce qui fonctionne bien c est le prélèvement mensuel !!!
J attends un an et je les quitte SANS REGRET ! 
MUTUELLE a éviter...
</t>
  </si>
  <si>
    <t>yvon-l-134533</t>
  </si>
  <si>
    <t xml:space="preserve">Très bon tarif les moins chère de tous les devis à voir avec le temps si il n y aura pas de soucis en cas de panne ou autres J espère que tous se passera bien et j assurerait sûrement mon autre véhicule </t>
  </si>
  <si>
    <t>25/09/2021</t>
  </si>
  <si>
    <t>helddmarques-129577</t>
  </si>
  <si>
    <t>Une panne en 4 ans . A l'étranger service client complètement nulle aucune réponse aucune solution . Au bout de plus de 3h de attente sans solution et de plus de 20 appels on a du se débrouiller par nous mêmes dépannage et taxi a nos frais .service completamente inutile on portera plainte !! Attention 
Je déconseille vivement</t>
  </si>
  <si>
    <t>jomard-s-105646</t>
  </si>
  <si>
    <t xml:space="preserve">je suis ravie de votre service le prix très bien j'espère que rester avec vous baucoup temps
</t>
  </si>
  <si>
    <t>jeanclaude87000-107089</t>
  </si>
  <si>
    <t>Bonjour, c'est assez simple, j'ai comparé plusieurs assureurs et je n'ai pas trouvé moins cher avec un tel niveau de garanties, je recommande fortement l'Olivier  Assurance, un des rare assureur dont la pub télé n'est pas mensongère!</t>
  </si>
  <si>
    <t>rd-101340</t>
  </si>
  <si>
    <t>Recommande vivement. Inscription simple et rapide, conseillers à l'écoute et compétent et meilleur rapport qualité/prix. Alors qu'attendez vous pour passer chez Direct assurance !</t>
  </si>
  <si>
    <t>12/12/2020</t>
  </si>
  <si>
    <t>villessot-108821</t>
  </si>
  <si>
    <t xml:space="preserve">Je n’arrive pas à joindre une personne compétente pour résilier mon prélèvement alors que je n’ai rien demandé.
Le conseiller m’a raccroché au nez.
Une honte </t>
  </si>
  <si>
    <t>senior-115786</t>
  </si>
  <si>
    <t>Bonjour,
Nous avons avec mon épouse deux contrats multi supports chez AFER ouverts en 1995. Jusqu'à ces dernières années nous avions été satisfaits et avions ouverts des comptes pour nos enfants et petits enfants. Avec les difficultés actuelles pour obtenir une bonne gestion de nos adhésions comme par le passé, nous regrettons nos parrainages. Nous avons un conseiller dédié qui semble subir également les dysfonctionnements actuels.
En effet nous avions des avances sur deux comptes et comptions faire des versements pour les rembourser. On nous a imposé de les faire par chèque et de rembourser la totalité, or le règle des avances précise que l'on peut rembourser partiellement par chèque, virement ou versement . J'ai posé la question par écrit par avoir la bonne procédure et encore blocage par le conseiller. Cela dure depuis 1 mois (les fonds sont versés) et le serveur, contrairement à ce qui est dit ne répond pas et renvoie vers un conseiller....c'est lamentable. Il ne suffit pas de parader devant les autorités politiques pour être efficace .Je voudrais saisir le Médiateur mais je cherche ses coordonnées sur le site. Je suis impuissant et furieux ....</t>
  </si>
  <si>
    <t>gili-95532</t>
  </si>
  <si>
    <t>j'aimerai avoir une réévaluation de mon Assurance Auto.
Je viens de changer de voiture; j'ai cherché dans d'autres assurances; 2 d'entres elles m'on proposé des tarifs plus intéressants pour les m^m garanties.(
 donc je voudrai que celle ci soit révisée a la baisse comme cela je resterai  a PACIFICA pour mon contrat AUTO et HABITATION.</t>
  </si>
  <si>
    <t>28/07/2020</t>
  </si>
  <si>
    <t>sixt1992-97929</t>
  </si>
  <si>
    <t>L'assurance auto est assez chère.
Le peu de fois où j'ai contacté la MACIF le délai d'attente pour obtenir une réponse était très long et ils ne sont pas enclin à accorder le moindre geste commercial malgré le fait que je n'ai jamais eu d'accident en 5 ans et que j'ai souscris à plusieurs contrats chez eux.
C'est dommage.</t>
  </si>
  <si>
    <t>jean-s-126551</t>
  </si>
  <si>
    <t xml:space="preserve">Je suis très satisfait  du prix de la rapidité 
Les prix sont très attractif et compétitif
Le dossier a été créée en moins de 5 minutes je recommande direct assurance a tout le monde
</t>
  </si>
  <si>
    <t>titan-89170</t>
  </si>
  <si>
    <t xml:space="preserve">Titulaire d'un contrat PLAN EPARGNE RETRAITE, j'ai fais une demande de rachat total depuis 2 mois passé, les documents ont été envoyés et réceptionnés. Aucunes réponses de leur part aux différents mails et je suis toujours en attente de leur paiement, donc mon argent !!!  </t>
  </si>
  <si>
    <t>27/04/2020</t>
  </si>
  <si>
    <t>gazzarin-l-112610</t>
  </si>
  <si>
    <t>très satisfaite du tarif et des informations données lors de la demande du devis par votre collaborateur. Solutions trouvées par la compagnie dans la limite de mon budget financier</t>
  </si>
  <si>
    <t>jjbfse-63021</t>
  </si>
  <si>
    <t>Attends le remboursement des cotisations annuelles depuis juillet 2016 suite décès de mon mari en 2016. Ont prélévé en 2017, ai fait une mise en demeure mais rien en retour aussi bien par mail, courrier...C'est la Cafpi me nous l'a proposé mais vraiment très déçue de leurs incompétences. Je ne sais plus quoi faire et la Cafpi ne bouge pas non plus.Si vous avez une idée. Un grand merci</t>
  </si>
  <si>
    <t>06/04/2018</t>
  </si>
  <si>
    <t>tanlet-r-124551</t>
  </si>
  <si>
    <t>des tarif attractifs avec de bonnes couverture dans l'ensemble. toutes fois une relation entre les contrat existant n'est pas toujours très clair. a améliorer</t>
  </si>
  <si>
    <t>cerise-80041</t>
  </si>
  <si>
    <t xml:space="preserve">Nous sommes clients de Groupama depuis 14 ans, ayant toutes nos assurances chez eux. Nous sommes extrêmement déçus de leur réactivité par rapport aux dégâts causés dans une location (fuite toiture).
De plus nous avons constaté une augmentation de 25 % sans justification...
Nous sommes très insatisfait, aucune communication, un devis envoyé au 03 octobre et toujours en attente de leur part...
</t>
  </si>
  <si>
    <t>14/10/2019</t>
  </si>
  <si>
    <t>arnithorynk-57118</t>
  </si>
  <si>
    <t>Suite à l'ajout d'un box de parking privatif sur mon contrat d'assurance habitation, j'ai appelé la MAIF afin de les informer du changement. Ce changement n'est, en général, matérialisé que par un simple avenant ne modifiant pas ou quasiment pas la prime d'assurance. Quelle agréable surprise de découvrir que la formule minimum (primordiale) que j'avais jusqu'alors souscrite ne permet pas d'assurer un simple box de parking. Impossible d'obtenir la moindre information constructive au téléphone, si ce n'est en résumé "c'est comme ça". Je n'ai pas trouvé l'information excluant l'assurance du box dans les conditions générales du contrat et la conseillère n'a pas été capable de m'énoncer clairement le texte allant dans ce sens. Me voilà donc obligé de souscrire l'assurance d'un niveau supérieure, faisant flamber ma prime d'assurance annuelle de plus de 90 euros pour un box de 12m2.</t>
  </si>
  <si>
    <t>05/09/2017</t>
  </si>
  <si>
    <t>goussot-j-114694</t>
  </si>
  <si>
    <t>Je suis satisfait du service,le personnel est à l'écoute de la personne, quand j'ai appelé pour me renseigner de mon petit soucis pour mon nouveau contrat,il ont été à l'écoute</t>
  </si>
  <si>
    <t>yetis-78218</t>
  </si>
  <si>
    <t xml:space="preserve">J'ai eu des problèmes avec la mutuelle MGEN Istya Collectives : pas de réponse claire voire aucune et finalement s'ils disent vrai, ce que je conteste, un très faible remboursement pour des frais dentaires
Je déconseille fortement </t>
  </si>
  <si>
    <t>06/08/2019</t>
  </si>
  <si>
    <t>ghasacharlo-109246</t>
  </si>
  <si>
    <t>Une véritable horreur, je me suis fait renversé a vélo il y a plus d'un an maintenant et malgré mon combat pour réunir chaque mois une nouvelle preuve de ma bonne foi, je suis le seul a essayer de me sortir de ce pétrin, alors que l'assuré adverse qui nie en bloc (dans son intérêt), son assurance qui la protège (bien évidement c'est leur rôle) la GMF se contente de transmettre les documents sans même prendre la peine de les lires. Je n'ai donc aucun poids contre eux malgré le constat, témoignage, rapport d'expertise etc.
Aujourd'hui je reçois un mail pour m'informer que le dossier est clos et que je dois m'assoir sur les 1300€ de réparation causé par cet accident. Un dossier pourtant si facile a traiter en vu des preuves et documents en ma possession.
Moi qui attendais la fin du sinistre pour résilier l'intégralité de mes contrats exclusivement chez la GMF depuis toujours, c'est chose faite a présent ...
A fuir d'urgence, quite a n'avoir personne en face, les assurances en ligne le font aussi bien pour moins cher</t>
  </si>
  <si>
    <t>jonathan-k-128731</t>
  </si>
  <si>
    <t xml:space="preserve">Service au top, prix géniaux, application bonne, je recommande direct assurance pour beaucoup de raisons, surtout le prix et la qualité de service. Jonathan </t>
  </si>
  <si>
    <t>salime-104153</t>
  </si>
  <si>
    <t xml:space="preserve">Assurez depuis de nombreuses années chez eux, avec plusieurs contrat, tout ce  passer a peu pres normal et depuis 1 année, ils sont devenu tres dur et trouve la moindre excuse pour ne pas remboursé meme un bris de glace. Je n ai pas effectué mon changement de carte grise donc on vous rembourse pas, allez voir chez les concurrents c est beaucoup mieux et j ai deja eu la meme chose ailleurs et j ai été remboursé. Ne vous fiez pas on note c est basé sur avant que ca change </t>
  </si>
  <si>
    <t>joel-m-107869</t>
  </si>
  <si>
    <t>beaucoup de déception suite à plusieurs sinistres déclarés dont l'un n'est toujours pas réglé. Jamais les mêmes interlocuteurs au téléphone, il faut a chaque repeter la même histoire</t>
  </si>
  <si>
    <t>chacha13-79360</t>
  </si>
  <si>
    <t xml:space="preserve">Terrible... Je déconseille fortement ! Non prise en compte de mes nombreuses demandes concernant le prélèvement des cotisations !!! Service client non compétent ! 1an pour réagir à ma première demande !!! Il faudra peut-être accélérer la cadence là ! </t>
  </si>
  <si>
    <t>21/09/2019</t>
  </si>
  <si>
    <t>toto27-96658</t>
  </si>
  <si>
    <t xml:space="preserve">Assurance pas chère très facile à prendre je conseil à un amie prix très atra tif on m à bien consigner avec le comparateur sur internet je les fait pendent le confinement et je ne regrette pas </t>
  </si>
  <si>
    <t>coccinelle-102467</t>
  </si>
  <si>
    <t xml:space="preserve">Je suis satisfaite pleinement mais les cotisations un peu élevée
Mon contrat a été modifié récemment donc pas encore de remboursement mais je pense que sa sera comme au paravant très bien </t>
  </si>
  <si>
    <t>11/01/2021</t>
  </si>
  <si>
    <t>aucun-pseudo-137941</t>
  </si>
  <si>
    <t>Bonjour
Assuré à la MAIF depuis plus de 20 ans je suis extrêmement satisfait des services de ce partenaire en qui j'ai toute confiance. Assistance immédiate et de qualité, remboursements rapides et complets, la MAIF est un assureur de grande qualité qui propose, sur laz base d'un même contrat ou dossier,  une multitude de produits adaptés aux diverses situations qui nécessitent d'être assuré (habitation, voiture perso et pro....).
A recommander.</t>
  </si>
  <si>
    <t>elelisabeth-b-128434</t>
  </si>
  <si>
    <t xml:space="preserve">Plutôt satisfaite, bien que la conseillère que j'ai eu 2 fois ne m'ai pas rappelé pour des renseignements
Le plus d'après les avis, c'est que nous avons un conseiller en cas de problème
</t>
  </si>
  <si>
    <t>laulau-129506</t>
  </si>
  <si>
    <t xml:space="preserve">La couverture santé sur la plan kiné, dentaire et ophtalmo sont catastrophiques. Je compte changer ma mutuelle à n'a fin de l'année pour avoir un meilleur remboursement </t>
  </si>
  <si>
    <t>pierre-55779</t>
  </si>
  <si>
    <t>un début de contrat laborieux ,faute de communication,mais par la suite les personnes contactées se sont mis en quatre pour me satisfaire avec compétence, un bon point pour la suite</t>
  </si>
  <si>
    <t>03/07/2017</t>
  </si>
  <si>
    <t>clergyman--96344</t>
  </si>
  <si>
    <t xml:space="preserve">Tout est compliqué à la G.M.F, Hélas ! Ou bien encore comment assurer des fonctionnaires en s'octroyant des privilèges sur leur dos !
Je déplore d'avoir eu des déboires avec un responsable régional en pays de la Loire qui profitait allègrement d'assurer également les élus locaux pour assurer, en plus, des ses revenus, ses passes droits : Sans commentaire mais une commission parlementaire devra, un jour, investiguer la G.M.F...
</t>
  </si>
  <si>
    <t>fanny-a-127420</t>
  </si>
  <si>
    <t>Je suis satisfaite du service mais les prix pourraient être un peu plus attractifs pour un 1er contrat. J'aurais également souhaité pouvoir assurer mon habitation avec un pack auto-habitation.</t>
  </si>
  <si>
    <t>maurel-l-138443</t>
  </si>
  <si>
    <t xml:space="preserve">satisfaite de la prestationc rapide efficace simple détaillée avec beaucoup de détail pour etre sur de ce que l’ont fait. Hate de recommendé à quelqu’un votre assurance </t>
  </si>
  <si>
    <t>xav-86731</t>
  </si>
  <si>
    <t>Suite à une intervention chirurgicale sur un doigt cassé avec dépassement d'honoraires. Section locale contactée par téléphone pour la prise en charge qui répond OUI. Ensuite envoi des documents et non prise en charge. Nouveau contact téléphonique et réponse : Non nous ne prenons pas en charge, impossible que l'on vous réponde cela.
Merci la MGEN. Ayez confiance...</t>
  </si>
  <si>
    <t>suzanne-139270</t>
  </si>
  <si>
    <t xml:space="preserve">Merci à Daouda d"avoir résolu mon problème. Il a été à l'écoute et très aimable. Un conseiller au top. J'ai immédiatement reçu par mail les éléments dont j'avais besoin. </t>
  </si>
  <si>
    <t>09/11/2021</t>
  </si>
  <si>
    <t>andrec-94600</t>
  </si>
  <si>
    <t>Sur le Site Direct Assurance pour faire un devis pour ma voiture facile à utiliser fuible et bien fait.  le prix de l'assurance est tres interessant par rapport au marché</t>
  </si>
  <si>
    <t>19/07/2020</t>
  </si>
  <si>
    <t>dylan-s-131173</t>
  </si>
  <si>
    <t xml:space="preserve">Je suis satisfait du service bien expliquer
Simple efficace et surtout à prix abordable ce qui n'est pas donné à tout le monde sur les assurances en lignes </t>
  </si>
  <si>
    <t>yvong-69494</t>
  </si>
  <si>
    <t xml:space="preserve">Même si vous êtes assuré tous riques, la #Maaf utilise son expert pour contester le constat ce qui lui permet de ne pas vous rembourser. J'ai un constat précisant que ma voiture a subi un choc da.s une statiion de lavage. Bien que les conditions soient admises par la station, l expert nie l'incident sans explication probantes. Conclusion: la maaf ne me rembourse pas.
</t>
  </si>
  <si>
    <t>mp-133353</t>
  </si>
  <si>
    <t xml:space="preserve">À éviter
Impossible d'obtenir un remboursement malgré un dossier complet et vérifier par le télé opérateur qui ne peut communiquer avec le service des paiements.
Pas sérieux. </t>
  </si>
  <si>
    <t>motard46-57560</t>
  </si>
  <si>
    <t>Deux mois d'attente toujours sans réponse malgré plusieurs relances !!!</t>
  </si>
  <si>
    <t>srs-90468</t>
  </si>
  <si>
    <t>J'essai de joindre le service client d'Eurofil depuis une semaine et à part la musique d'ambiance, aucun conseillé ne décroche!
Le site client ne permet pas de se faire rappeler, faire un devis impose de contacter le service client...qui ne répond pas!
pour une assurance en ligne, le contrat est rompu.
Je ne désespère pas d'obtenir un conseiller, mais ce sera pour supprimer tous mes contrats.</t>
  </si>
  <si>
    <t>11/06/2020</t>
  </si>
  <si>
    <t>aucun-102836</t>
  </si>
  <si>
    <t>Cette compagnie n'est pas faiable.Il y a 2 ans,je n'ai JAMAIS obtenu le remboursemnt des frais télévision en hosptitalisation ( 2 mois).En 2020,j'ai éffectué une cure thermale a LA BOURBOULE (63).J'attends toujour le remboursement de mes frais,malgré les nombreuses réclamations de mon courtier.Je suis a disposition pour tous renseignements.Ne pas faire confiance.Changez d'assureur comme je viens de le faire.</t>
  </si>
  <si>
    <t>jean-luc-d-136290</t>
  </si>
  <si>
    <t>Très pratique pour la souscription. Après on verra à l'usage.
Je n'ai pas d'autre chose a dire pour le moment, je donnerai mon avis plus tard dès lors que j'aurai eu besoin de leur service.</t>
  </si>
  <si>
    <t>06/10/2021</t>
  </si>
  <si>
    <t>kouadio-k-123943</t>
  </si>
  <si>
    <t>Je suis satisfait pour la qualité de l'accueil, toutes mes questions ont eu un réponse bien expliqué détaillé. Niveau prix l'acompte de me convenait pas trop</t>
  </si>
  <si>
    <t>jean-pierre-d-107348</t>
  </si>
  <si>
    <t>Je suis totalement satisfait du service rapide et simple.
 J'ai obtenu le devis d'assurance en ligne très rapidement et j'ai pu souscrire au contrat le jour même</t>
  </si>
  <si>
    <t>riton-137776</t>
  </si>
  <si>
    <t>rawane est à l'ecoute des adherants avec gentillesse avec les reponses attendues.
                cordialement.
   certains courtiers qui gere les contrats mon basculé sur aesio avec des remboursements inferieurs à mon contrat actuel chez vous,pouquoi cette politique.</t>
  </si>
  <si>
    <t>19/10/2021</t>
  </si>
  <si>
    <t>steph-66407</t>
  </si>
  <si>
    <t xml:space="preserve">Assurance très restrictive concernant les garanties </t>
  </si>
  <si>
    <t>26/08/2018</t>
  </si>
  <si>
    <t>stef-103192</t>
  </si>
  <si>
    <t xml:space="preserve">Cette mutuelle me donne entière satisfaction depuis de nombreuses années. J'ai essayé d'en changer,  mais peine perdue c'est le meilleur rapport qualité des prestations / prix !
</t>
  </si>
  <si>
    <t>25/01/2021</t>
  </si>
  <si>
    <t>houley-s-132653</t>
  </si>
  <si>
    <t>Assurance qui rembourse très mal, prise en charge des soins très mal remboursé, POUR MES RDV DE SUVIS DE GROSSESSE JE N'AI QUASIMENT PAS ÉTÉ PRISE EN CHARGE avec la  formule de base; Entre autre et se dit l'assurance des fonctionnaires mais présente quasi aucuns avantages pour nous; je compte changer d'assurance dès que j'aurais accouché;</t>
  </si>
  <si>
    <t>jean-a-110480</t>
  </si>
  <si>
    <t>JE VOUS AI EXPRIME MON AVIS TOUT EST NICKEL J ESPERE QUE PAR LA SUITE JE NE SERAI PAS DECU PAR LA SUITE VU QUE J AI PAYE 
CORDIALEMENT 
JLOUIS ALADENISE</t>
  </si>
  <si>
    <t>technico-59179</t>
  </si>
  <si>
    <t>Rapidité des renseignements, franchise élevé .Je reste client quand même en espérant que GMF va consentir une petite remise !!!....Car je suis client depuis un certain nombre d'années.</t>
  </si>
  <si>
    <t>sandrine-p-111949</t>
  </si>
  <si>
    <t>Service trrészsatisfaisant.
Accueil téléphonique et renseignements rapides et trés compétent et professionnel.
Les prix sont corrects et raisonnables.</t>
  </si>
  <si>
    <t>marioncloclo-102543</t>
  </si>
  <si>
    <t xml:space="preserve">Je suis très satisfaite de mon assurance AMV.
Le prix est très intéressant 
dernièrement j'ai eu un petit accident. 
J'ai bien été conseillé pour déclarer ce sinistre.
J'en profite pour vous dire MERCI !
</t>
  </si>
  <si>
    <t>fouad69-87868</t>
  </si>
  <si>
    <t xml:space="preserve">Le service client n'est pas du tout réactif, vous avez deux question sur vos cotisations et tout de suite il faut rentrer en contact avec le siège sociale qui lui est bien souvent fermé. personne ne vous réponds par mail, personne ne vous répond via l'espace adherent. </t>
  </si>
  <si>
    <t>02/03/2020</t>
  </si>
  <si>
    <t>nathalie-63248</t>
  </si>
  <si>
    <t>satisfaite de votre mutuelle, merci de nous recontacter pour des nouveaux contacts car j ´etais chez vous depuis 2013 les remboursements sont satifaisants</t>
  </si>
  <si>
    <t>lou-64568</t>
  </si>
  <si>
    <t>DECONSEILLEE!!!résiliation des contrats sous des prétextes bidons.Ils enregitrent en déclaration sinistres des demandes d'information sur la couverture du contrat!J'ai demandé des informations sur des couvertures de contrat il y a plus d'un an et j'attends toujours une réponse malgré deux relances.</t>
  </si>
  <si>
    <t>07/06/2018</t>
  </si>
  <si>
    <t>marine-j-124400</t>
  </si>
  <si>
    <t>Vue le tarif pour une petite fiât 500 essence 1.2 de 2014 c’est exagéré , je suis vraiment dessus heureusement que ce n’est pas ma fille qui vas payé l’assurance 
Comment une étudiante peut payé une assurance voiture 2200€ à l’année ????</t>
  </si>
  <si>
    <t>math6-78271</t>
  </si>
  <si>
    <t xml:space="preserve">Apres avoir souscrit a l olivier assurance auto et d avoir  coché qu il  applique la loi hammon je me suis rendu compte 2 mois apres que celle ci n'avais pas était appliquer j ai donc payer pendant 2 mois 2 assurance apres avoir appele l'olivier et qu il constste leurs erreur aucun geste commercial proposé encore moi de remboursement malgre plus de 200e payer a cause de leurs erreur bref une honte a tout les étages une organisation pitoyable et un sav du meme niveau ne vous assurer pas labas 
Le prix mais qui annonce la couleur de la piètre qualité de l organisation et du sav
</t>
  </si>
  <si>
    <t>lucas-m-126721</t>
  </si>
  <si>
    <t>Le service est rapide et efficace. Les prix sont attractifs. Les différentes options proposées permettent de choisir la bonne assurance qui correspond pour chaque conducteur.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</si>
</sst>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workbookViewId="0">
      <selection activeCell="I2" sqref="I2"/>
    </sheetView>
  </sheetViews>
  <sheetFormatPr baseColWidth="10" defaultColWidth="14.44140625" defaultRowHeight="15" customHeight="1" x14ac:dyDescent="0.3"/>
  <cols>
    <col min="1" max="6" width="8.6640625" customWidth="1"/>
    <col min="7" max="7" width="16.6640625" customWidth="1"/>
    <col min="8" max="26" width="8.6640625" customWidth="1"/>
  </cols>
  <sheetData>
    <row r="1" spans="1:11" ht="14.4" x14ac:dyDescent="0.3">
      <c r="A1" s="1" t="s">
        <v>0</v>
      </c>
      <c r="B1" s="1" t="s">
        <v>1</v>
      </c>
      <c r="C1" s="1" t="s">
        <v>2</v>
      </c>
      <c r="D1" s="1" t="s">
        <v>3</v>
      </c>
      <c r="E1" s="1" t="s">
        <v>4</v>
      </c>
      <c r="F1" s="1" t="s">
        <v>5</v>
      </c>
      <c r="G1" s="1" t="s">
        <v>6</v>
      </c>
      <c r="H1" s="1" t="s">
        <v>7</v>
      </c>
      <c r="I1" s="1" t="s">
        <v>8</v>
      </c>
      <c r="J1" s="1" t="s">
        <v>9</v>
      </c>
      <c r="K1" s="1" t="s">
        <v>10</v>
      </c>
    </row>
    <row r="2" spans="1:11" ht="14.4" x14ac:dyDescent="0.3">
      <c r="A2" s="2">
        <v>5</v>
      </c>
      <c r="B2" s="2" t="s">
        <v>11</v>
      </c>
      <c r="C2" s="2" t="s">
        <v>12</v>
      </c>
      <c r="D2" s="2" t="s">
        <v>13</v>
      </c>
      <c r="E2" s="2" t="s">
        <v>14</v>
      </c>
      <c r="F2" s="2" t="s">
        <v>15</v>
      </c>
      <c r="G2" s="2" t="s">
        <v>16</v>
      </c>
      <c r="H2" s="2" t="s">
        <v>17</v>
      </c>
      <c r="I2" s="2" t="str">
        <f ca="1">IFERROR(__xludf.DUMMYFUNCTION("GOOGLETRANSLATE(C2,""fr"",""en"")"),"Best insurance, price, solutions, listening, speed, and I recommend this company for you
Attractive prices and quality services and speed")</f>
        <v>Best insurance, price, solutions, listening, speed, and I recommend this company for you
Attractive prices and quality services and speed</v>
      </c>
    </row>
    <row r="3" spans="1:11" ht="14.4" x14ac:dyDescent="0.3">
      <c r="A3" s="2">
        <v>4</v>
      </c>
      <c r="B3" s="2" t="s">
        <v>18</v>
      </c>
      <c r="C3" s="2" t="s">
        <v>19</v>
      </c>
      <c r="D3" s="2" t="s">
        <v>13</v>
      </c>
      <c r="E3" s="2" t="s">
        <v>14</v>
      </c>
      <c r="F3" s="2" t="s">
        <v>15</v>
      </c>
      <c r="G3" s="2" t="s">
        <v>20</v>
      </c>
      <c r="H3" s="2" t="s">
        <v>21</v>
      </c>
      <c r="I3" s="2" t="str">
        <f ca="1">IFERROR(__xludf.DUMMYFUNCTION("GOOGLETRANSLATE(C3,""fr"",""en"")"),"I am generally satisfied, except that you have a problem with your website, impossible to declare an online disaster after several attempts declared by phone or everything went very well, competent and very pleasant interlocutor")</f>
        <v>I am generally satisfied, except that you have a problem with your website, impossible to declare an online disaster after several attempts declared by phone or everything went very well, competent and very pleasant interlocutor</v>
      </c>
    </row>
    <row r="4" spans="1:11" ht="14.4" x14ac:dyDescent="0.3">
      <c r="A4" s="2">
        <v>5</v>
      </c>
      <c r="B4" s="2" t="s">
        <v>22</v>
      </c>
      <c r="C4" s="2" t="s">
        <v>23</v>
      </c>
      <c r="D4" s="2" t="s">
        <v>13</v>
      </c>
      <c r="E4" s="2" t="s">
        <v>14</v>
      </c>
      <c r="F4" s="2" t="s">
        <v>15</v>
      </c>
      <c r="G4" s="2" t="s">
        <v>24</v>
      </c>
      <c r="H4" s="2" t="s">
        <v>25</v>
      </c>
      <c r="I4" s="2" t="str">
        <f ca="1">IFERROR(__xludf.DUMMYFUNCTION("GOOGLETRANSLATE(C4,""fr"",""en"")"),"Very affordable price Several options are available to us such as the connecting box to the car, the quiet and zero franchise option which is quite pleasant")</f>
        <v>Very affordable price Several options are available to us such as the connecting box to the car, the quiet and zero franchise option which is quite pleasant</v>
      </c>
    </row>
    <row r="5" spans="1:11" ht="14.4" x14ac:dyDescent="0.3">
      <c r="A5" s="2">
        <v>4</v>
      </c>
      <c r="B5" s="2" t="s">
        <v>26</v>
      </c>
      <c r="C5" s="2" t="s">
        <v>27</v>
      </c>
      <c r="D5" s="2" t="s">
        <v>28</v>
      </c>
      <c r="E5" s="2" t="s">
        <v>14</v>
      </c>
      <c r="F5" s="2" t="s">
        <v>15</v>
      </c>
      <c r="G5" s="2" t="s">
        <v>29</v>
      </c>
      <c r="H5" s="2" t="s">
        <v>30</v>
      </c>
      <c r="I5" s="2" t="str">
        <f ca="1">IFERROR(__xludf.DUMMYFUNCTION("GOOGLETRANSLATE(C5,""fr"",""en"")"),"I satisfy the service, a very fast response from your service. I thank you, you are a cheapest insurance on the walk, cordially.")</f>
        <v>I satisfy the service, a very fast response from your service. I thank you, you are a cheapest insurance on the walk, cordially.</v>
      </c>
    </row>
    <row r="6" spans="1:11" ht="14.4" x14ac:dyDescent="0.3">
      <c r="A6" s="2">
        <v>1</v>
      </c>
      <c r="B6" s="2" t="s">
        <v>31</v>
      </c>
      <c r="C6" s="2" t="s">
        <v>32</v>
      </c>
      <c r="D6" s="2" t="s">
        <v>33</v>
      </c>
      <c r="E6" s="2" t="s">
        <v>14</v>
      </c>
      <c r="F6" s="2" t="s">
        <v>15</v>
      </c>
      <c r="G6" s="2" t="s">
        <v>34</v>
      </c>
      <c r="H6" s="2" t="s">
        <v>35</v>
      </c>
      <c r="I6" s="2" t="str">
        <f ca="1">IFERROR(__xludf.DUMMYFUNCTION("GOOGLETRANSLATE(C6,""fr"",""en"")"),"Customer for more than 25 years, very disappointed with this ""mutual"" which is no longer a mutual, the search for immediate profit has become their priority. At the agency we do not know that trying to run unnecessary contracts, we make you pay legal pr"&amp;"otection on each contract but you will only be defended once! As soon as there is the slightest claim there are not there to defend you but on the contrary to automatically put you all the twists to bring down your bonus which is too high! In short, they "&amp;"have only one goal to make you pay as much as possible. Alas it is now the lot of all insurers. So find out to pay as little as possible and especially not to need them !!!")</f>
        <v>Customer for more than 25 years, very disappointed with this "mutual" which is no longer a mutual, the search for immediate profit has become their priority. At the agency we do not know that trying to run unnecessary contracts, we make you pay legal protection on each contract but you will only be defended once! As soon as there is the slightest claim there are not there to defend you but on the contrary to automatically put you all the twists to bring down your bonus which is too high! In short, they have only one goal to make you pay as much as possible. Alas it is now the lot of all insurers. So find out to pay as little as possible and especially not to need them !!!</v>
      </c>
    </row>
    <row r="7" spans="1:11" ht="14.4" x14ac:dyDescent="0.3">
      <c r="A7" s="2">
        <v>1</v>
      </c>
      <c r="B7" s="2" t="s">
        <v>36</v>
      </c>
      <c r="C7" s="2" t="s">
        <v>37</v>
      </c>
      <c r="D7" s="2" t="s">
        <v>38</v>
      </c>
      <c r="E7" s="2" t="s">
        <v>39</v>
      </c>
      <c r="F7" s="2" t="s">
        <v>15</v>
      </c>
      <c r="G7" s="2" t="s">
        <v>40</v>
      </c>
      <c r="H7" s="2" t="s">
        <v>41</v>
      </c>
      <c r="I7" s="2" t="str">
        <f ca="1">IFERROR(__xludf.DUMMYFUNCTION("GOOGLETRANSLATE(C7,""fr"",""en"")"),"Forced sale by phone, claiming serious events for my loved ones, but without even knowing my date of birth!
Neoliane will say that this is the fault of the telephone platform in the Magreb, but this canvassing is abusive and scary. In addition, I am iScr"&amp;"ipt on Bloctel
To flee and to postpone to the fraud repression services")</f>
        <v>Forced sale by phone, claiming serious events for my loved ones, but without even knowing my date of birth!
Neoliane will say that this is the fault of the telephone platform in the Magreb, but this canvassing is abusive and scary. In addition, I am iScript on Bloctel
To flee and to postpone to the fraud repression services</v>
      </c>
    </row>
    <row r="8" spans="1:11" ht="14.4" x14ac:dyDescent="0.3">
      <c r="A8" s="2">
        <v>3</v>
      </c>
      <c r="B8" s="2" t="s">
        <v>42</v>
      </c>
      <c r="C8" s="2" t="s">
        <v>43</v>
      </c>
      <c r="D8" s="2" t="s">
        <v>44</v>
      </c>
      <c r="E8" s="2" t="s">
        <v>39</v>
      </c>
      <c r="F8" s="2" t="s">
        <v>15</v>
      </c>
      <c r="G8" s="2" t="s">
        <v>45</v>
      </c>
      <c r="H8" s="2" t="s">
        <v>46</v>
      </c>
      <c r="I8" s="2" t="str">
        <f ca="1">IFERROR(__xludf.DUMMYFUNCTION("GOOGLETRANSLATE(C8,""fr"",""en"")"),"New customer satisfied with the price and services.
I will not give more reviews because I am a new customer at home. I hope everything will go well thank you")</f>
        <v>New customer satisfied with the price and services.
I will not give more reviews because I am a new customer at home. I hope everything will go well thank you</v>
      </c>
    </row>
    <row r="9" spans="1:11" ht="14.4" x14ac:dyDescent="0.3">
      <c r="A9" s="2">
        <v>1</v>
      </c>
      <c r="B9" s="2" t="s">
        <v>47</v>
      </c>
      <c r="C9" s="2" t="s">
        <v>48</v>
      </c>
      <c r="D9" s="2" t="s">
        <v>49</v>
      </c>
      <c r="E9" s="2" t="s">
        <v>50</v>
      </c>
      <c r="F9" s="2" t="s">
        <v>15</v>
      </c>
      <c r="G9" s="2" t="s">
        <v>51</v>
      </c>
      <c r="H9" s="2" t="s">
        <v>52</v>
      </c>
      <c r="I9" s="2" t="str">
        <f ca="1">IFERROR(__xludf.DUMMYFUNCTION("GOOGLETRANSLATE(C9,""fr"",""en"")"),"An insurer contacted me by phone to sell me this insurance for my puppy by selling me that the pretty details, so I subscribed to the insurance to be reimbursed at 80%.
I then go to the veterinarian to vaccinate my puppy, and I am prescribed an ointment "&amp;"for buttons he has, Health Vet does not reimburse it to me because there is a 45 -day coach of which I had not been told, This detail is still going on.
 1 month later I remind the vaccine for my puppy (as for all puppies and buys dewormers), so I send a"&amp;"n invoice of 118 euros and I am told that I am not reimbursed because I n The right only 50 euros of costs per year (which I had not been told either otherwise I would never have subscribed, the purpose of the insurance is to be reimbursed)
I call insura"&amp;"nce to terminate and of course I am told that I have to wait 1 year to retract thing that I had never been told.
Flee this insurance !!")</f>
        <v>An insurer contacted me by phone to sell me this insurance for my puppy by selling me that the pretty details, so I subscribed to the insurance to be reimbursed at 80%.
I then go to the veterinarian to vaccinate my puppy, and I am prescribed an ointment for buttons he has, Health Vet does not reimburse it to me because there is a 45 -day coach of which I had not been told, This detail is still going on.
 1 month later I remind the vaccine for my puppy (as for all puppies and buys dewormers), so I send an invoice of 118 euros and I am told that I am not reimbursed because I n The right only 50 euros of costs per year (which I had not been told either otherwise I would never have subscribed, the purpose of the insurance is to be reimbursed)
I call insurance to terminate and of course I am told that I have to wait 1 year to retract thing that I had never been told.
Flee this insurance !!</v>
      </c>
    </row>
    <row r="10" spans="1:11" ht="14.4" x14ac:dyDescent="0.3">
      <c r="A10" s="2">
        <v>1</v>
      </c>
      <c r="B10" s="2" t="s">
        <v>53</v>
      </c>
      <c r="C10" s="2" t="s">
        <v>54</v>
      </c>
      <c r="D10" s="2" t="s">
        <v>55</v>
      </c>
      <c r="E10" s="2" t="s">
        <v>39</v>
      </c>
      <c r="F10" s="2" t="s">
        <v>15</v>
      </c>
      <c r="G10" s="2" t="s">
        <v>56</v>
      </c>
      <c r="H10" s="2" t="s">
        <v>57</v>
      </c>
      <c r="I10" s="2" t="str">
        <f ca="1">IFERROR(__xludf.DUMMYFUNCTION("GOOGLETRANSLATE(C10,""fr"",""en"")"),"I can only join the many negative opinions. I even regret having had to put 1 star as the service and the reimbursements are nonexistent. Waiting for optical and osteopathy reimbursements for more than 10 weeks now and always the same well -established sp"&amp;"eech: ""We are late but your requests will be processed before the weekend!"". Count on average 45 minutes per call to finally have an ""advisor"" with whom it will be necessary to iron all the open files again (while they are supposed to have full visibi"&amp;"lity in their system). The worst, their site announces reimbursements treated when they have still not been credited to my bank account!")</f>
        <v>I can only join the many negative opinions. I even regret having had to put 1 star as the service and the reimbursements are nonexistent. Waiting for optical and osteopathy reimbursements for more than 10 weeks now and always the same well -established speech: "We are late but your requests will be processed before the weekend!". Count on average 45 minutes per call to finally have an "advisor" with whom it will be necessary to iron all the open files again (while they are supposed to have full visibility in their system). The worst, their site announces reimbursements treated when they have still not been credited to my bank account!</v>
      </c>
    </row>
    <row r="11" spans="1:11" ht="14.4" x14ac:dyDescent="0.3">
      <c r="A11" s="2">
        <v>1</v>
      </c>
      <c r="B11" s="2" t="s">
        <v>58</v>
      </c>
      <c r="C11" s="2" t="s">
        <v>59</v>
      </c>
      <c r="D11" s="2" t="s">
        <v>60</v>
      </c>
      <c r="E11" s="2" t="s">
        <v>61</v>
      </c>
      <c r="F11" s="2" t="s">
        <v>15</v>
      </c>
      <c r="G11" s="2" t="s">
        <v>62</v>
      </c>
      <c r="H11" s="2" t="s">
        <v>41</v>
      </c>
      <c r="I11" s="2" t="str">
        <f ca="1">IFERROR(__xludf.DUMMYFUNCTION("GOOGLETRANSLATE(C11,""fr"",""en"")"),"Generali Insurance life heritage very bad customer service, not serious, bad payer if you ask for an advance on its general savings")</f>
        <v>Generali Insurance life heritage very bad customer service, not serious, bad payer if you ask for an advance on its general savings</v>
      </c>
    </row>
    <row r="12" spans="1:11" ht="14.4" x14ac:dyDescent="0.3">
      <c r="A12" s="2">
        <v>1</v>
      </c>
      <c r="B12" s="2" t="s">
        <v>63</v>
      </c>
      <c r="C12" s="2" t="s">
        <v>64</v>
      </c>
      <c r="D12" s="2" t="s">
        <v>65</v>
      </c>
      <c r="E12" s="2" t="s">
        <v>14</v>
      </c>
      <c r="F12" s="2" t="s">
        <v>15</v>
      </c>
      <c r="G12" s="2" t="s">
        <v>66</v>
      </c>
      <c r="H12" s="2" t="s">
        <v>67</v>
      </c>
      <c r="I12" s="2" t="str">
        <f ca="1">IFERROR(__xludf.DUMMYFUNCTION("GOOGLETRANSLATE(C12,""fr"",""en"")"),"It is a total shame. We have all our insurance with Allianz. They deal with our complaint with incompetence, we are led to leaving them, they nevertheless cancel our insurance at the end of this contract. to avoid!")</f>
        <v>It is a total shame. We have all our insurance with Allianz. They deal with our complaint with incompetence, we are led to leaving them, they nevertheless cancel our insurance at the end of this contract. to avoid!</v>
      </c>
    </row>
    <row r="13" spans="1:11" ht="14.4" x14ac:dyDescent="0.3">
      <c r="A13" s="2">
        <v>5</v>
      </c>
      <c r="B13" s="2" t="s">
        <v>68</v>
      </c>
      <c r="C13" s="2" t="s">
        <v>69</v>
      </c>
      <c r="D13" s="2" t="s">
        <v>28</v>
      </c>
      <c r="E13" s="2" t="s">
        <v>14</v>
      </c>
      <c r="F13" s="2" t="s">
        <v>15</v>
      </c>
      <c r="G13" s="2" t="s">
        <v>70</v>
      </c>
      <c r="H13" s="2" t="s">
        <v>71</v>
      </c>
      <c r="I13" s="2" t="str">
        <f ca="1">IFERROR(__xludf.DUMMYFUNCTION("GOOGLETRANSLATE(C13,""fr"",""en"")"),"Completely satisfied with the quality of telephone care. Always well understood and with oral information followed by real effects.")</f>
        <v>Completely satisfied with the quality of telephone care. Always well understood and with oral information followed by real effects.</v>
      </c>
    </row>
    <row r="14" spans="1:11" ht="14.4" x14ac:dyDescent="0.3">
      <c r="A14" s="2">
        <v>2</v>
      </c>
      <c r="B14" s="2" t="s">
        <v>72</v>
      </c>
      <c r="C14" s="2" t="s">
        <v>73</v>
      </c>
      <c r="D14" s="2" t="s">
        <v>38</v>
      </c>
      <c r="E14" s="2" t="s">
        <v>39</v>
      </c>
      <c r="F14" s="2" t="s">
        <v>15</v>
      </c>
      <c r="G14" s="2" t="s">
        <v>74</v>
      </c>
      <c r="H14" s="2" t="s">
        <v>74</v>
      </c>
      <c r="I14" s="2" t="str">
        <f ca="1">IFERROR(__xludf.DUMMYFUNCTION("GOOGLETRANSLATE(C14,""fr"",""en"")"),"The customer service telephone interface is quite intuitive. My interlocutor (Erika) was very understanding and knew how to explain the steps to follow with clarity. I thank her for that")</f>
        <v>The customer service telephone interface is quite intuitive. My interlocutor (Erika) was very understanding and knew how to explain the steps to follow with clarity. I thank her for that</v>
      </c>
    </row>
    <row r="15" spans="1:11" ht="14.4" x14ac:dyDescent="0.3">
      <c r="A15" s="2">
        <v>4</v>
      </c>
      <c r="B15" s="2" t="s">
        <v>75</v>
      </c>
      <c r="C15" s="2" t="s">
        <v>76</v>
      </c>
      <c r="D15" s="2" t="s">
        <v>28</v>
      </c>
      <c r="E15" s="2" t="s">
        <v>14</v>
      </c>
      <c r="F15" s="2" t="s">
        <v>15</v>
      </c>
      <c r="G15" s="2" t="s">
        <v>77</v>
      </c>
      <c r="H15" s="2" t="s">
        <v>30</v>
      </c>
      <c r="I15" s="2" t="str">
        <f ca="1">IFERROR(__xludf.DUMMYFUNCTION("GOOGLETRANSLATE(C15,""fr"",""en"")"),"I am very satisfied with service, advice and listening. The advisor I had by phone, kind with a very good listening quality.
Cordially")</f>
        <v>I am very satisfied with service, advice and listening. The advisor I had by phone, kind with a very good listening quality.
Cordially</v>
      </c>
    </row>
    <row r="16" spans="1:11" ht="14.4" x14ac:dyDescent="0.3">
      <c r="A16" s="2">
        <v>3</v>
      </c>
      <c r="B16" s="2" t="s">
        <v>78</v>
      </c>
      <c r="C16" s="2" t="s">
        <v>79</v>
      </c>
      <c r="D16" s="2" t="s">
        <v>80</v>
      </c>
      <c r="E16" s="2" t="s">
        <v>81</v>
      </c>
      <c r="F16" s="2" t="s">
        <v>15</v>
      </c>
      <c r="G16" s="2" t="s">
        <v>82</v>
      </c>
      <c r="H16" s="2" t="s">
        <v>83</v>
      </c>
      <c r="I16" s="2" t="str">
        <f ca="1">IFERROR(__xludf.DUMMYFUNCTION("GOOGLETRANSLATE(C16,""fr"",""en"")"),"Hello,
It is very regrettable to not be able to benefit from a certain flexibility on the proposed prices, especially when we provide an additional vehicle and we have never had a claim or delay in payment.
")</f>
        <v xml:space="preserve">Hello,
It is very regrettable to not be able to benefit from a certain flexibility on the proposed prices, especially when we provide an additional vehicle and we have never had a claim or delay in payment.
</v>
      </c>
    </row>
    <row r="17" spans="1:9" ht="14.4" x14ac:dyDescent="0.3">
      <c r="A17" s="2">
        <v>5</v>
      </c>
      <c r="B17" s="2" t="s">
        <v>84</v>
      </c>
      <c r="C17" s="2" t="s">
        <v>85</v>
      </c>
      <c r="D17" s="2" t="s">
        <v>13</v>
      </c>
      <c r="E17" s="2" t="s">
        <v>14</v>
      </c>
      <c r="F17" s="2" t="s">
        <v>15</v>
      </c>
      <c r="G17" s="2" t="s">
        <v>86</v>
      </c>
      <c r="H17" s="2" t="s">
        <v>71</v>
      </c>
      <c r="I17" s="2" t="str">
        <f ca="1">IFERROR(__xludf.DUMMYFUNCTION("GOOGLETRANSLATE(C17,""fr"",""en"")"),"I am satisfied with direct insurance nevertheless I would have liked to be able to modify the contract holders if possible online which is not currently the case")</f>
        <v>I am satisfied with direct insurance nevertheless I would have liked to be able to modify the contract holders if possible online which is not currently the case</v>
      </c>
    </row>
    <row r="18" spans="1:9" ht="14.4" x14ac:dyDescent="0.3">
      <c r="A18" s="2">
        <v>1</v>
      </c>
      <c r="B18" s="2" t="s">
        <v>87</v>
      </c>
      <c r="C18" s="2" t="s">
        <v>88</v>
      </c>
      <c r="D18" s="2" t="s">
        <v>89</v>
      </c>
      <c r="E18" s="2" t="s">
        <v>39</v>
      </c>
      <c r="F18" s="2" t="s">
        <v>15</v>
      </c>
      <c r="G18" s="2" t="s">
        <v>90</v>
      </c>
      <c r="H18" s="2" t="s">
        <v>74</v>
      </c>
      <c r="I18" s="2" t="str">
        <f ca="1">IFERROR(__xludf.DUMMYFUNCTION("GOOGLETRANSLATE(C18,""fr"",""en"")"),"does not take into account the termination even after having given his agreement to the general - documented agent")</f>
        <v>does not take into account the termination even after having given his agreement to the general - documented agent</v>
      </c>
    </row>
    <row r="19" spans="1:9" ht="14.4" x14ac:dyDescent="0.3">
      <c r="A19" s="2">
        <v>5</v>
      </c>
      <c r="B19" s="2" t="s">
        <v>91</v>
      </c>
      <c r="C19" s="2" t="s">
        <v>92</v>
      </c>
      <c r="D19" s="2" t="s">
        <v>28</v>
      </c>
      <c r="E19" s="2" t="s">
        <v>14</v>
      </c>
      <c r="F19" s="2" t="s">
        <v>15</v>
      </c>
      <c r="G19" s="2" t="s">
        <v>93</v>
      </c>
      <c r="H19" s="2" t="s">
        <v>94</v>
      </c>
      <c r="I19" s="2" t="str">
        <f ca="1">IFERROR(__xludf.DUMMYFUNCTION("GOOGLETRANSLATE(C19,""fr"",""en"")"),"The magnificent price. I am interested. I recommend it for everyone.
It is simpler and practical.
Just the green sticker I didn't get my first car.")</f>
        <v>The magnificent price. I am interested. I recommend it for everyone.
It is simpler and practical.
Just the green sticker I didn't get my first car.</v>
      </c>
    </row>
    <row r="20" spans="1:9" ht="14.4" x14ac:dyDescent="0.3">
      <c r="A20" s="2">
        <v>5</v>
      </c>
      <c r="B20" s="2" t="s">
        <v>95</v>
      </c>
      <c r="C20" s="2" t="s">
        <v>96</v>
      </c>
      <c r="D20" s="2" t="s">
        <v>28</v>
      </c>
      <c r="E20" s="2" t="s">
        <v>14</v>
      </c>
      <c r="F20" s="2" t="s">
        <v>15</v>
      </c>
      <c r="G20" s="2" t="s">
        <v>97</v>
      </c>
      <c r="H20" s="2" t="s">
        <v>25</v>
      </c>
      <c r="I20" s="2" t="str">
        <f ca="1">IFERROR(__xludf.DUMMYFUNCTION("GOOGLETRANSLATE(C20,""fr"",""en"")"),"Very professional customer services, responds to requests and provides such clear and precise answers. To be seen over time and management of files.")</f>
        <v>Very professional customer services, responds to requests and provides such clear and precise answers. To be seen over time and management of files.</v>
      </c>
    </row>
    <row r="21" spans="1:9" ht="15.75" customHeight="1" x14ac:dyDescent="0.3">
      <c r="A21" s="2">
        <v>1</v>
      </c>
      <c r="B21" s="2" t="s">
        <v>98</v>
      </c>
      <c r="C21" s="2" t="s">
        <v>99</v>
      </c>
      <c r="D21" s="2" t="s">
        <v>100</v>
      </c>
      <c r="E21" s="2" t="s">
        <v>101</v>
      </c>
      <c r="F21" s="2" t="s">
        <v>15</v>
      </c>
      <c r="G21" s="2" t="s">
        <v>102</v>
      </c>
      <c r="H21" s="2" t="s">
        <v>41</v>
      </c>
      <c r="I21" s="2" t="str">
        <f ca="1">IFERROR(__xludf.DUMMYFUNCTION("GOOGLETRANSLATE(C21,""fr"",""en"")"),"For more than a month, we have been waiting for a response from the medical service for my wife for more than a month, they first demand that I subscribe before sending the proposal for Madame.")</f>
        <v>For more than a month, we have been waiting for a response from the medical service for my wife for more than a month, they first demand that I subscribe before sending the proposal for Madame.</v>
      </c>
    </row>
    <row r="22" spans="1:9" ht="15.75" customHeight="1" x14ac:dyDescent="0.3">
      <c r="A22" s="2">
        <v>5</v>
      </c>
      <c r="B22" s="2" t="s">
        <v>103</v>
      </c>
      <c r="C22" s="2" t="s">
        <v>104</v>
      </c>
      <c r="D22" s="2" t="s">
        <v>13</v>
      </c>
      <c r="E22" s="2" t="s">
        <v>14</v>
      </c>
      <c r="F22" s="2" t="s">
        <v>15</v>
      </c>
      <c r="G22" s="2" t="s">
        <v>30</v>
      </c>
      <c r="H22" s="2" t="s">
        <v>30</v>
      </c>
      <c r="I22" s="2" t="str">
        <f ca="1">IFERROR(__xludf.DUMMYFUNCTION("GOOGLETRANSLATE(C22,""fr"",""en"")"),"Impeccable service, at the height of our expectations and more.
Honest price, difficult to find better.
I highly recommend everyone.
")</f>
        <v xml:space="preserve">Impeccable service, at the height of our expectations and more.
Honest price, difficult to find better.
I highly recommend everyone.
</v>
      </c>
    </row>
    <row r="23" spans="1:9" ht="15.75" customHeight="1" x14ac:dyDescent="0.3">
      <c r="A23" s="2">
        <v>1</v>
      </c>
      <c r="B23" s="2" t="s">
        <v>105</v>
      </c>
      <c r="C23" s="2" t="s">
        <v>106</v>
      </c>
      <c r="D23" s="2" t="s">
        <v>65</v>
      </c>
      <c r="E23" s="2" t="s">
        <v>14</v>
      </c>
      <c r="F23" s="2" t="s">
        <v>15</v>
      </c>
      <c r="G23" s="2" t="s">
        <v>107</v>
      </c>
      <c r="H23" s="2" t="s">
        <v>108</v>
      </c>
      <c r="I23" s="2" t="str">
        <f ca="1">IFERROR(__xludf.DUMMYFUNCTION("GOOGLETRANSLATE(C23,""fr"",""en"")"),"Insurance to avoid at all costs !! Excessively expensive price, but on the other hand as soon as there is the slightest problem, it is the obstacle course! I am shocked the car in the parking lot of my workplace (shopping center ...), a small depression o"&amp;"n the door, I declare the claim to my insurance, which asks me for a complaint at the police station + an observation filled that On the one hand, I do (half a day of work lost at my expense of course! My employer does not care about my stories), followin"&amp;"g that after having sent the docs, my interlocutor question my word, great it begins well. After discussion he asks me to make a quote, I do 3! Still lost time and garagist round trips (another half day in the C ..). I present the quotes, repair 600euro ("&amp;"on which I have a 400euro franchise). Allianz opens my file and asks me to go to a mechanic with whom they work in order to benefit from quick expertise etc .... (the lady on the phone strongly advises me even she insists me by leaving me stories of parti"&amp;"es etc, to go to this one and not to a mechanic of my choice, in other words Peugeot), well I find it weird but I do it (another 2 hours of lost on my work day to go, take photos, etc ...). 2 weeks later Silence Radio, I recall this garage, he had forgott"&amp;"en to transmit my photos to the experts, they end up doing it, and there, I receive a call from the expert telling me that the photos do not go, he need an RV !! All this for a simple fold on a door, for a repair that will cost my insurer in the end that "&amp;"barely 100euro !! Well, I remind the expert, and has my surprise, he asks me to immobilize the vehicle for 1/2 day or to go to them in order to make an expertise. I explain to them that I have already lost time like that and that I will surely not waste 1"&amp;"/2 work day to spend home, I ask them to just move, being not far from my workplace (They are 3 min)! It is a categorical no. So if I do my calculation, for a repair at 600th, with 400th of franchise and my 3 half -day lost work (200th salary) to go to an"&amp;" expert and wait for an answer that could be unfavorable, no thanks. I drop the case, in the end it costs me more with all this than paying the repair entirely myself. Suddenly I ask myself the question what is it for paying insurance if expensive any ris"&amp;"k, if everything is done to discourage you for a simple repair, what if the shock or the repairs was more substantial? As soon as possible, I remove my 2 vehicles from home, frankly, very bad experience. It's absurd...")</f>
        <v>Insurance to avoid at all costs !! Excessively expensive price, but on the other hand as soon as there is the slightest problem, it is the obstacle course! I am shocked the car in the parking lot of my workplace (shopping center ...), a small depression on the door, I declare the claim to my insurance, which asks me for a complaint at the police station + an observation filled that On the one hand, I do (half a day of work lost at my expense of course! My employer does not care about my stories), following that after having sent the docs, my interlocutor question my word, great it begins well. After discussion he asks me to make a quote, I do 3! Still lost time and garagist round trips (another half day in the C ..). I present the quotes, repair 600euro (on which I have a 400euro franchise). Allianz opens my file and asks me to go to a mechanic with whom they work in order to benefit from quick expertise etc .... (the lady on the phone strongly advises me even she insists me by leaving me stories of parties etc, to go to this one and not to a mechanic of my choice, in other words Peugeot), well I find it weird but I do it (another 2 hours of lost on my work day to go, take photos, etc ...). 2 weeks later Silence Radio, I recall this garage, he had forgotten to transmit my photos to the experts, they end up doing it, and there, I receive a call from the expert telling me that the photos do not go, he need an RV !! All this for a simple fold on a door, for a repair that will cost my insurer in the end that barely 100euro !! Well, I remind the expert, and has my surprise, he asks me to immobilize the vehicle for 1/2 day or to go to them in order to make an expertise. I explain to them that I have already lost time like that and that I will surely not waste 1/2 work day to spend home, I ask them to just move, being not far from my workplace (They are 3 min)! It is a categorical no. So if I do my calculation, for a repair at 600th, with 400th of franchise and my 3 half -day lost work (200th salary) to go to an expert and wait for an answer that could be unfavorable, no thanks. I drop the case, in the end it costs me more with all this than paying the repair entirely myself. Suddenly I ask myself the question what is it for paying insurance if expensive any risk, if everything is done to discourage you for a simple repair, what if the shock or the repairs was more substantial? As soon as possible, I remove my 2 vehicles from home, frankly, very bad experience. It's absurd...</v>
      </c>
    </row>
    <row r="24" spans="1:9" ht="15.75" customHeight="1" x14ac:dyDescent="0.3">
      <c r="A24" s="2">
        <v>5</v>
      </c>
      <c r="B24" s="2" t="s">
        <v>109</v>
      </c>
      <c r="C24" s="2" t="s">
        <v>110</v>
      </c>
      <c r="D24" s="2" t="s">
        <v>80</v>
      </c>
      <c r="E24" s="2" t="s">
        <v>81</v>
      </c>
      <c r="F24" s="2" t="s">
        <v>15</v>
      </c>
      <c r="G24" s="2" t="s">
        <v>111</v>
      </c>
      <c r="H24" s="2" t="s">
        <v>111</v>
      </c>
      <c r="I24" s="2" t="str">
        <f ca="1">IFERROR(__xludf.DUMMYFUNCTION("GOOGLETRANSLATE(C24,""fr"",""en"")"),"Very well, I am happy with the price hoping that insurance will follow I received only praise of this insurance with regard to insurance coverage they have a coverage panel that no other offers")</f>
        <v>Very well, I am happy with the price hoping that insurance will follow I received only praise of this insurance with regard to insurance coverage they have a coverage panel that no other offers</v>
      </c>
    </row>
    <row r="25" spans="1:9" ht="15.75" customHeight="1" x14ac:dyDescent="0.3">
      <c r="A25" s="2">
        <v>4</v>
      </c>
      <c r="B25" s="2" t="s">
        <v>112</v>
      </c>
      <c r="C25" s="2" t="s">
        <v>113</v>
      </c>
      <c r="D25" s="2" t="s">
        <v>28</v>
      </c>
      <c r="E25" s="2" t="s">
        <v>14</v>
      </c>
      <c r="F25" s="2" t="s">
        <v>15</v>
      </c>
      <c r="G25" s="2" t="s">
        <v>114</v>
      </c>
      <c r="H25" s="2" t="s">
        <v>46</v>
      </c>
      <c r="I25" s="2" t="str">
        <f ca="1">IFERROR(__xludf.DUMMYFUNCTION("GOOGLETRANSLATE(C25,""fr"",""en"")"),"Ok good deception of the contract and fluidity of the correct and intuitive site
All clear and precise staietn elements
I recommend this insurance to my loved ones")</f>
        <v>Ok good deception of the contract and fluidity of the correct and intuitive site
All clear and precise staietn elements
I recommend this insurance to my loved ones</v>
      </c>
    </row>
    <row r="26" spans="1:9" ht="15.75" customHeight="1" x14ac:dyDescent="0.3">
      <c r="A26" s="2">
        <v>2</v>
      </c>
      <c r="B26" s="2" t="s">
        <v>115</v>
      </c>
      <c r="C26" s="2" t="s">
        <v>116</v>
      </c>
      <c r="D26" s="2" t="s">
        <v>28</v>
      </c>
      <c r="E26" s="2" t="s">
        <v>14</v>
      </c>
      <c r="F26" s="2" t="s">
        <v>15</v>
      </c>
      <c r="G26" s="2" t="s">
        <v>117</v>
      </c>
      <c r="H26" s="2" t="s">
        <v>17</v>
      </c>
      <c r="I26" s="2" t="str">
        <f ca="1">IFERROR(__xludf.DUMMYFUNCTION("GOOGLETRANSLATE(C26,""fr"",""en"")"),"During my renewal at the Olivier Assurance, I have questions about my new postal address and the time to send my green card. It is complicated to arrive on the customer service number, and especially this number is never accessible. The lack of exchange, "&amp;"and the labyrinth that this company makes me live, it does not respect the service due to its customers.")</f>
        <v>During my renewal at the Olivier Assurance, I have questions about my new postal address and the time to send my green card. It is complicated to arrive on the customer service number, and especially this number is never accessible. The lack of exchange, and the labyrinth that this company makes me live, it does not respect the service due to its customers.</v>
      </c>
    </row>
    <row r="27" spans="1:9" ht="15.75" customHeight="1" x14ac:dyDescent="0.3">
      <c r="A27" s="2">
        <v>2</v>
      </c>
      <c r="B27" s="2" t="s">
        <v>118</v>
      </c>
      <c r="C27" s="2" t="s">
        <v>119</v>
      </c>
      <c r="D27" s="2" t="s">
        <v>120</v>
      </c>
      <c r="E27" s="2" t="s">
        <v>61</v>
      </c>
      <c r="F27" s="2" t="s">
        <v>15</v>
      </c>
      <c r="G27" s="2" t="s">
        <v>121</v>
      </c>
      <c r="H27" s="2" t="s">
        <v>21</v>
      </c>
      <c r="I27" s="2" t="str">
        <f ca="1">IFERROR(__xludf.DUMMYFUNCTION("GOOGLETRANSLATE(C27,""fr"",""en"")"),"AFER member for over 20 years I regret my choice today. AFER was a remarkable idea at the time, but today the service is absolutely not up to management costs. Certainly the website has been modernized and is much more user -friendly than before but it is"&amp;" impossible for me to make a partial buyback today while my account has the necessary provision. The IT system refers me a message asking me to make my request by post using a print not found on the site or to contact my ""provider ', a local company ofte"&amp;"n unreachable.
As long as the GIE phone number is welcome in the world of virtuality, version 0.0 because after various details in the submenus the only help I found there is to contact my ""provider"".
To all those who could be tempted to bring the"&amp;"ir savings to AFER, be warned of the problems you will encounter, and as it is impossible to transfer your savings without tax consequences, all you have to do is regret your choice. We are far from the ideal nobles that have prevailed in the creation of "&amp;"AFER.")</f>
        <v>AFER member for over 20 years I regret my choice today. AFER was a remarkable idea at the time, but today the service is absolutely not up to management costs. Certainly the website has been modernized and is much more user -friendly than before but it is impossible for me to make a partial buyback today while my account has the necessary provision. The IT system refers me a message asking me to make my request by post using a print not found on the site or to contact my "provider ', a local company often unreachable.
As long as the GIE phone number is welcome in the world of virtuality, version 0.0 because after various details in the submenus the only help I found there is to contact my "provider".
To all those who could be tempted to bring their savings to AFER, be warned of the problems you will encounter, and as it is impossible to transfer your savings without tax consequences, all you have to do is regret your choice. We are far from the ideal nobles that have prevailed in the creation of AFER.</v>
      </c>
    </row>
    <row r="28" spans="1:9" ht="15.75" customHeight="1" x14ac:dyDescent="0.3">
      <c r="A28" s="2">
        <v>1</v>
      </c>
      <c r="B28" s="2" t="s">
        <v>122</v>
      </c>
      <c r="C28" s="2" t="s">
        <v>123</v>
      </c>
      <c r="D28" s="2" t="s">
        <v>33</v>
      </c>
      <c r="E28" s="2" t="s">
        <v>14</v>
      </c>
      <c r="F28" s="2" t="s">
        <v>15</v>
      </c>
      <c r="G28" s="2" t="s">
        <v>124</v>
      </c>
      <c r="H28" s="2" t="s">
        <v>125</v>
      </c>
      <c r="I28" s="2" t="str">
        <f ca="1">IFERROR(__xludf.DUMMYFUNCTION("GOOGLETRANSLATE(C28,""fr"",""en"")"),"I strongly advise against. We have just been released without delay (or almost 2 months) for too much sinister because by bad luck we had 3 claims in 3 years (including 1 that he does not take care of as it is in any case outside !) While nothing at all a"&amp;"t all the previous 10 years. Not even a phone call, just a poor super violent letter. Run away !
")</f>
        <v xml:space="preserve">I strongly advise against. We have just been released without delay (or almost 2 months) for too much sinister because by bad luck we had 3 claims in 3 years (including 1 that he does not take care of as it is in any case outside !) While nothing at all at all the previous 10 years. Not even a phone call, just a poor super violent letter. Run away !
</v>
      </c>
    </row>
    <row r="29" spans="1:9" ht="15.75" customHeight="1" x14ac:dyDescent="0.3">
      <c r="A29" s="2">
        <v>1</v>
      </c>
      <c r="B29" s="2" t="s">
        <v>126</v>
      </c>
      <c r="C29" s="2" t="s">
        <v>127</v>
      </c>
      <c r="D29" s="2" t="s">
        <v>128</v>
      </c>
      <c r="E29" s="2" t="s">
        <v>129</v>
      </c>
      <c r="F29" s="2" t="s">
        <v>15</v>
      </c>
      <c r="G29" s="2" t="s">
        <v>29</v>
      </c>
      <c r="H29" s="2" t="s">
        <v>30</v>
      </c>
      <c r="I29" s="2" t="str">
        <f ca="1">IFERROR(__xludf.DUMMYFUNCTION("GOOGLETRANSLATE(C29,""fr"",""en"")"),"Do not take out insurance with them. Insured at home for 11 years house and car of my wife and a 10 -euro direct debit problem from the bank error and we find ourselves terminated without warning us overnight. So we call them and he asks us to settle the "&amp;"entire sum over a year what we are doing and the magic we are terminated the contract despite that we paid until 2022 and we have nothing to say, we pay But we have no insurance. They take the money but do not provide the services. Despite several calls f"&amp;"rom our banker as well as the agency director and ourselves, they do not want to hear anything. There is a big problem within this insurer, the agency director himself recognizes several problems with Pacifica with several customers flee as quickly as pos"&amp;"sible you will find much better less expensive and above all more competent with competition.")</f>
        <v>Do not take out insurance with them. Insured at home for 11 years house and car of my wife and a 10 -euro direct debit problem from the bank error and we find ourselves terminated without warning us overnight. So we call them and he asks us to settle the entire sum over a year what we are doing and the magic we are terminated the contract despite that we paid until 2022 and we have nothing to say, we pay But we have no insurance. They take the money but do not provide the services. Despite several calls from our banker as well as the agency director and ourselves, they do not want to hear anything. There is a big problem within this insurer, the agency director himself recognizes several problems with Pacifica with several customers flee as quickly as possible you will find much better less expensive and above all more competent with competition.</v>
      </c>
    </row>
    <row r="30" spans="1:9" ht="15.75" customHeight="1" x14ac:dyDescent="0.3">
      <c r="A30" s="2">
        <v>5</v>
      </c>
      <c r="B30" s="2" t="s">
        <v>130</v>
      </c>
      <c r="C30" s="2" t="s">
        <v>131</v>
      </c>
      <c r="D30" s="2" t="s">
        <v>38</v>
      </c>
      <c r="E30" s="2" t="s">
        <v>39</v>
      </c>
      <c r="F30" s="2" t="s">
        <v>15</v>
      </c>
      <c r="G30" s="2" t="s">
        <v>132</v>
      </c>
      <c r="H30" s="2" t="s">
        <v>133</v>
      </c>
      <c r="I30" s="2" t="str">
        <f ca="1">IFERROR(__xludf.DUMMYFUNCTION("GOOGLETRANSLATE(C30,""fr"",""en"")"),"Néoliane has been covering me for 2 years and despite a small increase in January 2017 it remains the most interesting complement to me. It is important to make the comparison each year because the savings are at the appointment and they are still substan"&amp;"tial ...")</f>
        <v>Néoliane has been covering me for 2 years and despite a small increase in January 2017 it remains the most interesting complement to me. It is important to make the comparison each year because the savings are at the appointment and they are still substantial ...</v>
      </c>
    </row>
    <row r="31" spans="1:9" ht="15.75" customHeight="1" x14ac:dyDescent="0.3">
      <c r="A31" s="2">
        <v>1</v>
      </c>
      <c r="B31" s="2" t="s">
        <v>134</v>
      </c>
      <c r="C31" s="2" t="s">
        <v>135</v>
      </c>
      <c r="D31" s="2" t="s">
        <v>136</v>
      </c>
      <c r="E31" s="2" t="s">
        <v>137</v>
      </c>
      <c r="F31" s="2" t="s">
        <v>15</v>
      </c>
      <c r="G31" s="2" t="s">
        <v>138</v>
      </c>
      <c r="H31" s="2" t="s">
        <v>139</v>
      </c>
      <c r="I31" s="2" t="str">
        <f ca="1">IFERROR(__xludf.DUMMYFUNCTION("GOOGLETRANSLATE(C31,""fr"",""en"")"),"Since May 2018 I have my bats to make myself take care of corrective glasses and a frame, only Swisslife makes me 3 different quotes and especially which do not correspond to the amounts of the contract. It is impossible to date to have a person to regula"&amp;"rize the situation and I make an observation we are bcp. Unfortunately in this situation. That lost time is not a normal situation.
")</f>
        <v xml:space="preserve">Since May 2018 I have my bats to make myself take care of corrective glasses and a frame, only Swisslife makes me 3 different quotes and especially which do not correspond to the amounts of the contract. It is impossible to date to have a person to regularize the situation and I make an observation we are bcp. Unfortunately in this situation. That lost time is not a normal situation.
</v>
      </c>
    </row>
    <row r="32" spans="1:9" ht="15.75" customHeight="1" x14ac:dyDescent="0.3">
      <c r="A32" s="2">
        <v>5</v>
      </c>
      <c r="B32" s="2" t="s">
        <v>140</v>
      </c>
      <c r="C32" s="2" t="s">
        <v>141</v>
      </c>
      <c r="D32" s="2" t="s">
        <v>80</v>
      </c>
      <c r="E32" s="2" t="s">
        <v>81</v>
      </c>
      <c r="F32" s="2" t="s">
        <v>15</v>
      </c>
      <c r="G32" s="2" t="s">
        <v>142</v>
      </c>
      <c r="H32" s="2" t="s">
        <v>111</v>
      </c>
      <c r="I32" s="2" t="str">
        <f ca="1">IFERROR(__xludf.DUMMYFUNCTION("GOOGLETRANSLATE(C32,""fr"",""en"")"),"Hello, I am going through the ferrets.com, several proposal appeared to me, but April remains for me, simple, quick and inexpensive,
price level I advise.")</f>
        <v>Hello, I am going through the ferrets.com, several proposal appeared to me, but April remains for me, simple, quick and inexpensive,
price level I advise.</v>
      </c>
    </row>
    <row r="33" spans="1:9" ht="15.75" customHeight="1" x14ac:dyDescent="0.3">
      <c r="A33" s="2">
        <v>1</v>
      </c>
      <c r="B33" s="2" t="s">
        <v>143</v>
      </c>
      <c r="C33" s="2" t="s">
        <v>144</v>
      </c>
      <c r="D33" s="2" t="s">
        <v>145</v>
      </c>
      <c r="E33" s="2" t="s">
        <v>14</v>
      </c>
      <c r="F33" s="2" t="s">
        <v>15</v>
      </c>
      <c r="G33" s="2" t="s">
        <v>146</v>
      </c>
      <c r="H33" s="2" t="s">
        <v>125</v>
      </c>
      <c r="I33" s="2" t="str">
        <f ca="1">IFERROR(__xludf.DUMMYFUNCTION("GOOGLETRANSLATE(C33,""fr"",""en"")"),"Beautiful promises to register but in reality liars.
A sinister, a car stuck behind me, I move back to be able to get out, I damage the bumper of the car, the maaf did not want to take into consideration all the explanations registered on the observation"&amp;" and decides that I am alone
Responsible. At the tel a person tells me that this time I would not be bad.
Outside I receive matters of maturity and well I am indeed evil.
All our contracts are with them.
I had other local agency proposals or the conta"&amp;"ct is more commercial, competent, friendly secretaries.
So decisions will be fast")</f>
        <v>Beautiful promises to register but in reality liars.
A sinister, a car stuck behind me, I move back to be able to get out, I damage the bumper of the car, the maaf did not want to take into consideration all the explanations registered on the observation and decides that I am alone
Responsible. At the tel a person tells me that this time I would not be bad.
Outside I receive matters of maturity and well I am indeed evil.
All our contracts are with them.
I had other local agency proposals or the contact is more commercial, competent, friendly secretaries.
So decisions will be fast</v>
      </c>
    </row>
    <row r="34" spans="1:9" ht="15.75" customHeight="1" x14ac:dyDescent="0.3">
      <c r="A34" s="2">
        <v>4</v>
      </c>
      <c r="B34" s="2" t="s">
        <v>147</v>
      </c>
      <c r="C34" s="2" t="s">
        <v>148</v>
      </c>
      <c r="D34" s="2" t="s">
        <v>28</v>
      </c>
      <c r="E34" s="2" t="s">
        <v>14</v>
      </c>
      <c r="F34" s="2" t="s">
        <v>15</v>
      </c>
      <c r="G34" s="2" t="s">
        <v>149</v>
      </c>
      <c r="H34" s="2" t="s">
        <v>111</v>
      </c>
      <c r="I34" s="2" t="str">
        <f ca="1">IFERROR(__xludf.DUMMYFUNCTION("GOOGLETRANSLATE(C34,""fr"",""en"")"),"I am satisfied with the service, and effective when it is called to service quickly takes the call, I am happy for summer client at Ch Ous, I say thank you")</f>
        <v>I am satisfied with the service, and effective when it is called to service quickly takes the call, I am happy for summer client at Ch Ous, I say thank you</v>
      </c>
    </row>
    <row r="35" spans="1:9" ht="15.75" customHeight="1" x14ac:dyDescent="0.3">
      <c r="A35" s="2">
        <v>1</v>
      </c>
      <c r="B35" s="2" t="s">
        <v>150</v>
      </c>
      <c r="C35" s="2" t="s">
        <v>151</v>
      </c>
      <c r="D35" s="2" t="s">
        <v>65</v>
      </c>
      <c r="E35" s="2" t="s">
        <v>137</v>
      </c>
      <c r="F35" s="2" t="s">
        <v>15</v>
      </c>
      <c r="G35" s="2" t="s">
        <v>152</v>
      </c>
      <c r="H35" s="2" t="s">
        <v>125</v>
      </c>
      <c r="I35" s="2" t="str">
        <f ca="1">IFERROR(__xludf.DUMMYFUNCTION("GOOGLETRANSLATE(C35,""fr"",""en"")"),"To flee, lustable provident insurance .... more than long treatment deadlines! They permanently demand documents that you have already transmitted to them; They certainly do not open their emails, besides they never answer it. You must call them all the t"&amp;"ime, restart them by phone and when you have them, you are told that it goes into treatment when it is completely false, you remind them 15 days later you are still at the same point C ' That is to say anywhere ... It's shameful to make people laugh like "&amp;"that and indeed, to take there is no problem, it is well settled on this side! Personally, I am already well affected by my illness and in addition, they add me stress, additional anxiety to put me in a precarious situation.
They advocate excellence 2020"&amp;" with more than 6,500 employees ... Well, we wonder where they are ... at the cafeteria maybe !!!
And if I had been able to put zero star, I would have done it ????????????")</f>
        <v>To flee, lustable provident insurance .... more than long treatment deadlines! They permanently demand documents that you have already transmitted to them; They certainly do not open their emails, besides they never answer it. You must call them all the time, restart them by phone and when you have them, you are told that it goes into treatment when it is completely false, you remind them 15 days later you are still at the same point C ' That is to say anywhere ... It's shameful to make people laugh like that and indeed, to take there is no problem, it is well settled on this side! Personally, I am already well affected by my illness and in addition, they add me stress, additional anxiety to put me in a precarious situation.
They advocate excellence 2020 with more than 6,500 employees ... Well, we wonder where they are ... at the cafeteria maybe !!!
And if I had been able to put zero star, I would have done it ????????????</v>
      </c>
    </row>
    <row r="36" spans="1:9" ht="15.75" customHeight="1" x14ac:dyDescent="0.3">
      <c r="A36" s="2">
        <v>4</v>
      </c>
      <c r="B36" s="2" t="s">
        <v>153</v>
      </c>
      <c r="C36" s="2" t="s">
        <v>154</v>
      </c>
      <c r="D36" s="2" t="s">
        <v>28</v>
      </c>
      <c r="E36" s="2" t="s">
        <v>14</v>
      </c>
      <c r="F36" s="2" t="s">
        <v>15</v>
      </c>
      <c r="G36" s="2" t="s">
        <v>155</v>
      </c>
      <c r="H36" s="2" t="s">
        <v>71</v>
      </c>
      <c r="I36" s="2" t="str">
        <f ca="1">IFERROR(__xludf.DUMMYFUNCTION("GOOGLETRANSLATE(C36,""fr"",""en"")"),"very satisfied with the service
Weird The price did not correspond too much to the simulations carried out.
Otherwise the subscription is fast and easy.
Documents are received in the minute")</f>
        <v>very satisfied with the service
Weird The price did not correspond too much to the simulations carried out.
Otherwise the subscription is fast and easy.
Documents are received in the minute</v>
      </c>
    </row>
    <row r="37" spans="1:9" ht="15.75" customHeight="1" x14ac:dyDescent="0.3">
      <c r="A37" s="2">
        <v>5</v>
      </c>
      <c r="B37" s="2" t="s">
        <v>156</v>
      </c>
      <c r="C37" s="2" t="s">
        <v>157</v>
      </c>
      <c r="D37" s="2" t="s">
        <v>44</v>
      </c>
      <c r="E37" s="2" t="s">
        <v>39</v>
      </c>
      <c r="F37" s="2" t="s">
        <v>15</v>
      </c>
      <c r="G37" s="2" t="s">
        <v>158</v>
      </c>
      <c r="H37" s="2" t="s">
        <v>46</v>
      </c>
      <c r="I37" s="2" t="str">
        <f ca="1">IFERROR(__xludf.DUMMYFUNCTION("GOOGLETRANSLATE(C37,""fr"",""en"")"),"I am satisfied with the service
Prices suit me
The guarantees are enough for the moment
Membership is fast, simple effective and practical
Sincerely.")</f>
        <v>I am satisfied with the service
Prices suit me
The guarantees are enough for the moment
Membership is fast, simple effective and practical
Sincerely.</v>
      </c>
    </row>
    <row r="38" spans="1:9" ht="15.75" customHeight="1" x14ac:dyDescent="0.3">
      <c r="A38" s="2">
        <v>4</v>
      </c>
      <c r="B38" s="2" t="s">
        <v>159</v>
      </c>
      <c r="C38" s="2" t="s">
        <v>160</v>
      </c>
      <c r="D38" s="2" t="s">
        <v>80</v>
      </c>
      <c r="E38" s="2" t="s">
        <v>81</v>
      </c>
      <c r="F38" s="2" t="s">
        <v>15</v>
      </c>
      <c r="G38" s="2" t="s">
        <v>161</v>
      </c>
      <c r="H38" s="2" t="s">
        <v>83</v>
      </c>
      <c r="I38" s="2" t="str">
        <f ca="1">IFERROR(__xludf.DUMMYFUNCTION("GOOGLETRANSLATE(C38,""fr"",""en"")"),"A good site for information
Simple, fast and fast
I highly recommend this site for young people who arrive in the world from biker")</f>
        <v>A good site for information
Simple, fast and fast
I highly recommend this site for young people who arrive in the world from biker</v>
      </c>
    </row>
    <row r="39" spans="1:9" ht="15.75" customHeight="1" x14ac:dyDescent="0.3">
      <c r="A39" s="2">
        <v>4</v>
      </c>
      <c r="B39" s="2" t="s">
        <v>162</v>
      </c>
      <c r="C39" s="2" t="s">
        <v>163</v>
      </c>
      <c r="D39" s="2" t="s">
        <v>13</v>
      </c>
      <c r="E39" s="2" t="s">
        <v>14</v>
      </c>
      <c r="F39" s="2" t="s">
        <v>15</v>
      </c>
      <c r="G39" s="2" t="s">
        <v>164</v>
      </c>
      <c r="H39" s="2" t="s">
        <v>30</v>
      </c>
      <c r="I39" s="2" t="str">
        <f ca="1">IFERROR(__xludf.DUMMYFUNCTION("GOOGLETRANSLATE(C39,""fr"",""en"")"),"The price is very advantageous, the service is reactive, it neither has 5 stars because as a lot of insurance, there are lots of clause not included in the packages unfortunately.
Overall satisfied")</f>
        <v>The price is very advantageous, the service is reactive, it neither has 5 stars because as a lot of insurance, there are lots of clause not included in the packages unfortunately.
Overall satisfied</v>
      </c>
    </row>
    <row r="40" spans="1:9" ht="15.75" customHeight="1" x14ac:dyDescent="0.3">
      <c r="A40" s="2">
        <v>4</v>
      </c>
      <c r="B40" s="2" t="s">
        <v>165</v>
      </c>
      <c r="C40" s="2" t="s">
        <v>166</v>
      </c>
      <c r="D40" s="2" t="s">
        <v>13</v>
      </c>
      <c r="E40" s="2" t="s">
        <v>14</v>
      </c>
      <c r="F40" s="2" t="s">
        <v>15</v>
      </c>
      <c r="G40" s="2" t="s">
        <v>167</v>
      </c>
      <c r="H40" s="2" t="s">
        <v>17</v>
      </c>
      <c r="I40" s="2" t="str">
        <f ca="1">IFERROR(__xludf.DUMMYFUNCTION("GOOGLETRANSLATE(C40,""fr"",""en"")"),"Thank you for this quick processing of my file. It's nice: fast, efficient and rates that are always so interesting. I wish you a very nice day")</f>
        <v>Thank you for this quick processing of my file. It's nice: fast, efficient and rates that are always so interesting. I wish you a very nice day</v>
      </c>
    </row>
    <row r="41" spans="1:9" ht="15.75" customHeight="1" x14ac:dyDescent="0.3">
      <c r="A41" s="2">
        <v>3</v>
      </c>
      <c r="B41" s="2" t="s">
        <v>168</v>
      </c>
      <c r="C41" s="2" t="s">
        <v>169</v>
      </c>
      <c r="D41" s="2" t="s">
        <v>13</v>
      </c>
      <c r="E41" s="2" t="s">
        <v>14</v>
      </c>
      <c r="F41" s="2" t="s">
        <v>15</v>
      </c>
      <c r="G41" s="2" t="s">
        <v>170</v>
      </c>
      <c r="H41" s="2" t="s">
        <v>111</v>
      </c>
      <c r="I41" s="2" t="str">
        <f ca="1">IFERROR(__xludf.DUMMYFUNCTION("GOOGLETRANSLATE(C41,""fr"",""en"")"),"I am satisfied with the Direct site, the prices are affordable and interesting. Hoping that in need, the service will be just as reactive and effective.")</f>
        <v>I am satisfied with the Direct site, the prices are affordable and interesting. Hoping that in need, the service will be just as reactive and effective.</v>
      </c>
    </row>
    <row r="42" spans="1:9" ht="15.75" customHeight="1" x14ac:dyDescent="0.3">
      <c r="A42" s="2">
        <v>5</v>
      </c>
      <c r="B42" s="2" t="s">
        <v>171</v>
      </c>
      <c r="C42" s="2" t="s">
        <v>172</v>
      </c>
      <c r="D42" s="2" t="s">
        <v>80</v>
      </c>
      <c r="E42" s="2" t="s">
        <v>81</v>
      </c>
      <c r="F42" s="2" t="s">
        <v>15</v>
      </c>
      <c r="G42" s="2" t="s">
        <v>173</v>
      </c>
      <c r="H42" s="2" t="s">
        <v>30</v>
      </c>
      <c r="I42" s="2" t="str">
        <f ca="1">IFERROR(__xludf.DUMMYFUNCTION("GOOGLETRANSLATE(C42,""fr"",""en"")"),"I am satisfied with the service and the efficiency of the quick practical internet thank you for your confidence I will share your site AS Les Friends Price advantageous.")</f>
        <v>I am satisfied with the service and the efficiency of the quick practical internet thank you for your confidence I will share your site AS Les Friends Price advantageous.</v>
      </c>
    </row>
    <row r="43" spans="1:9" ht="15.75" customHeight="1" x14ac:dyDescent="0.3">
      <c r="A43" s="2">
        <v>4</v>
      </c>
      <c r="B43" s="2" t="s">
        <v>174</v>
      </c>
      <c r="C43" s="2" t="s">
        <v>175</v>
      </c>
      <c r="D43" s="2" t="s">
        <v>33</v>
      </c>
      <c r="E43" s="2" t="s">
        <v>14</v>
      </c>
      <c r="F43" s="2" t="s">
        <v>15</v>
      </c>
      <c r="G43" s="2" t="s">
        <v>176</v>
      </c>
      <c r="H43" s="2" t="s">
        <v>57</v>
      </c>
      <c r="I43" s="2" t="str">
        <f ca="1">IFERROR(__xludf.DUMMYFUNCTION("GOOGLETRANSLATE(C43,""fr"",""en"")"),"Good car insurance. I am satisfied with it.
In addition, they lowered my price this year because I have not had an accident for a long time. I recommend.")</f>
        <v>Good car insurance. I am satisfied with it.
In addition, they lowered my price this year because I have not had an accident for a long time. I recommend.</v>
      </c>
    </row>
    <row r="44" spans="1:9" ht="15.75" customHeight="1" x14ac:dyDescent="0.3">
      <c r="A44" s="2">
        <v>2</v>
      </c>
      <c r="B44" s="2" t="s">
        <v>177</v>
      </c>
      <c r="C44" s="2" t="s">
        <v>178</v>
      </c>
      <c r="D44" s="2" t="s">
        <v>179</v>
      </c>
      <c r="E44" s="2" t="s">
        <v>50</v>
      </c>
      <c r="F44" s="2" t="s">
        <v>15</v>
      </c>
      <c r="G44" s="2" t="s">
        <v>180</v>
      </c>
      <c r="H44" s="2" t="s">
        <v>181</v>
      </c>
      <c r="I44" s="2" t="str">
        <f ca="1">IFERROR(__xludf.DUMMYFUNCTION("GOOGLETRANSLATE(C44,""fr"",""en"")"),"Big disappointment, if I had known I would have passed directly by the insurer even if it means paying a little more, that's what I intend to do due date for my contract signed in a phony manner by phone.")</f>
        <v>Big disappointment, if I had known I would have passed directly by the insurer even if it means paying a little more, that's what I intend to do due date for my contract signed in a phony manner by phone.</v>
      </c>
    </row>
    <row r="45" spans="1:9" ht="15.75" customHeight="1" x14ac:dyDescent="0.3">
      <c r="A45" s="2">
        <v>2</v>
      </c>
      <c r="B45" s="2" t="s">
        <v>182</v>
      </c>
      <c r="C45" s="2" t="s">
        <v>183</v>
      </c>
      <c r="D45" s="2" t="s">
        <v>55</v>
      </c>
      <c r="E45" s="2" t="s">
        <v>39</v>
      </c>
      <c r="F45" s="2" t="s">
        <v>15</v>
      </c>
      <c r="G45" s="2" t="s">
        <v>184</v>
      </c>
      <c r="H45" s="2" t="s">
        <v>108</v>
      </c>
      <c r="I45" s="2" t="str">
        <f ca="1">IFERROR(__xludf.DUMMYFUNCTION("GOOGLETRANSLATE(C45,""fr"",""en"")"),"Since September 30, I have been waiting for a dental reimbursement for an expense over 1000 euros. Mercer received all the supporting documents, sent several times by internet and by registered mail with A/R and nothing helps. No way to join anyone to hav"&amp;"e a clear explanation.")</f>
        <v>Since September 30, I have been waiting for a dental reimbursement for an expense over 1000 euros. Mercer received all the supporting documents, sent several times by internet and by registered mail with A/R and nothing helps. No way to join anyone to have a clear explanation.</v>
      </c>
    </row>
    <row r="46" spans="1:9" ht="15.75" customHeight="1" x14ac:dyDescent="0.3">
      <c r="A46" s="2">
        <v>5</v>
      </c>
      <c r="B46" s="2" t="s">
        <v>185</v>
      </c>
      <c r="C46" s="2" t="s">
        <v>186</v>
      </c>
      <c r="D46" s="2" t="s">
        <v>13</v>
      </c>
      <c r="E46" s="2" t="s">
        <v>14</v>
      </c>
      <c r="F46" s="2" t="s">
        <v>15</v>
      </c>
      <c r="G46" s="2" t="s">
        <v>187</v>
      </c>
      <c r="H46" s="2" t="s">
        <v>25</v>
      </c>
      <c r="I46" s="2" t="str">
        <f ca="1">IFERROR(__xludf.DUMMYFUNCTION("GOOGLETRANSLATE(C46,""fr"",""en"")"),"I am very satisfied with customer service as well as regular rates;
more in the event of a claim; Everything knows very well; thanks to customer service.")</f>
        <v>I am very satisfied with customer service as well as regular rates;
more in the event of a claim; Everything knows very well; thanks to customer service.</v>
      </c>
    </row>
    <row r="47" spans="1:9" ht="15.75" customHeight="1" x14ac:dyDescent="0.3">
      <c r="A47" s="2">
        <v>3</v>
      </c>
      <c r="B47" s="2" t="s">
        <v>188</v>
      </c>
      <c r="C47" s="2" t="s">
        <v>189</v>
      </c>
      <c r="D47" s="2" t="s">
        <v>190</v>
      </c>
      <c r="E47" s="2" t="s">
        <v>14</v>
      </c>
      <c r="F47" s="2" t="s">
        <v>15</v>
      </c>
      <c r="G47" s="2" t="s">
        <v>191</v>
      </c>
      <c r="H47" s="2" t="s">
        <v>111</v>
      </c>
      <c r="I47" s="2" t="str">
        <f ca="1">IFERROR(__xludf.DUMMYFUNCTION("GOOGLETRANSLATE(C47,""fr"",""en"")"),"I am satisfied to have the certificate but I find that all your prices are expensive and having to pay piur the telework is is unacceptable because of what I pay for the year
I am not satisfied to have received on July 30 a promotional offer for the tech"&amp;"nical contôle of my car while I did it on July 21 and that he expired on July 24.")</f>
        <v>I am satisfied to have the certificate but I find that all your prices are expensive and having to pay piur the telework is is unacceptable because of what I pay for the year
I am not satisfied to have received on July 30 a promotional offer for the technical contôle of my car while I did it on July 21 and that he expired on July 24.</v>
      </c>
    </row>
    <row r="48" spans="1:9" ht="15.75" customHeight="1" x14ac:dyDescent="0.3">
      <c r="A48" s="2">
        <v>4</v>
      </c>
      <c r="B48" s="2" t="s">
        <v>192</v>
      </c>
      <c r="C48" s="2" t="s">
        <v>193</v>
      </c>
      <c r="D48" s="2" t="s">
        <v>28</v>
      </c>
      <c r="E48" s="2" t="s">
        <v>14</v>
      </c>
      <c r="F48" s="2" t="s">
        <v>15</v>
      </c>
      <c r="G48" s="2" t="s">
        <v>194</v>
      </c>
      <c r="H48" s="2" t="s">
        <v>83</v>
      </c>
      <c r="I48" s="2" t="str">
        <f ca="1">IFERROR(__xludf.DUMMYFUNCTION("GOOGLETRANSLATE(C48,""fr"",""en"")"),"I am satisfied with your services, the price and the responsiveness of advisor
Nothing to report at the moment
I recommend the insurance olive tree to my loved ones")</f>
        <v>I am satisfied with your services, the price and the responsiveness of advisor
Nothing to report at the moment
I recommend the insurance olive tree to my loved ones</v>
      </c>
    </row>
    <row r="49" spans="1:9" ht="15.75" customHeight="1" x14ac:dyDescent="0.3">
      <c r="A49" s="2">
        <v>5</v>
      </c>
      <c r="B49" s="2" t="s">
        <v>195</v>
      </c>
      <c r="C49" s="2" t="s">
        <v>196</v>
      </c>
      <c r="D49" s="2" t="s">
        <v>197</v>
      </c>
      <c r="E49" s="2" t="s">
        <v>81</v>
      </c>
      <c r="F49" s="2" t="s">
        <v>15</v>
      </c>
      <c r="G49" s="2" t="s">
        <v>198</v>
      </c>
      <c r="H49" s="2" t="s">
        <v>83</v>
      </c>
      <c r="I49" s="2" t="str">
        <f ca="1">IFERROR(__xludf.DUMMYFUNCTION("GOOGLETRANSLATE(C49,""fr"",""en"")"),"Very satisfied (insured for a long time at AMV).
Correct prices, difficult to find cheaper.
Clear website.
Ensuring a new vehicle is very fast.
")</f>
        <v xml:space="preserve">Very satisfied (insured for a long time at AMV).
Correct prices, difficult to find cheaper.
Clear website.
Ensuring a new vehicle is very fast.
</v>
      </c>
    </row>
    <row r="50" spans="1:9" ht="15.75" customHeight="1" x14ac:dyDescent="0.3">
      <c r="A50" s="2">
        <v>2</v>
      </c>
      <c r="B50" s="2" t="s">
        <v>199</v>
      </c>
      <c r="C50" s="2" t="s">
        <v>200</v>
      </c>
      <c r="D50" s="2" t="s">
        <v>128</v>
      </c>
      <c r="E50" s="2" t="s">
        <v>129</v>
      </c>
      <c r="F50" s="2" t="s">
        <v>15</v>
      </c>
      <c r="G50" s="2" t="s">
        <v>187</v>
      </c>
      <c r="H50" s="2" t="s">
        <v>25</v>
      </c>
      <c r="I50" s="2" t="str">
        <f ca="1">IFERROR(__xludf.DUMMYFUNCTION("GOOGLETRANSLATE(C50,""fr"",""en"")"),"Excellent assurance when you don't need their service and we are undergoing a disaster. As for the reception by phone, I did not come across the right person ....")</f>
        <v>Excellent assurance when you don't need their service and we are undergoing a disaster. As for the reception by phone, I did not come across the right person ....</v>
      </c>
    </row>
    <row r="51" spans="1:9" ht="15.75" customHeight="1" x14ac:dyDescent="0.3">
      <c r="A51" s="2">
        <v>3</v>
      </c>
      <c r="B51" s="2" t="s">
        <v>201</v>
      </c>
      <c r="C51" s="2" t="s">
        <v>202</v>
      </c>
      <c r="D51" s="2" t="s">
        <v>28</v>
      </c>
      <c r="E51" s="2" t="s">
        <v>14</v>
      </c>
      <c r="F51" s="2" t="s">
        <v>15</v>
      </c>
      <c r="G51" s="2" t="s">
        <v>203</v>
      </c>
      <c r="H51" s="2" t="s">
        <v>25</v>
      </c>
      <c r="I51" s="2" t="str">
        <f ca="1">IFERROR(__xludf.DUMMYFUNCTION("GOOGLETRANSLATE(C51,""fr"",""en"")"),"Very simple and practical: very well done site
Very simple also in terms of subscription
Fast and practical !!!
Hoping to have more advantageous prices by subscribing to other vehicles")</f>
        <v>Very simple and practical: very well done site
Very simple also in terms of subscription
Fast and practical !!!
Hoping to have more advantageous prices by subscribing to other vehicles</v>
      </c>
    </row>
    <row r="52" spans="1:9" ht="15.75" customHeight="1" x14ac:dyDescent="0.3">
      <c r="A52" s="2">
        <v>1</v>
      </c>
      <c r="B52" s="2" t="s">
        <v>204</v>
      </c>
      <c r="C52" s="2" t="s">
        <v>205</v>
      </c>
      <c r="D52" s="2" t="s">
        <v>13</v>
      </c>
      <c r="E52" s="2" t="s">
        <v>14</v>
      </c>
      <c r="F52" s="2" t="s">
        <v>15</v>
      </c>
      <c r="G52" s="2" t="s">
        <v>206</v>
      </c>
      <c r="H52" s="2" t="s">
        <v>207</v>
      </c>
      <c r="I52" s="2" t="str">
        <f ca="1">IFERROR(__xludf.DUMMYFUNCTION("GOOGLETRANSLATE(C52,""fr"",""en"")"),"Insured at Direct Insurance via Avanssur, my car has not been insured for several months without my being informed !!!! Still any news of these people despite formal notice ... Seizure of the court.")</f>
        <v>Insured at Direct Insurance via Avanssur, my car has not been insured for several months without my being informed !!!! Still any news of these people despite formal notice ... Seizure of the court.</v>
      </c>
    </row>
    <row r="53" spans="1:9" ht="15.75" customHeight="1" x14ac:dyDescent="0.3">
      <c r="A53" s="2">
        <v>1</v>
      </c>
      <c r="B53" s="2" t="s">
        <v>208</v>
      </c>
      <c r="C53" s="2" t="s">
        <v>209</v>
      </c>
      <c r="D53" s="2" t="s">
        <v>13</v>
      </c>
      <c r="E53" s="2" t="s">
        <v>14</v>
      </c>
      <c r="F53" s="2" t="s">
        <v>15</v>
      </c>
      <c r="G53" s="2" t="s">
        <v>152</v>
      </c>
      <c r="H53" s="2" t="s">
        <v>125</v>
      </c>
      <c r="I53" s="2" t="str">
        <f ca="1">IFERROR(__xludf.DUMMYFUNCTION("GOOGLETRANSLATE(C53,""fr"",""en"")"),"To flee as quickly as possible
- Tariffs are alleging the first year, but climb substantially each year
- Yes I had claims, but it was 3 broken ice and a flight- over 4 years, all not responsible, and they have just taken us - Brand, it's called the"&amp;" customer in the heart of their activity
So an advisor - Avoid this insurer, no matter what is better than direct insurance.
It's direct, but it's direct in the trash")</f>
        <v>To flee as quickly as possible
- Tariffs are alleging the first year, but climb substantially each year
- Yes I had claims, but it was 3 broken ice and a flight- over 4 years, all not responsible, and they have just taken us - Brand, it's called the customer in the heart of their activity
So an advisor - Avoid this insurer, no matter what is better than direct insurance.
It's direct, but it's direct in the trash</v>
      </c>
    </row>
    <row r="54" spans="1:9" ht="15.75" customHeight="1" x14ac:dyDescent="0.3">
      <c r="A54" s="2">
        <v>5</v>
      </c>
      <c r="B54" s="2" t="s">
        <v>210</v>
      </c>
      <c r="C54" s="2" t="s">
        <v>211</v>
      </c>
      <c r="D54" s="2" t="s">
        <v>80</v>
      </c>
      <c r="E54" s="2" t="s">
        <v>81</v>
      </c>
      <c r="F54" s="2" t="s">
        <v>15</v>
      </c>
      <c r="G54" s="2" t="s">
        <v>212</v>
      </c>
      <c r="H54" s="2" t="s">
        <v>30</v>
      </c>
      <c r="I54" s="2" t="str">
        <f ca="1">IFERROR(__xludf.DUMMYFUNCTION("GOOGLETRANSLATE(C54,""fr"",""en"")"),"Contract signed quickly with tariffs for top options.
The conditions are explicit and all the information required is given. If necessary the call of an advisor works well")</f>
        <v>Contract signed quickly with tariffs for top options.
The conditions are explicit and all the information required is given. If necessary the call of an advisor works well</v>
      </c>
    </row>
    <row r="55" spans="1:9" ht="15.75" customHeight="1" x14ac:dyDescent="0.3">
      <c r="A55" s="2">
        <v>2</v>
      </c>
      <c r="B55" s="2" t="s">
        <v>213</v>
      </c>
      <c r="C55" s="2" t="s">
        <v>214</v>
      </c>
      <c r="D55" s="2" t="s">
        <v>190</v>
      </c>
      <c r="E55" s="2" t="s">
        <v>129</v>
      </c>
      <c r="F55" s="2" t="s">
        <v>15</v>
      </c>
      <c r="G55" s="2" t="s">
        <v>215</v>
      </c>
      <c r="H55" s="2" t="s">
        <v>216</v>
      </c>
      <c r="I55" s="2" t="str">
        <f ca="1">IFERROR(__xludf.DUMMYFUNCTION("GOOGLETRANSLATE(C55,""fr"",""en"")"),"Billing of a change of address when we had just made the house inside their homes as soon as we purchase. The error came from their service which had not changed invoicing with the new contract. As a result, my car insurance contract decreased in prices b"&amp;"ut the GMF refuses to reimburse")</f>
        <v>Billing of a change of address when we had just made the house inside their homes as soon as we purchase. The error came from their service which had not changed invoicing with the new contract. As a result, my car insurance contract decreased in prices but the GMF refuses to reimburse</v>
      </c>
    </row>
    <row r="56" spans="1:9" ht="15.75" customHeight="1" x14ac:dyDescent="0.3">
      <c r="A56" s="2">
        <v>1</v>
      </c>
      <c r="B56" s="2" t="s">
        <v>217</v>
      </c>
      <c r="C56" s="2" t="s">
        <v>218</v>
      </c>
      <c r="D56" s="2" t="s">
        <v>219</v>
      </c>
      <c r="E56" s="2" t="s">
        <v>137</v>
      </c>
      <c r="F56" s="2" t="s">
        <v>15</v>
      </c>
      <c r="G56" s="2" t="s">
        <v>220</v>
      </c>
      <c r="H56" s="2" t="s">
        <v>67</v>
      </c>
      <c r="I56" s="2" t="str">
        <f ca="1">IFERROR(__xludf.DUMMYFUNCTION("GOOGLETRANSLATE(C56,""fr"",""en"")"),"No advice, no communication
Request additional files without stopping to ultimately not reimburse.
Does not respect its commitments. No reimbursement following a 30 -day stop for an unique hernia, I am asked to inform all my appointments with the doctor"&amp;" for ten years, when I have never had a single work stop.
You have to fill a new doc with the doctor in the midst of a covid, it's lamentable")</f>
        <v>No advice, no communication
Request additional files without stopping to ultimately not reimburse.
Does not respect its commitments. No reimbursement following a 30 -day stop for an unique hernia, I am asked to inform all my appointments with the doctor for ten years, when I have never had a single work stop.
You have to fill a new doc with the doctor in the midst of a covid, it's lamentable</v>
      </c>
    </row>
    <row r="57" spans="1:9" ht="15.75" customHeight="1" x14ac:dyDescent="0.3">
      <c r="A57" s="2">
        <v>2</v>
      </c>
      <c r="B57" s="2" t="s">
        <v>221</v>
      </c>
      <c r="C57" s="2" t="s">
        <v>222</v>
      </c>
      <c r="D57" s="2" t="s">
        <v>145</v>
      </c>
      <c r="E57" s="2" t="s">
        <v>129</v>
      </c>
      <c r="F57" s="2" t="s">
        <v>15</v>
      </c>
      <c r="G57" s="2" t="s">
        <v>223</v>
      </c>
      <c r="H57" s="2" t="s">
        <v>224</v>
      </c>
      <c r="I57" s="2" t="str">
        <f ca="1">IFERROR(__xludf.DUMMYFUNCTION("GOOGLETRANSLATE(C57,""fr"",""en"")"),"An attractive price, of course. Then when making a home contract materialize, 20 minutes of waiting on the phone to hear herself say that the Maaf finally refuses to ensure the apartment that I will rent because I will be there until the week and that I g"&amp;"o Return the weekend to Belgium.")</f>
        <v>An attractive price, of course. Then when making a home contract materialize, 20 minutes of waiting on the phone to hear herself say that the Maaf finally refuses to ensure the apartment that I will rent because I will be there until the week and that I go Return the weekend to Belgium.</v>
      </c>
    </row>
    <row r="58" spans="1:9" ht="15.75" customHeight="1" x14ac:dyDescent="0.3">
      <c r="A58" s="2">
        <v>1</v>
      </c>
      <c r="B58" s="2" t="s">
        <v>225</v>
      </c>
      <c r="C58" s="2" t="s">
        <v>226</v>
      </c>
      <c r="D58" s="2" t="s">
        <v>28</v>
      </c>
      <c r="E58" s="2" t="s">
        <v>14</v>
      </c>
      <c r="F58" s="2" t="s">
        <v>15</v>
      </c>
      <c r="G58" s="2" t="s">
        <v>227</v>
      </c>
      <c r="H58" s="2" t="s">
        <v>228</v>
      </c>
      <c r="I58" s="2" t="str">
        <f ca="1">IFERROR(__xludf.DUMMYFUNCTION("GOOGLETRANSLATE(C58,""fr"",""en"")"),"They are very long for payments during a claim + 2 months, in bad faith, he does not hesitate to hang up on the clients.")</f>
        <v>They are very long for payments during a claim + 2 months, in bad faith, he does not hesitate to hang up on the clients.</v>
      </c>
    </row>
    <row r="59" spans="1:9" ht="15.75" customHeight="1" x14ac:dyDescent="0.3">
      <c r="A59" s="2">
        <v>2</v>
      </c>
      <c r="B59" s="2" t="s">
        <v>229</v>
      </c>
      <c r="C59" s="2" t="s">
        <v>230</v>
      </c>
      <c r="D59" s="2" t="s">
        <v>197</v>
      </c>
      <c r="E59" s="2" t="s">
        <v>81</v>
      </c>
      <c r="F59" s="2" t="s">
        <v>15</v>
      </c>
      <c r="G59" s="2" t="s">
        <v>231</v>
      </c>
      <c r="H59" s="2" t="s">
        <v>232</v>
      </c>
      <c r="I59" s="2" t="str">
        <f ca="1">IFERROR(__xludf.DUMMYFUNCTION("GOOGLETRANSLATE(C59,""fr"",""en"")"),"Attractive rates. Attractive company as long as there is no claim.
In my case, theft of my motorcycle. Evaluation of the expert made on the basis of a bad version (without ABS), impossible to make him change his mind, despite the production of announceme"&amp;"nts demonstrating that the estimate was undervalued.
I ended up accepting after several vain procedures and lack of answers to letters. Damage of 1500 euros")</f>
        <v>Attractive rates. Attractive company as long as there is no claim.
In my case, theft of my motorcycle. Evaluation of the expert made on the basis of a bad version (without ABS), impossible to make him change his mind, despite the production of announcements demonstrating that the estimate was undervalued.
I ended up accepting after several vain procedures and lack of answers to letters. Damage of 1500 euros</v>
      </c>
    </row>
    <row r="60" spans="1:9" ht="15.75" customHeight="1" x14ac:dyDescent="0.3">
      <c r="A60" s="2">
        <v>3</v>
      </c>
      <c r="B60" s="2" t="s">
        <v>233</v>
      </c>
      <c r="C60" s="2" t="s">
        <v>234</v>
      </c>
      <c r="D60" s="2" t="s">
        <v>28</v>
      </c>
      <c r="E60" s="2" t="s">
        <v>14</v>
      </c>
      <c r="F60" s="2" t="s">
        <v>15</v>
      </c>
      <c r="G60" s="2" t="s">
        <v>235</v>
      </c>
      <c r="H60" s="2" t="s">
        <v>236</v>
      </c>
      <c r="I60" s="2" t="str">
        <f ca="1">IFERROR(__xludf.DUMMYFUNCTION("GOOGLETRANSLATE(C60,""fr"",""en"")"),"New customer at the Olivier, I am very disappointed with the file follow -up in the event of a claim.
No luck, after 3 days of contract, a car clings to me the bumper and the abyss. I am their procedure ... sending the observation to my account and on a "&amp;"special sinister email. No news, it is impossible to reach them BPAR telephone. I think it will end badly for them. I understand the very unfavorable opinions.")</f>
        <v>New customer at the Olivier, I am very disappointed with the file follow -up in the event of a claim.
No luck, after 3 days of contract, a car clings to me the bumper and the abyss. I am their procedure ... sending the observation to my account and on a special sinister email. No news, it is impossible to reach them BPAR telephone. I think it will end badly for them. I understand the very unfavorable opinions.</v>
      </c>
    </row>
    <row r="61" spans="1:9" ht="15.75" customHeight="1" x14ac:dyDescent="0.3">
      <c r="A61" s="2">
        <v>1</v>
      </c>
      <c r="B61" s="2" t="s">
        <v>237</v>
      </c>
      <c r="C61" s="2" t="s">
        <v>238</v>
      </c>
      <c r="D61" s="2" t="s">
        <v>190</v>
      </c>
      <c r="E61" s="2" t="s">
        <v>129</v>
      </c>
      <c r="F61" s="2" t="s">
        <v>15</v>
      </c>
      <c r="G61" s="2" t="s">
        <v>239</v>
      </c>
      <c r="H61" s="2" t="s">
        <v>57</v>
      </c>
      <c r="I61" s="2" t="str">
        <f ca="1">IFERROR(__xludf.DUMMYFUNCTION("GOOGLETRANSLATE(C61,""fr"",""en"")"),"Never seen that the worst assurance that I had in twenty years during the pandemic impossible to reach them an canceled expertise is still on me negatively and the expert has paid I will see a lawyer a scandal")</f>
        <v>Never seen that the worst assurance that I had in twenty years during the pandemic impossible to reach them an canceled expertise is still on me negatively and the expert has paid I will see a lawyer a scandal</v>
      </c>
    </row>
    <row r="62" spans="1:9" ht="15.75" customHeight="1" x14ac:dyDescent="0.3">
      <c r="A62" s="2">
        <v>3</v>
      </c>
      <c r="B62" s="2" t="s">
        <v>240</v>
      </c>
      <c r="C62" s="2" t="s">
        <v>241</v>
      </c>
      <c r="D62" s="2" t="s">
        <v>13</v>
      </c>
      <c r="E62" s="2" t="s">
        <v>14</v>
      </c>
      <c r="F62" s="2" t="s">
        <v>15</v>
      </c>
      <c r="G62" s="2" t="s">
        <v>203</v>
      </c>
      <c r="H62" s="2" t="s">
        <v>25</v>
      </c>
      <c r="I62" s="2" t="str">
        <f ca="1">IFERROR(__xludf.DUMMYFUNCTION("GOOGLETRANSLATE(C62,""fr"",""en"")"),"I am sufficient satisfied with your services. More than ten years at home and unfortunately claims unfortunately my good road behavior does not refer to the price of my insurance.")</f>
        <v>I am sufficient satisfied with your services. More than ten years at home and unfortunately claims unfortunately my good road behavior does not refer to the price of my insurance.</v>
      </c>
    </row>
    <row r="63" spans="1:9" ht="15.75" customHeight="1" x14ac:dyDescent="0.3">
      <c r="A63" s="2">
        <v>4</v>
      </c>
      <c r="B63" s="2" t="s">
        <v>242</v>
      </c>
      <c r="C63" s="2" t="s">
        <v>243</v>
      </c>
      <c r="D63" s="2" t="s">
        <v>13</v>
      </c>
      <c r="E63" s="2" t="s">
        <v>14</v>
      </c>
      <c r="F63" s="2" t="s">
        <v>15</v>
      </c>
      <c r="G63" s="2" t="s">
        <v>244</v>
      </c>
      <c r="H63" s="2" t="s">
        <v>111</v>
      </c>
      <c r="I63" s="2" t="str">
        <f ca="1">IFERROR(__xludf.DUMMYFUNCTION("GOOGLETRANSLATE(C63,""fr"",""en"")"),"The smallest prices I have seen for a young license, for all risk insurance. Very understandable and accessible site. Good communication. Very well.
")</f>
        <v xml:space="preserve">The smallest prices I have seen for a young license, for all risk insurance. Very understandable and accessible site. Good communication. Very well.
</v>
      </c>
    </row>
    <row r="64" spans="1:9" ht="15.75" customHeight="1" x14ac:dyDescent="0.3">
      <c r="A64" s="2">
        <v>5</v>
      </c>
      <c r="B64" s="2" t="s">
        <v>245</v>
      </c>
      <c r="C64" s="2" t="s">
        <v>246</v>
      </c>
      <c r="D64" s="2" t="s">
        <v>13</v>
      </c>
      <c r="E64" s="2" t="s">
        <v>14</v>
      </c>
      <c r="F64" s="2" t="s">
        <v>15</v>
      </c>
      <c r="G64" s="2" t="s">
        <v>247</v>
      </c>
      <c r="H64" s="2" t="s">
        <v>248</v>
      </c>
      <c r="I64" s="2" t="str">
        <f ca="1">IFERROR(__xludf.DUMMYFUNCTION("GOOGLETRANSLATE(C64,""fr"",""en"")"),"I am satisfied with the service, fast efficient I recommend your website and your car insurance which are in very suitable prices. Great")</f>
        <v>I am satisfied with the service, fast efficient I recommend your website and your car insurance which are in very suitable prices. Great</v>
      </c>
    </row>
    <row r="65" spans="1:9" ht="15.75" customHeight="1" x14ac:dyDescent="0.3">
      <c r="A65" s="2">
        <v>5</v>
      </c>
      <c r="B65" s="2" t="s">
        <v>249</v>
      </c>
      <c r="C65" s="2" t="s">
        <v>250</v>
      </c>
      <c r="D65" s="2" t="s">
        <v>80</v>
      </c>
      <c r="E65" s="2" t="s">
        <v>81</v>
      </c>
      <c r="F65" s="2" t="s">
        <v>15</v>
      </c>
      <c r="G65" s="2" t="s">
        <v>251</v>
      </c>
      <c r="H65" s="2" t="s">
        <v>83</v>
      </c>
      <c r="I65" s="2" t="str">
        <f ca="1">IFERROR(__xludf.DUMMYFUNCTION("GOOGLETRANSLATE(C65,""fr"",""en"")"),"I am very happy with the price and the guarantees offered.
I highly recommend April because after several quotes I finally find the guarantees that I was looking for.")</f>
        <v>I am very happy with the price and the guarantees offered.
I highly recommend April because after several quotes I finally find the guarantees that I was looking for.</v>
      </c>
    </row>
    <row r="66" spans="1:9" ht="15.75" customHeight="1" x14ac:dyDescent="0.3">
      <c r="A66" s="2">
        <v>1</v>
      </c>
      <c r="B66" s="2" t="s">
        <v>252</v>
      </c>
      <c r="C66" s="2" t="s">
        <v>253</v>
      </c>
      <c r="D66" s="2" t="s">
        <v>254</v>
      </c>
      <c r="E66" s="2" t="s">
        <v>14</v>
      </c>
      <c r="F66" s="2" t="s">
        <v>15</v>
      </c>
      <c r="G66" s="2" t="s">
        <v>255</v>
      </c>
      <c r="H66" s="2" t="s">
        <v>256</v>
      </c>
      <c r="I66" s="2" t="str">
        <f ca="1">IFERROR(__xludf.DUMMYFUNCTION("GOOGLETRANSLATE(C66,""fr"",""en"")"),"Deplorable, assured at Maif for 10 years without having had no sinisits, I disillusioned following a car accident occurring on 06/21/2019, I was transported to the emergency because in shock, it was my First accident in 32 years of driving. Very badly inf"&amp;"ormed by the MAIF, suddenly while firefighter and gendarme present concluded at 50/50, I found myself 100 in wrong because the maif informed me badly for the establishment of the observation and on the other hand very well informed The other part also at "&amp;"the MAIF FILA. Result of the races I shortly terminate all of my contracts at home!
")</f>
        <v xml:space="preserve">Deplorable, assured at Maif for 10 years without having had no sinisits, I disillusioned following a car accident occurring on 06/21/2019, I was transported to the emergency because in shock, it was my First accident in 32 years of driving. Very badly informed by the MAIF, suddenly while firefighter and gendarme present concluded at 50/50, I found myself 100 in wrong because the maif informed me badly for the establishment of the observation and on the other hand very well informed The other part also at the MAIF FILA. Result of the races I shortly terminate all of my contracts at home!
</v>
      </c>
    </row>
    <row r="67" spans="1:9" ht="15.75" customHeight="1" x14ac:dyDescent="0.3">
      <c r="A67" s="2">
        <v>1</v>
      </c>
      <c r="B67" s="2" t="s">
        <v>257</v>
      </c>
      <c r="C67" s="2" t="s">
        <v>258</v>
      </c>
      <c r="D67" s="2" t="s">
        <v>259</v>
      </c>
      <c r="E67" s="2" t="s">
        <v>61</v>
      </c>
      <c r="F67" s="2" t="s">
        <v>15</v>
      </c>
      <c r="G67" s="2" t="s">
        <v>260</v>
      </c>
      <c r="H67" s="2" t="s">
        <v>71</v>
      </c>
      <c r="I67" s="2" t="str">
        <f ca="1">IFERROR(__xludf.DUMMYFUNCTION("GOOGLETRANSLATE(C67,""fr"",""en"")"),"I have subscribed to borrower insurance through Société Générale I have been fighting for 5 months systematically he asks me the same file as I have already sent 5 times .... no telephone contact because no one answers .. to flee")</f>
        <v>I have subscribed to borrower insurance through Société Générale I have been fighting for 5 months systematically he asks me the same file as I have already sent 5 times .... no telephone contact because no one answers .. to flee</v>
      </c>
    </row>
    <row r="68" spans="1:9" ht="15.75" customHeight="1" x14ac:dyDescent="0.3">
      <c r="A68" s="2">
        <v>4</v>
      </c>
      <c r="B68" s="2" t="s">
        <v>261</v>
      </c>
      <c r="C68" s="2" t="s">
        <v>262</v>
      </c>
      <c r="D68" s="2" t="s">
        <v>28</v>
      </c>
      <c r="E68" s="2" t="s">
        <v>14</v>
      </c>
      <c r="F68" s="2" t="s">
        <v>15</v>
      </c>
      <c r="G68" s="2" t="s">
        <v>263</v>
      </c>
      <c r="H68" s="2" t="s">
        <v>46</v>
      </c>
      <c r="I68" s="2" t="str">
        <f ca="1">IFERROR(__xludf.DUMMYFUNCTION("GOOGLETRANSLATE(C68,""fr"",""en"")"),"I am satisfied with the service.
Advisor to the phone very well inform me and guide for the start of the contract. The prices of this insurance are correct")</f>
        <v>I am satisfied with the service.
Advisor to the phone very well inform me and guide for the start of the contract. The prices of this insurance are correct</v>
      </c>
    </row>
    <row r="69" spans="1:9" ht="15.75" customHeight="1" x14ac:dyDescent="0.3">
      <c r="A69" s="2">
        <v>5</v>
      </c>
      <c r="B69" s="2" t="s">
        <v>264</v>
      </c>
      <c r="C69" s="2" t="s">
        <v>265</v>
      </c>
      <c r="D69" s="2" t="s">
        <v>13</v>
      </c>
      <c r="E69" s="2" t="s">
        <v>14</v>
      </c>
      <c r="F69" s="2" t="s">
        <v>15</v>
      </c>
      <c r="G69" s="2" t="s">
        <v>70</v>
      </c>
      <c r="H69" s="2" t="s">
        <v>71</v>
      </c>
      <c r="I69" s="2" t="str">
        <f ca="1">IFERROR(__xludf.DUMMYFUNCTION("GOOGLETRANSLATE(C69,""fr"",""en"")"),"Very satisfied except for payment with card information. I prefer payments of the type Cdiscount or Ali Express by Paylib or Paypal card")</f>
        <v>Very satisfied except for payment with card information. I prefer payments of the type Cdiscount or Ali Express by Paylib or Paypal card</v>
      </c>
    </row>
    <row r="70" spans="1:9" ht="15.75" customHeight="1" x14ac:dyDescent="0.3">
      <c r="A70" s="2">
        <v>5</v>
      </c>
      <c r="B70" s="2" t="s">
        <v>266</v>
      </c>
      <c r="C70" s="2" t="s">
        <v>267</v>
      </c>
      <c r="D70" s="2" t="s">
        <v>13</v>
      </c>
      <c r="E70" s="2" t="s">
        <v>14</v>
      </c>
      <c r="F70" s="2" t="s">
        <v>15</v>
      </c>
      <c r="G70" s="2" t="s">
        <v>268</v>
      </c>
      <c r="H70" s="2" t="s">
        <v>111</v>
      </c>
      <c r="I70" s="2" t="str">
        <f ca="1">IFERROR(__xludf.DUMMYFUNCTION("GOOGLETRANSLATE(C70,""fr"",""en"")"),"I am satisfied with the service, the prices are affordable and resonable, I wish in the near future advise my entourage to subscribe with direct insurance because they are the best")</f>
        <v>I am satisfied with the service, the prices are affordable and resonable, I wish in the near future advise my entourage to subscribe with direct insurance because they are the best</v>
      </c>
    </row>
    <row r="71" spans="1:9" ht="15.75" customHeight="1" x14ac:dyDescent="0.3">
      <c r="A71" s="2">
        <v>5</v>
      </c>
      <c r="B71" s="2" t="s">
        <v>269</v>
      </c>
      <c r="C71" s="2" t="s">
        <v>270</v>
      </c>
      <c r="D71" s="2" t="s">
        <v>28</v>
      </c>
      <c r="E71" s="2" t="s">
        <v>14</v>
      </c>
      <c r="F71" s="2" t="s">
        <v>15</v>
      </c>
      <c r="G71" s="2" t="s">
        <v>271</v>
      </c>
      <c r="H71" s="2" t="s">
        <v>83</v>
      </c>
      <c r="I71" s="2" t="str">
        <f ca="1">IFERROR(__xludf.DUMMYFUNCTION("GOOGLETRANSLATE(C71,""fr"",""en"")"),"Very satisfied. Easy and pleasant interlocutor. Very good explanations. The contract is clear. I don't know what to say else! I recommend this insurance")</f>
        <v>Very satisfied. Easy and pleasant interlocutor. Very good explanations. The contract is clear. I don't know what to say else! I recommend this insurance</v>
      </c>
    </row>
    <row r="72" spans="1:9" ht="15.75" customHeight="1" x14ac:dyDescent="0.3">
      <c r="A72" s="2">
        <v>2</v>
      </c>
      <c r="B72" s="2" t="s">
        <v>272</v>
      </c>
      <c r="C72" s="2" t="s">
        <v>273</v>
      </c>
      <c r="D72" s="2" t="s">
        <v>13</v>
      </c>
      <c r="E72" s="2" t="s">
        <v>14</v>
      </c>
      <c r="F72" s="2" t="s">
        <v>15</v>
      </c>
      <c r="G72" s="2" t="s">
        <v>274</v>
      </c>
      <c r="H72" s="2" t="s">
        <v>275</v>
      </c>
      <c r="I72" s="2" t="str">
        <f ca="1">IFERROR(__xludf.DUMMYFUNCTION("GOOGLETRANSLATE(C72,""fr"",""en"")"),"Very disapointed!! I have been insured at home for 3 months and have just been canceled because I did not sign the contract electronically, when I had received an email when I register telling me that ""my file was complete"". No stimulus, neither by emai"&amp;"l, nor by mail, nor by phone. I am disappointed. After having called them several times, no way to come back to this termination. I paid for my contributions, sent all the necessary documents, I find it scandalous. Now it's up to me to find a new insuranc"&amp;"e that will agree to make sure despite my termination without it ""cost me an arm"" !!
If they had sent me a letter (as for my termination) I could of course have signed this contract.
What was my interest in not doing it?
")</f>
        <v xml:space="preserve">Very disapointed!! I have been insured at home for 3 months and have just been canceled because I did not sign the contract electronically, when I had received an email when I register telling me that "my file was complete". No stimulus, neither by email, nor by mail, nor by phone. I am disappointed. After having called them several times, no way to come back to this termination. I paid for my contributions, sent all the necessary documents, I find it scandalous. Now it's up to me to find a new insurance that will agree to make sure despite my termination without it "cost me an arm" !!
If they had sent me a letter (as for my termination) I could of course have signed this contract.
What was my interest in not doing it?
</v>
      </c>
    </row>
    <row r="73" spans="1:9" ht="15.75" customHeight="1" x14ac:dyDescent="0.3">
      <c r="A73" s="2">
        <v>2</v>
      </c>
      <c r="B73" s="2" t="s">
        <v>276</v>
      </c>
      <c r="C73" s="2" t="s">
        <v>277</v>
      </c>
      <c r="D73" s="2" t="s">
        <v>13</v>
      </c>
      <c r="E73" s="2" t="s">
        <v>14</v>
      </c>
      <c r="F73" s="2" t="s">
        <v>15</v>
      </c>
      <c r="G73" s="2" t="s">
        <v>278</v>
      </c>
      <c r="H73" s="2" t="s">
        <v>71</v>
      </c>
      <c r="I73" s="2" t="str">
        <f ca="1">IFERROR(__xludf.DUMMYFUNCTION("GOOGLETRANSLATE(C73,""fr"",""en"")"),"Information is not communicating clearly. Elements are only communicated to you for subscribing and validation of payment, extremely long waiting time and incompetent advisor insurance to run away absolutely")</f>
        <v>Information is not communicating clearly. Elements are only communicated to you for subscribing and validation of payment, extremely long waiting time and incompetent advisor insurance to run away absolutely</v>
      </c>
    </row>
    <row r="74" spans="1:9" ht="15.75" customHeight="1" x14ac:dyDescent="0.3">
      <c r="A74" s="2">
        <v>1</v>
      </c>
      <c r="B74" s="2" t="s">
        <v>279</v>
      </c>
      <c r="C74" s="2" t="s">
        <v>280</v>
      </c>
      <c r="D74" s="2" t="s">
        <v>281</v>
      </c>
      <c r="E74" s="2" t="s">
        <v>39</v>
      </c>
      <c r="F74" s="2" t="s">
        <v>15</v>
      </c>
      <c r="G74" s="2" t="s">
        <v>161</v>
      </c>
      <c r="H74" s="2" t="s">
        <v>83</v>
      </c>
      <c r="I74" s="2" t="str">
        <f ca="1">IFERROR(__xludf.DUMMYFUNCTION("GOOGLETRANSLATE(C74,""fr"",""en"")"),"To flee ! Resil me for a delay in payment that I understand
While the sum of reimbursement that they must exceed me from afar what it claims to me.
Never the same information to flee !!: !!")</f>
        <v>To flee ! Resil me for a delay in payment that I understand
While the sum of reimbursement that they must exceed me from afar what it claims to me.
Never the same information to flee !!: !!</v>
      </c>
    </row>
    <row r="75" spans="1:9" ht="15.75" customHeight="1" x14ac:dyDescent="0.3">
      <c r="A75" s="2">
        <v>1</v>
      </c>
      <c r="B75" s="2" t="s">
        <v>282</v>
      </c>
      <c r="C75" s="2" t="s">
        <v>283</v>
      </c>
      <c r="D75" s="2" t="s">
        <v>284</v>
      </c>
      <c r="E75" s="2" t="s">
        <v>81</v>
      </c>
      <c r="F75" s="2" t="s">
        <v>15</v>
      </c>
      <c r="G75" s="2" t="s">
        <v>285</v>
      </c>
      <c r="H75" s="2" t="s">
        <v>286</v>
      </c>
      <c r="I75" s="2" t="str">
        <f ca="1">IFERROR(__xludf.DUMMYFUNCTION("GOOGLETRANSLATE(C75,""fr"",""en"")"),"Hi there
Since December 17, 2019, the day of my accident on the Paris ring road, my motorcycle being now a wreck, I am therefore no longer assured at the Mutuelle des Motards. However, this insurance continued to take me monthly. Despite several calls fr"&amp;"om me, or when I had someone, I was told that it was going to be regularized, we are today on July 25, 2020 and I have still not been reimbursed. My registered letter remained unanswered, the emails too. So I opposed the samples from my account, something"&amp;" that I should have done on December 18, 2019, the day after my accident. And then the above, the COVVI 19 has spread and at the Mutual of the Bikers, it must be believed that it was more tragic than elsewhere because for three months, more about having s"&amp;"omeone on the phone. We were told to go to the site where we could suppose everything and that on request, we could even make it remember. This is what I did many times. I'm still waiting. Today, I bought a new motorcycle and of course, I assured it elsew"&amp;"here. The mutual of bikers is far from the biker spirit which she claims to defend and represent.")</f>
        <v>Hi there
Since December 17, 2019, the day of my accident on the Paris ring road, my motorcycle being now a wreck, I am therefore no longer assured at the Mutuelle des Motards. However, this insurance continued to take me monthly. Despite several calls from me, or when I had someone, I was told that it was going to be regularized, we are today on July 25, 2020 and I have still not been reimbursed. My registered letter remained unanswered, the emails too. So I opposed the samples from my account, something that I should have done on December 18, 2019, the day after my accident. And then the above, the COVVI 19 has spread and at the Mutual of the Bikers, it must be believed that it was more tragic than elsewhere because for three months, more about having someone on the phone. We were told to go to the site where we could suppose everything and that on request, we could even make it remember. This is what I did many times. I'm still waiting. Today, I bought a new motorcycle and of course, I assured it elsewhere. The mutual of bikers is far from the biker spirit which she claims to defend and represent.</v>
      </c>
    </row>
    <row r="76" spans="1:9" ht="15.75" customHeight="1" x14ac:dyDescent="0.3">
      <c r="A76" s="2">
        <v>1</v>
      </c>
      <c r="B76" s="2" t="s">
        <v>287</v>
      </c>
      <c r="C76" s="2" t="s">
        <v>288</v>
      </c>
      <c r="D76" s="2" t="s">
        <v>13</v>
      </c>
      <c r="E76" s="2" t="s">
        <v>14</v>
      </c>
      <c r="F76" s="2" t="s">
        <v>15</v>
      </c>
      <c r="G76" s="2" t="s">
        <v>289</v>
      </c>
      <c r="H76" s="2" t="s">
        <v>30</v>
      </c>
      <c r="I76" s="2" t="str">
        <f ca="1">IFERROR(__xludf.DUMMYFUNCTION("GOOGLETRANSLATE(C76,""fr"",""en"")"),"Hello, I am writing for my Brand Insurance: Renault Captur Fiscal Power: 5 CV Put into circulation: 09/2018 Establishment of the gray card: 09/27/2018 Owner of the vehicle: Jean Jacques Pisson Registration: FA-702-Rz I will go on vacation on June 5 with t"&amp;"his car and with a trailer attachment and a 2 bike door at the back of the vehicle, I want to be insured for this bike door with 2 bikes that I will transport. My question am I insured under these conditions above or must pay an insurance supplement. Rega"&amp;"rds Mr Pisson Jean Jacques")</f>
        <v>Hello, I am writing for my Brand Insurance: Renault Captur Fiscal Power: 5 CV Put into circulation: 09/2018 Establishment of the gray card: 09/27/2018 Owner of the vehicle: Jean Jacques Pisson Registration: FA-702-Rz I will go on vacation on June 5 with this car and with a trailer attachment and a 2 bike door at the back of the vehicle, I want to be insured for this bike door with 2 bikes that I will transport. My question am I insured under these conditions above or must pay an insurance supplement. Regards Mr Pisson Jean Jacques</v>
      </c>
    </row>
    <row r="77" spans="1:9" ht="15.75" customHeight="1" x14ac:dyDescent="0.3">
      <c r="A77" s="2">
        <v>1</v>
      </c>
      <c r="B77" s="2" t="s">
        <v>290</v>
      </c>
      <c r="C77" s="2" t="s">
        <v>291</v>
      </c>
      <c r="D77" s="2" t="s">
        <v>13</v>
      </c>
      <c r="E77" s="2" t="s">
        <v>14</v>
      </c>
      <c r="F77" s="2" t="s">
        <v>15</v>
      </c>
      <c r="G77" s="2" t="s">
        <v>292</v>
      </c>
      <c r="H77" s="2" t="s">
        <v>25</v>
      </c>
      <c r="I77" s="2" t="str">
        <f ca="1">IFERROR(__xludf.DUMMYFUNCTION("GOOGLETRANSLATE(C77,""fr"",""en"")"),"In two years the price of the insurance has increased well when I did not have an accident .... with a purchasing power at half mast I am forced to reconsider my contract ....")</f>
        <v>In two years the price of the insurance has increased well when I did not have an accident .... with a purchasing power at half mast I am forced to reconsider my contract ....</v>
      </c>
    </row>
    <row r="78" spans="1:9" ht="15.75" customHeight="1" x14ac:dyDescent="0.3">
      <c r="A78" s="2">
        <v>2</v>
      </c>
      <c r="B78" s="2" t="s">
        <v>293</v>
      </c>
      <c r="C78" s="2" t="s">
        <v>294</v>
      </c>
      <c r="D78" s="2" t="s">
        <v>28</v>
      </c>
      <c r="E78" s="2" t="s">
        <v>14</v>
      </c>
      <c r="F78" s="2" t="s">
        <v>15</v>
      </c>
      <c r="G78" s="2" t="s">
        <v>263</v>
      </c>
      <c r="H78" s="2" t="s">
        <v>17</v>
      </c>
      <c r="I78" s="2" t="str">
        <f ca="1">IFERROR(__xludf.DUMMYFUNCTION("GOOGLETRANSLATE(C78,""fr"",""en"")"),"WARNING
Prices quite attractive but as soon as you modify your contract (for a change of address for example) you are charged 15 € when it is you who do everything on your space.")</f>
        <v>WARNING
Prices quite attractive but as soon as you modify your contract (for a change of address for example) you are charged 15 € when it is you who do everything on your space.</v>
      </c>
    </row>
    <row r="79" spans="1:9" ht="15.75" customHeight="1" x14ac:dyDescent="0.3">
      <c r="A79" s="2">
        <v>5</v>
      </c>
      <c r="B79" s="2" t="s">
        <v>295</v>
      </c>
      <c r="C79" s="2" t="s">
        <v>296</v>
      </c>
      <c r="D79" s="2" t="s">
        <v>197</v>
      </c>
      <c r="E79" s="2" t="s">
        <v>81</v>
      </c>
      <c r="F79" s="2" t="s">
        <v>15</v>
      </c>
      <c r="G79" s="2" t="s">
        <v>297</v>
      </c>
      <c r="H79" s="2" t="s">
        <v>17</v>
      </c>
      <c r="I79" s="2" t="str">
        <f ca="1">IFERROR(__xludf.DUMMYFUNCTION("GOOGLETRANSLATE(C79,""fr"",""en"")"),"Subscription by quick phone.
The interlocutor helped me on the phone throughout the approach from A to Z, which was very pleasant and reassuring.")</f>
        <v>Subscription by quick phone.
The interlocutor helped me on the phone throughout the approach from A to Z, which was very pleasant and reassuring.</v>
      </c>
    </row>
    <row r="80" spans="1:9" ht="15.75" customHeight="1" x14ac:dyDescent="0.3">
      <c r="A80" s="2">
        <v>5</v>
      </c>
      <c r="B80" s="2" t="s">
        <v>298</v>
      </c>
      <c r="C80" s="2" t="s">
        <v>299</v>
      </c>
      <c r="D80" s="2" t="s">
        <v>197</v>
      </c>
      <c r="E80" s="2" t="s">
        <v>81</v>
      </c>
      <c r="F80" s="2" t="s">
        <v>15</v>
      </c>
      <c r="G80" s="2" t="s">
        <v>300</v>
      </c>
      <c r="H80" s="2" t="s">
        <v>111</v>
      </c>
      <c r="I80" s="2" t="str">
        <f ca="1">IFERROR(__xludf.DUMMYFUNCTION("GOOGLETRANSLATE(C80,""fr"",""en"")"),"Satisfied with the service, on the other hand, sending the green card only to the address of the vehicle parking, is a bit annoying for those in second home.
")</f>
        <v xml:space="preserve">Satisfied with the service, on the other hand, sending the green card only to the address of the vehicle parking, is a bit annoying for those in second home.
</v>
      </c>
    </row>
    <row r="81" spans="1:9" ht="15.75" customHeight="1" x14ac:dyDescent="0.3">
      <c r="A81" s="2">
        <v>2</v>
      </c>
      <c r="B81" s="2" t="s">
        <v>301</v>
      </c>
      <c r="C81" s="2" t="s">
        <v>302</v>
      </c>
      <c r="D81" s="2" t="s">
        <v>303</v>
      </c>
      <c r="E81" s="2" t="s">
        <v>81</v>
      </c>
      <c r="F81" s="2" t="s">
        <v>15</v>
      </c>
      <c r="G81" s="2" t="s">
        <v>304</v>
      </c>
      <c r="H81" s="2" t="s">
        <v>256</v>
      </c>
      <c r="I81" s="2" t="str">
        <f ca="1">IFERROR(__xludf.DUMMYFUNCTION("GOOGLETRANSLATE(C81,""fr"",""en"")"),"Being buying a new scooter, the dealer asks me for the insurance certificate proving that I have led a 125cm3 in 2006 and 2011 as the law requests. The Macif never provided me and when I call, they answer me that they cannot because it is too old. I am lo"&amp;"sing my deposit. Unable to hit a simple certificate and in addition, they tell me to pass the 7 -hour training when I don't need it. Unrealistic! Really very disappointed and after almost 30 years with them, I plan to go see elsewhere for my 2 vehicles. T"&amp;"he speech on the phone was mind -blowing. The person put me on hold to go to fishing for information. A simple paper specifying my insured past for a 2 wheels on the pretext that it was too old !!! She replied that she could not go up between 20 and 30 ye"&amp;"ars. We are in 2019 and the time requested is between 2006 and 2011. If I do not obtain this document, however requested by the police, I stop my memberships.")</f>
        <v>Being buying a new scooter, the dealer asks me for the insurance certificate proving that I have led a 125cm3 in 2006 and 2011 as the law requests. The Macif never provided me and when I call, they answer me that they cannot because it is too old. I am losing my deposit. Unable to hit a simple certificate and in addition, they tell me to pass the 7 -hour training when I don't need it. Unrealistic! Really very disappointed and after almost 30 years with them, I plan to go see elsewhere for my 2 vehicles. The speech on the phone was mind -blowing. The person put me on hold to go to fishing for information. A simple paper specifying my insured past for a 2 wheels on the pretext that it was too old !!! She replied that she could not go up between 20 and 30 years. We are in 2019 and the time requested is between 2006 and 2011. If I do not obtain this document, however requested by the police, I stop my memberships.</v>
      </c>
    </row>
    <row r="82" spans="1:9" ht="15.75" customHeight="1" x14ac:dyDescent="0.3">
      <c r="A82" s="2">
        <v>3</v>
      </c>
      <c r="B82" s="2" t="s">
        <v>305</v>
      </c>
      <c r="C82" s="2" t="s">
        <v>306</v>
      </c>
      <c r="D82" s="2" t="s">
        <v>13</v>
      </c>
      <c r="E82" s="2" t="s">
        <v>14</v>
      </c>
      <c r="F82" s="2" t="s">
        <v>15</v>
      </c>
      <c r="G82" s="2" t="s">
        <v>307</v>
      </c>
      <c r="H82" s="2" t="s">
        <v>71</v>
      </c>
      <c r="I82" s="2" t="str">
        <f ca="1">IFERROR(__xludf.DUMMYFUNCTION("GOOGLETRANSLATE(C82,""fr"",""en"")"),"I am satisfied with the service and the always clear and quick advisers to process request I thank the team for the interest in Customer")</f>
        <v>I am satisfied with the service and the always clear and quick advisers to process request I thank the team for the interest in Customer</v>
      </c>
    </row>
    <row r="83" spans="1:9" ht="15.75" customHeight="1" x14ac:dyDescent="0.3">
      <c r="A83" s="2">
        <v>1</v>
      </c>
      <c r="B83" s="2" t="s">
        <v>308</v>
      </c>
      <c r="C83" s="2" t="s">
        <v>309</v>
      </c>
      <c r="D83" s="2" t="s">
        <v>310</v>
      </c>
      <c r="E83" s="2" t="s">
        <v>14</v>
      </c>
      <c r="F83" s="2" t="s">
        <v>15</v>
      </c>
      <c r="G83" s="2" t="s">
        <v>311</v>
      </c>
      <c r="H83" s="2" t="s">
        <v>286</v>
      </c>
      <c r="I83" s="2" t="str">
        <f ca="1">IFERROR(__xludf.DUMMYFUNCTION("GOOGLETRANSLATE(C83,""fr"",""en"")"),"Hello
Be careful you pay 1/3 of the insurance before the finalized subscription and then procedures which are not clearly indicated you resilled !!!
It cost me 120th for 2 weeks
Of course she does not reimburse you
insurance to flee !!! !!")</f>
        <v>Hello
Be careful you pay 1/3 of the insurance before the finalized subscription and then procedures which are not clearly indicated you resilled !!!
It cost me 120th for 2 weeks
Of course she does not reimburse you
insurance to flee !!! !!</v>
      </c>
    </row>
    <row r="84" spans="1:9" ht="15.75" customHeight="1" x14ac:dyDescent="0.3">
      <c r="A84" s="2">
        <v>4</v>
      </c>
      <c r="B84" s="2" t="s">
        <v>312</v>
      </c>
      <c r="C84" s="2" t="s">
        <v>313</v>
      </c>
      <c r="D84" s="2" t="s">
        <v>13</v>
      </c>
      <c r="E84" s="2" t="s">
        <v>14</v>
      </c>
      <c r="F84" s="2" t="s">
        <v>15</v>
      </c>
      <c r="G84" s="2" t="s">
        <v>314</v>
      </c>
      <c r="H84" s="2" t="s">
        <v>111</v>
      </c>
      <c r="I84" s="2" t="str">
        <f ca="1">IFERROR(__xludf.DUMMYFUNCTION("GOOGLETRANSLATE(C84,""fr"",""en"")"),"Fast and clear, the services seem very interesting compared to the coachings especially in relation to physical insurance,
Advisor insurance by two work colleagues")</f>
        <v>Fast and clear, the services seem very interesting compared to the coachings especially in relation to physical insurance,
Advisor insurance by two work colleagues</v>
      </c>
    </row>
    <row r="85" spans="1:9" ht="15.75" customHeight="1" x14ac:dyDescent="0.3">
      <c r="A85" s="2">
        <v>4</v>
      </c>
      <c r="B85" s="2" t="s">
        <v>315</v>
      </c>
      <c r="C85" s="2" t="s">
        <v>316</v>
      </c>
      <c r="D85" s="2" t="s">
        <v>13</v>
      </c>
      <c r="E85" s="2" t="s">
        <v>14</v>
      </c>
      <c r="F85" s="2" t="s">
        <v>15</v>
      </c>
      <c r="G85" s="2" t="s">
        <v>317</v>
      </c>
      <c r="H85" s="2" t="s">
        <v>25</v>
      </c>
      <c r="I85" s="2" t="str">
        <f ca="1">IFERROR(__xludf.DUMMYFUNCTION("GOOGLETRANSLATE(C85,""fr"",""en"")"),"Very reports and responsiveness
Quick support
I am particularly satisfied with my auto and home contracts, very good coverage
Telephone contacts are very courteous and the responsiveness in relation to problems accompanied by very clear explanations")</f>
        <v>Very reports and responsiveness
Quick support
I am particularly satisfied with my auto and home contracts, very good coverage
Telephone contacts are very courteous and the responsiveness in relation to problems accompanied by very clear explanations</v>
      </c>
    </row>
    <row r="86" spans="1:9" ht="15.75" customHeight="1" x14ac:dyDescent="0.3">
      <c r="A86" s="2">
        <v>5</v>
      </c>
      <c r="B86" s="2" t="s">
        <v>318</v>
      </c>
      <c r="C86" s="2" t="s">
        <v>319</v>
      </c>
      <c r="D86" s="2" t="s">
        <v>80</v>
      </c>
      <c r="E86" s="2" t="s">
        <v>81</v>
      </c>
      <c r="F86" s="2" t="s">
        <v>15</v>
      </c>
      <c r="G86" s="2" t="s">
        <v>297</v>
      </c>
      <c r="H86" s="2" t="s">
        <v>17</v>
      </c>
      <c r="I86" s="2" t="str">
        <f ca="1">IFERROR(__xludf.DUMMYFUNCTION("GOOGLETRANSLATE(C86,""fr"",""en"")"),"fast and good price service
The internet subscription is well detailed, the steps are precise.
I recommend for motorcycle insurance the prices are very correct.
I have 2 insured motorcycles")</f>
        <v>fast and good price service
The internet subscription is well detailed, the steps are precise.
I recommend for motorcycle insurance the prices are very correct.
I have 2 insured motorcycles</v>
      </c>
    </row>
    <row r="87" spans="1:9" ht="15.75" customHeight="1" x14ac:dyDescent="0.3">
      <c r="A87" s="2">
        <v>3</v>
      </c>
      <c r="B87" s="2" t="s">
        <v>320</v>
      </c>
      <c r="C87" s="2" t="s">
        <v>321</v>
      </c>
      <c r="D87" s="2" t="s">
        <v>322</v>
      </c>
      <c r="E87" s="2" t="s">
        <v>14</v>
      </c>
      <c r="F87" s="2" t="s">
        <v>15</v>
      </c>
      <c r="G87" s="2" t="s">
        <v>323</v>
      </c>
      <c r="H87" s="2" t="s">
        <v>52</v>
      </c>
      <c r="I87" s="2" t="str">
        <f ca="1">IFERROR(__xludf.DUMMYFUNCTION("GOOGLETRANSLATE(C87,""fr"",""en"")"),"I did not have a claim during the time when I was at Active Insurance but in renewal I was surprised to see her increase relative to her competitor. They were unable to negotiate on a reasonable basis, in fact the difference was so important that I had to"&amp;" leave hoping that the next insurance does not make the same mistake.")</f>
        <v>I did not have a claim during the time when I was at Active Insurance but in renewal I was surprised to see her increase relative to her competitor. They were unable to negotiate on a reasonable basis, in fact the difference was so important that I had to leave hoping that the next insurance does not make the same mistake.</v>
      </c>
    </row>
    <row r="88" spans="1:9" ht="15.75" customHeight="1" x14ac:dyDescent="0.3">
      <c r="A88" s="2">
        <v>2</v>
      </c>
      <c r="B88" s="2" t="s">
        <v>324</v>
      </c>
      <c r="C88" s="2" t="s">
        <v>325</v>
      </c>
      <c r="D88" s="2" t="s">
        <v>326</v>
      </c>
      <c r="E88" s="2" t="s">
        <v>14</v>
      </c>
      <c r="F88" s="2" t="s">
        <v>15</v>
      </c>
      <c r="G88" s="2" t="s">
        <v>327</v>
      </c>
      <c r="H88" s="2" t="s">
        <v>328</v>
      </c>
      <c r="I88" s="2" t="str">
        <f ca="1">IFERROR(__xludf.DUMMYFUNCTION("GOOGLETRANSLATE(C88,""fr"",""en"")"),"I was terminated for not sending the copy of the gray card according to their explanation.
As I sent it by simple mail and not by recommending I can not prove anything and he left me rolled 2 months without warning me")</f>
        <v>I was terminated for not sending the copy of the gray card according to their explanation.
As I sent it by simple mail and not by recommending I can not prove anything and he left me rolled 2 months without warning me</v>
      </c>
    </row>
    <row r="89" spans="1:9" ht="15.75" customHeight="1" x14ac:dyDescent="0.3">
      <c r="A89" s="2">
        <v>4</v>
      </c>
      <c r="B89" s="2" t="s">
        <v>329</v>
      </c>
      <c r="C89" s="2" t="s">
        <v>330</v>
      </c>
      <c r="D89" s="2" t="s">
        <v>190</v>
      </c>
      <c r="E89" s="2" t="s">
        <v>14</v>
      </c>
      <c r="F89" s="2" t="s">
        <v>15</v>
      </c>
      <c r="G89" s="2" t="s">
        <v>164</v>
      </c>
      <c r="H89" s="2" t="s">
        <v>30</v>
      </c>
      <c r="I89" s="2" t="str">
        <f ca="1">IFERROR(__xludf.DUMMYFUNCTION("GOOGLETRANSLATE(C89,""fr"",""en"")"),"Correct in terms of price
telephone assistance well
Well internet customer area
Agency well at relational and time.
What to say other than everything is good at GMF.
")</f>
        <v xml:space="preserve">Correct in terms of price
telephone assistance well
Well internet customer area
Agency well at relational and time.
What to say other than everything is good at GMF.
</v>
      </c>
    </row>
    <row r="90" spans="1:9" ht="15.75" customHeight="1" x14ac:dyDescent="0.3">
      <c r="A90" s="2">
        <v>2</v>
      </c>
      <c r="B90" s="2" t="s">
        <v>331</v>
      </c>
      <c r="C90" s="2" t="s">
        <v>332</v>
      </c>
      <c r="D90" s="2" t="s">
        <v>145</v>
      </c>
      <c r="E90" s="2" t="s">
        <v>129</v>
      </c>
      <c r="F90" s="2" t="s">
        <v>15</v>
      </c>
      <c r="G90" s="2" t="s">
        <v>333</v>
      </c>
      <c r="H90" s="2" t="s">
        <v>41</v>
      </c>
      <c r="I90" s="2" t="str">
        <f ca="1">IFERROR(__xludf.DUMMYFUNCTION("GOOGLETRANSLATE(C90,""fr"",""en"")"),"It is during the disaster that you will understand the incompetence of this insurer. In addition, agents do not apply the rates you can see on the internet.")</f>
        <v>It is during the disaster that you will understand the incompetence of this insurer. In addition, agents do not apply the rates you can see on the internet.</v>
      </c>
    </row>
    <row r="91" spans="1:9" ht="15.75" customHeight="1" x14ac:dyDescent="0.3">
      <c r="A91" s="2">
        <v>2</v>
      </c>
      <c r="B91" s="2" t="s">
        <v>334</v>
      </c>
      <c r="C91" s="2" t="s">
        <v>335</v>
      </c>
      <c r="D91" s="2" t="s">
        <v>136</v>
      </c>
      <c r="E91" s="2" t="s">
        <v>137</v>
      </c>
      <c r="F91" s="2" t="s">
        <v>15</v>
      </c>
      <c r="G91" s="2" t="s">
        <v>336</v>
      </c>
      <c r="H91" s="2" t="s">
        <v>83</v>
      </c>
      <c r="I91" s="2" t="str">
        <f ca="1">IFERROR(__xludf.DUMMYFUNCTION("GOOGLETRANSLATE(C91,""fr"",""en"")"),"Nullissime!
We go from Bourdes to Bourdes ... Despite the contractual documents, the monthly payments are taken from my personal account and the allowances paid on my professional account. A first request: nothing is done. A second: we solve the problem "&amp;"only for the retirement plan (by ensuring that the changes will be made for foresight and health). A third request: we only solve the problem for foresight. A fourth request: the movements on the accounts are finally just for the three contracts.
I am ma"&amp;"de to understand that it is my fault, I get angry, I am told that the contracts depend on different services which do not transfer the emails (the requests were however made via the online portal for each contract).
Obviously, each request takes a consid"&amp;"erable time ...
Today I need a situation statement and the service is temporarily unavailable ... for 48 hours. No one answers the phone, it must be said that it is 6:02 p.m. ...
RUN AWAY !")</f>
        <v>Nullissime!
We go from Bourdes to Bourdes ... Despite the contractual documents, the monthly payments are taken from my personal account and the allowances paid on my professional account. A first request: nothing is done. A second: we solve the problem only for the retirement plan (by ensuring that the changes will be made for foresight and health). A third request: we only solve the problem for foresight. A fourth request: the movements on the accounts are finally just for the three contracts.
I am made to understand that it is my fault, I get angry, I am told that the contracts depend on different services which do not transfer the emails (the requests were however made via the online portal for each contract).
Obviously, each request takes a considerable time ...
Today I need a situation statement and the service is temporarily unavailable ... for 48 hours. No one answers the phone, it must be said that it is 6:02 p.m. ...
RUN AWAY !</v>
      </c>
    </row>
    <row r="92" spans="1:9" ht="15.75" customHeight="1" x14ac:dyDescent="0.3">
      <c r="A92" s="2">
        <v>2</v>
      </c>
      <c r="B92" s="2" t="s">
        <v>337</v>
      </c>
      <c r="C92" s="2" t="s">
        <v>338</v>
      </c>
      <c r="D92" s="2" t="s">
        <v>259</v>
      </c>
      <c r="E92" s="2" t="s">
        <v>61</v>
      </c>
      <c r="F92" s="2" t="s">
        <v>15</v>
      </c>
      <c r="G92" s="2" t="s">
        <v>339</v>
      </c>
      <c r="H92" s="2" t="s">
        <v>256</v>
      </c>
      <c r="I92" s="2" t="str">
        <f ca="1">IFERROR(__xludf.DUMMYFUNCTION("GOOGLETRANSLATE(C92,""fr"",""en"")"),"My son has been trying for 4 months to collect a life insurance contract opened in his name by his mother GD to buy an apartment. The SG agency in charge of my agency SG does not obtain a response from SOGECAP; it is inadmissible.")</f>
        <v>My son has been trying for 4 months to collect a life insurance contract opened in his name by his mother GD to buy an apartment. The SG agency in charge of my agency SG does not obtain a response from SOGECAP; it is inadmissible.</v>
      </c>
    </row>
    <row r="93" spans="1:9" ht="15.75" customHeight="1" x14ac:dyDescent="0.3">
      <c r="A93" s="2">
        <v>1</v>
      </c>
      <c r="B93" s="2" t="s">
        <v>340</v>
      </c>
      <c r="C93" s="2" t="s">
        <v>341</v>
      </c>
      <c r="D93" s="2" t="s">
        <v>322</v>
      </c>
      <c r="E93" s="2" t="s">
        <v>14</v>
      </c>
      <c r="F93" s="2" t="s">
        <v>15</v>
      </c>
      <c r="G93" s="2" t="s">
        <v>342</v>
      </c>
      <c r="H93" s="2" t="s">
        <v>343</v>
      </c>
      <c r="I93" s="2" t="str">
        <f ca="1">IFERROR(__xludf.DUMMYFUNCTION("GOOGLETRANSLATE(C93,""fr"",""en"")"),"TO FLEE !!!
Do not take into account the terminations and mentions imaginary claims. Never the same person answers us, the letters sent to the headquarters must end directly in the trash")</f>
        <v>TO FLEE !!!
Do not take into account the terminations and mentions imaginary claims. Never the same person answers us, the letters sent to the headquarters must end directly in the trash</v>
      </c>
    </row>
    <row r="94" spans="1:9" ht="15.75" customHeight="1" x14ac:dyDescent="0.3">
      <c r="A94" s="2">
        <v>2</v>
      </c>
      <c r="B94" s="2" t="s">
        <v>344</v>
      </c>
      <c r="C94" s="2" t="s">
        <v>345</v>
      </c>
      <c r="D94" s="2" t="s">
        <v>13</v>
      </c>
      <c r="E94" s="2" t="s">
        <v>14</v>
      </c>
      <c r="F94" s="2" t="s">
        <v>15</v>
      </c>
      <c r="G94" s="2" t="s">
        <v>346</v>
      </c>
      <c r="H94" s="2" t="s">
        <v>347</v>
      </c>
      <c r="I94" s="2" t="str">
        <f ca="1">IFERROR(__xludf.DUMMYFUNCTION("GOOGLETRANSLATE(C94,""fr"",""en"")"),"Between the offer made on the Assurland site and the propo that you are given there is a significant price difference. We tell you on the phone that the Internet offer is made to bait the new customer and that the year after the price will be the same as "&amp;"the one I am offered")</f>
        <v>Between the offer made on the Assurland site and the propo that you are given there is a significant price difference. We tell you on the phone that the Internet offer is made to bait the new customer and that the year after the price will be the same as the one I am offered</v>
      </c>
    </row>
    <row r="95" spans="1:9" ht="15.75" customHeight="1" x14ac:dyDescent="0.3">
      <c r="A95" s="2">
        <v>5</v>
      </c>
      <c r="B95" s="2" t="s">
        <v>348</v>
      </c>
      <c r="C95" s="2" t="s">
        <v>349</v>
      </c>
      <c r="D95" s="2" t="s">
        <v>28</v>
      </c>
      <c r="E95" s="2" t="s">
        <v>14</v>
      </c>
      <c r="F95" s="2" t="s">
        <v>15</v>
      </c>
      <c r="G95" s="2" t="s">
        <v>350</v>
      </c>
      <c r="H95" s="2" t="s">
        <v>83</v>
      </c>
      <c r="I95" s="2" t="str">
        <f ca="1">IFERROR(__xludf.DUMMYFUNCTION("GOOGLETRANSLATE(C95,""fr"",""en"")"),"Very good responsiveness and support throughout the registration procedure. Very listening and receptive and efficient service advisor")</f>
        <v>Very good responsiveness and support throughout the registration procedure. Very listening and receptive and efficient service advisor</v>
      </c>
    </row>
    <row r="96" spans="1:9" ht="15.75" customHeight="1" x14ac:dyDescent="0.3">
      <c r="A96" s="2">
        <v>4</v>
      </c>
      <c r="B96" s="2" t="s">
        <v>351</v>
      </c>
      <c r="C96" s="2" t="s">
        <v>352</v>
      </c>
      <c r="D96" s="2" t="s">
        <v>190</v>
      </c>
      <c r="E96" s="2" t="s">
        <v>14</v>
      </c>
      <c r="F96" s="2" t="s">
        <v>15</v>
      </c>
      <c r="G96" s="2" t="s">
        <v>353</v>
      </c>
      <c r="H96" s="2" t="s">
        <v>354</v>
      </c>
      <c r="I96" s="2" t="str">
        <f ca="1">IFERROR(__xludf.DUMMYFUNCTION("GOOGLETRANSLATE(C96,""fr"",""en"")"),"We always criticize when it is not going well but for once I am so satisfied that I cannot allow insurance to be criticized whose advice saved me. Already at the signing of my contract I was extremely well advised (but I did not know it yet). I am noticed"&amp;" during the flight of my vehicle. Traumatized by this flight I contacted the GMF and its services in Besançon several times I had several interlocutors who were all very pleasant and very understandable. After all the mandatory procedures and procedures t"&amp;"he GMF M has reimbursed entirely without any problem within very reasonable deadlines. I have bought another vehicle and out of respect for these people I took up my insurance at home. And again, advised by a super competent correspondent.
I also wanted "&amp;"to say that I had already compared the prices with several insurances. And the differences were really tiny. Like what, sometimes even if they are sometimes more expensive (which was not the case for me) we sometimes avoid big concerns which are not welco"&amp;"me when we have a sinister
Thank you to the GMF staff")</f>
        <v>We always criticize when it is not going well but for once I am so satisfied that I cannot allow insurance to be criticized whose advice saved me. Already at the signing of my contract I was extremely well advised (but I did not know it yet). I am noticed during the flight of my vehicle. Traumatized by this flight I contacted the GMF and its services in Besançon several times I had several interlocutors who were all very pleasant and very understandable. After all the mandatory procedures and procedures the GMF M has reimbursed entirely without any problem within very reasonable deadlines. I have bought another vehicle and out of respect for these people I took up my insurance at home. And again, advised by a super competent correspondent.
I also wanted to say that I had already compared the prices with several insurances. And the differences were really tiny. Like what, sometimes even if they are sometimes more expensive (which was not the case for me) we sometimes avoid big concerns which are not welcome when we have a sinister
Thank you to the GMF staff</v>
      </c>
    </row>
    <row r="97" spans="1:9" ht="15.75" customHeight="1" x14ac:dyDescent="0.3">
      <c r="A97" s="2">
        <v>1</v>
      </c>
      <c r="B97" s="2" t="s">
        <v>355</v>
      </c>
      <c r="C97" s="2" t="s">
        <v>356</v>
      </c>
      <c r="D97" s="2" t="s">
        <v>28</v>
      </c>
      <c r="E97" s="2" t="s">
        <v>14</v>
      </c>
      <c r="F97" s="2" t="s">
        <v>15</v>
      </c>
      <c r="G97" s="2" t="s">
        <v>357</v>
      </c>
      <c r="H97" s="2" t="s">
        <v>286</v>
      </c>
      <c r="I97" s="2" t="str">
        <f ca="1">IFERROR(__xludf.DUMMYFUNCTION("GOOGLETRANSLATE(C97,""fr"",""en"")"),"In view of the comments that I have read, I strongly hope that the subsequent transmission of the breakdown of the breakage will lead to an end of direct debit immediately without a last sample for the road to fold ...
I was also entitled to a pricing in"&amp;"crease in the second year as well as another, after a move with parking on public roads during the fourth year, as important as the second year !!! They made a gesture and according to my findings I was simply entitled to a pricing in the continuity of my"&amp;" seniority. The following year, currently, too.
It would be a shame if I had to oppose and be overwhelmed by late penalty fees accompanied by a file for non-payment.
Even if there is a date on the document and a date of sending this document, you never "&amp;"know, the regularization of this type of problem could take some time.
The guarantees included in my contract does not equal the higher guarantees at ""one"" other insurer for a few hundred cheaper !!!")</f>
        <v>In view of the comments that I have read, I strongly hope that the subsequent transmission of the breakdown of the breakage will lead to an end of direct debit immediately without a last sample for the road to fold ...
I was also entitled to a pricing increase in the second year as well as another, after a move with parking on public roads during the fourth year, as important as the second year !!! They made a gesture and according to my findings I was simply entitled to a pricing in the continuity of my seniority. The following year, currently, too.
It would be a shame if I had to oppose and be overwhelmed by late penalty fees accompanied by a file for non-payment.
Even if there is a date on the document and a date of sending this document, you never know, the regularization of this type of problem could take some time.
The guarantees included in my contract does not equal the higher guarantees at "one" other insurer for a few hundred cheaper !!!</v>
      </c>
    </row>
    <row r="98" spans="1:9" ht="15.75" customHeight="1" x14ac:dyDescent="0.3">
      <c r="A98" s="2">
        <v>2</v>
      </c>
      <c r="B98" s="2" t="s">
        <v>358</v>
      </c>
      <c r="C98" s="2" t="s">
        <v>359</v>
      </c>
      <c r="D98" s="2" t="s">
        <v>13</v>
      </c>
      <c r="E98" s="2" t="s">
        <v>14</v>
      </c>
      <c r="F98" s="2" t="s">
        <v>15</v>
      </c>
      <c r="G98" s="2" t="s">
        <v>360</v>
      </c>
      <c r="H98" s="2" t="s">
        <v>361</v>
      </c>
      <c r="I98" s="2" t="str">
        <f ca="1">IFERROR(__xludf.DUMMYFUNCTION("GOOGLETRANSLATE(C98,""fr"",""en"")"),"Be careful, the loss or theft of keys is not covered. However, I took all of the existing guarantees (all risk and serenity pack) ...
Unfortunately, I lost my keys in a lake on vacation, and I heard myself say that it was not covered by my contract. I fo"&amp;"und myself 500 km from my home without keys, a closed car, with a family without assistance ...
In short, dissatisfied and I leave this insurance as quickly as possible. With Direct Insurance, it's cheaper but we know why.")</f>
        <v>Be careful, the loss or theft of keys is not covered. However, I took all of the existing guarantees (all risk and serenity pack) ...
Unfortunately, I lost my keys in a lake on vacation, and I heard myself say that it was not covered by my contract. I found myself 500 km from my home without keys, a closed car, with a family without assistance ...
In short, dissatisfied and I leave this insurance as quickly as possible. With Direct Insurance, it's cheaper but we know why.</v>
      </c>
    </row>
    <row r="99" spans="1:9" ht="15.75" customHeight="1" x14ac:dyDescent="0.3">
      <c r="A99" s="2">
        <v>5</v>
      </c>
      <c r="B99" s="2" t="s">
        <v>362</v>
      </c>
      <c r="C99" s="2" t="s">
        <v>363</v>
      </c>
      <c r="D99" s="2" t="s">
        <v>28</v>
      </c>
      <c r="E99" s="2" t="s">
        <v>14</v>
      </c>
      <c r="F99" s="2" t="s">
        <v>15</v>
      </c>
      <c r="G99" s="2" t="s">
        <v>364</v>
      </c>
      <c r="H99" s="2" t="s">
        <v>25</v>
      </c>
      <c r="I99" s="2" t="str">
        <f ca="1">IFERROR(__xludf.DUMMYFUNCTION("GOOGLETRANSLATE(C99,""fr"",""en"")"),"I am very satisfied with the service of the Olivier Insurance both in terms of prices and customer service. Everything is rather simple in general.")</f>
        <v>I am very satisfied with the service of the Olivier Insurance both in terms of prices and customer service. Everything is rather simple in general.</v>
      </c>
    </row>
    <row r="100" spans="1:9" ht="15.75" customHeight="1" x14ac:dyDescent="0.3">
      <c r="A100" s="2">
        <v>5</v>
      </c>
      <c r="B100" s="2" t="s">
        <v>365</v>
      </c>
      <c r="C100" s="2" t="s">
        <v>366</v>
      </c>
      <c r="D100" s="2" t="s">
        <v>13</v>
      </c>
      <c r="E100" s="2" t="s">
        <v>14</v>
      </c>
      <c r="F100" s="2" t="s">
        <v>15</v>
      </c>
      <c r="G100" s="2" t="s">
        <v>367</v>
      </c>
      <c r="H100" s="2" t="s">
        <v>248</v>
      </c>
      <c r="I100" s="2" t="str">
        <f ca="1">IFERROR(__xludf.DUMMYFUNCTION("GOOGLETRANSLATE(C100,""fr"",""en"")"),"It will be almost 2 years that I am at Direct Assurance. I am rather satisfied, I have never had a problem with them. Contract management is very good and our customer area allows us to do a lot in autonomy. I highly recommend direct insurance.")</f>
        <v>It will be almost 2 years that I am at Direct Assurance. I am rather satisfied, I have never had a problem with them. Contract management is very good and our customer area allows us to do a lot in autonomy. I highly recommend direct insurance.</v>
      </c>
    </row>
    <row r="101" spans="1:9" ht="15.75" customHeight="1" x14ac:dyDescent="0.3">
      <c r="A101" s="2">
        <v>4</v>
      </c>
      <c r="B101" s="2" t="s">
        <v>368</v>
      </c>
      <c r="C101" s="2" t="s">
        <v>369</v>
      </c>
      <c r="D101" s="2" t="s">
        <v>28</v>
      </c>
      <c r="E101" s="2" t="s">
        <v>14</v>
      </c>
      <c r="F101" s="2" t="s">
        <v>15</v>
      </c>
      <c r="G101" s="2" t="s">
        <v>370</v>
      </c>
      <c r="H101" s="2" t="s">
        <v>17</v>
      </c>
      <c r="I101" s="2" t="str">
        <f ca="1">IFERROR(__xludf.DUMMYFUNCTION("GOOGLETRANSLATE(C101,""fr"",""en"")"),"Very satisfied with the price and the TELEPHONIE contact excellent explanation very clear to recommend to my loved ones and my entourage. I thank you in advance")</f>
        <v>Very satisfied with the price and the TELEPHONIE contact excellent explanation very clear to recommend to my loved ones and my entourage. I thank you in advance</v>
      </c>
    </row>
    <row r="102" spans="1:9" ht="15.75" customHeight="1" x14ac:dyDescent="0.3">
      <c r="A102" s="2">
        <v>1</v>
      </c>
      <c r="B102" s="2" t="s">
        <v>371</v>
      </c>
      <c r="C102" s="2" t="s">
        <v>372</v>
      </c>
      <c r="D102" s="2" t="s">
        <v>326</v>
      </c>
      <c r="E102" s="2" t="s">
        <v>129</v>
      </c>
      <c r="F102" s="2" t="s">
        <v>15</v>
      </c>
      <c r="G102" s="2" t="s">
        <v>373</v>
      </c>
      <c r="H102" s="2" t="s">
        <v>374</v>
      </c>
      <c r="I102" s="2" t="str">
        <f ca="1">IFERROR(__xludf.DUMMYFUNCTION("GOOGLETRANSLATE(C102,""fr"",""en"")"),"Water damage: 01/03/2018
Expert visit: 02/05/2018
Expert report: 05/14/2018
Do not be in a hurry.
The expert meticulously dismantled the quotes of companies during the visit. AXA requests very precise information but their expert report returns an eva"&amp;"luation to the ladle, very underestimated. The sinister service is zero, it was I who explained to them as it was necessary to interpret the expert report.")</f>
        <v>Water damage: 01/03/2018
Expert visit: 02/05/2018
Expert report: 05/14/2018
Do not be in a hurry.
The expert meticulously dismantled the quotes of companies during the visit. AXA requests very precise information but their expert report returns an evaluation to the ladle, very underestimated. The sinister service is zero, it was I who explained to them as it was necessary to interpret the expert report.</v>
      </c>
    </row>
    <row r="103" spans="1:9" ht="15.75" customHeight="1" x14ac:dyDescent="0.3">
      <c r="A103" s="2">
        <v>4</v>
      </c>
      <c r="B103" s="2" t="s">
        <v>375</v>
      </c>
      <c r="C103" s="2" t="s">
        <v>376</v>
      </c>
      <c r="D103" s="2" t="s">
        <v>28</v>
      </c>
      <c r="E103" s="2" t="s">
        <v>14</v>
      </c>
      <c r="F103" s="2" t="s">
        <v>15</v>
      </c>
      <c r="G103" s="2" t="s">
        <v>377</v>
      </c>
      <c r="H103" s="2" t="s">
        <v>17</v>
      </c>
      <c r="I103" s="2" t="str">
        <f ca="1">IFERROR(__xludf.DUMMYFUNCTION("GOOGLETRANSLATE(C103,""fr"",""en"")"),"Good value for money, good responsiveness, good contact with customer managers. The olive insurance was able to be reactive in the event of a claim. Ras")</f>
        <v>Good value for money, good responsiveness, good contact with customer managers. The olive insurance was able to be reactive in the event of a claim. Ras</v>
      </c>
    </row>
    <row r="104" spans="1:9" ht="15.75" customHeight="1" x14ac:dyDescent="0.3">
      <c r="A104" s="2">
        <v>2</v>
      </c>
      <c r="B104" s="2" t="s">
        <v>378</v>
      </c>
      <c r="C104" s="2" t="s">
        <v>379</v>
      </c>
      <c r="D104" s="2" t="s">
        <v>145</v>
      </c>
      <c r="E104" s="2" t="s">
        <v>129</v>
      </c>
      <c r="F104" s="2" t="s">
        <v>15</v>
      </c>
      <c r="G104" s="2" t="s">
        <v>380</v>
      </c>
      <c r="H104" s="2" t="s">
        <v>381</v>
      </c>
      <c r="I104" s="2" t="str">
        <f ca="1">IFERROR(__xludf.DUMMYFUNCTION("GOOGLETRANSLATE(C104,""fr"",""en"")"),"The works service is unable to repair my broken tile and my component following my burglary on March 6. Live in the dark for 6 weeks with the fear of a new burglary thank you the maaf !!!")</f>
        <v>The works service is unable to repair my broken tile and my component following my burglary on March 6. Live in the dark for 6 weeks with the fear of a new burglary thank you the maaf !!!</v>
      </c>
    </row>
    <row r="105" spans="1:9" ht="15.75" customHeight="1" x14ac:dyDescent="0.3">
      <c r="A105" s="2">
        <v>1</v>
      </c>
      <c r="B105" s="2" t="s">
        <v>382</v>
      </c>
      <c r="C105" s="2" t="s">
        <v>383</v>
      </c>
      <c r="D105" s="2" t="s">
        <v>322</v>
      </c>
      <c r="E105" s="2" t="s">
        <v>14</v>
      </c>
      <c r="F105" s="2" t="s">
        <v>15</v>
      </c>
      <c r="G105" s="2" t="s">
        <v>384</v>
      </c>
      <c r="H105" s="2" t="s">
        <v>385</v>
      </c>
      <c r="I105" s="2" t="str">
        <f ca="1">IFERROR(__xludf.DUMMYFUNCTION("GOOGLETRANSLATE(C105,""fr"",""en"")"),"a largely avoid I take out insurance today
I cannot download the certificate on their site because the site and in beta impossible to connect to my account I have called the surprise customer service we cannot send you the certificate by email because it"&amp;" is on Saturday if you Can not be held a customer on a Saturday sudden Saturday I cannot go work a lost work day call it too expensive 0.80 cent a minute I stay 30 minutes on hold it is the flight I file a complaint for the engine research les ferrets.com"&amp;" too because he is the manager")</f>
        <v>a largely avoid I take out insurance today
I cannot download the certificate on their site because the site and in beta impossible to connect to my account I have called the surprise customer service we cannot send you the certificate by email because it is on Saturday if you Can not be held a customer on a Saturday sudden Saturday I cannot go work a lost work day call it too expensive 0.80 cent a minute I stay 30 minutes on hold it is the flight I file a complaint for the engine research les ferrets.com too because he is the manager</v>
      </c>
    </row>
    <row r="106" spans="1:9" ht="15.75" customHeight="1" x14ac:dyDescent="0.3">
      <c r="A106" s="2">
        <v>1</v>
      </c>
      <c r="B106" s="2" t="s">
        <v>386</v>
      </c>
      <c r="C106" s="2" t="s">
        <v>387</v>
      </c>
      <c r="D106" s="2" t="s">
        <v>55</v>
      </c>
      <c r="E106" s="2" t="s">
        <v>39</v>
      </c>
      <c r="F106" s="2" t="s">
        <v>15</v>
      </c>
      <c r="G106" s="2" t="s">
        <v>388</v>
      </c>
      <c r="H106" s="2" t="s">
        <v>389</v>
      </c>
      <c r="I106" s="2" t="str">
        <f ca="1">IFERROR(__xludf.DUMMYFUNCTION("GOOGLETRANSLATE(C106,""fr"",""en"")"),"Impossible to reach them by phone, endless waiting. Customer area does not work, so it is impossible to have a validation of quote. Just horror. Paying number in addition!")</f>
        <v>Impossible to reach them by phone, endless waiting. Customer area does not work, so it is impossible to have a validation of quote. Just horror. Paying number in addition!</v>
      </c>
    </row>
    <row r="107" spans="1:9" ht="15.75" customHeight="1" x14ac:dyDescent="0.3">
      <c r="A107" s="2">
        <v>5</v>
      </c>
      <c r="B107" s="2" t="s">
        <v>390</v>
      </c>
      <c r="C107" s="2" t="s">
        <v>391</v>
      </c>
      <c r="D107" s="2" t="s">
        <v>13</v>
      </c>
      <c r="E107" s="2" t="s">
        <v>14</v>
      </c>
      <c r="F107" s="2" t="s">
        <v>15</v>
      </c>
      <c r="G107" s="2" t="s">
        <v>370</v>
      </c>
      <c r="H107" s="2" t="s">
        <v>17</v>
      </c>
      <c r="I107" s="2" t="str">
        <f ca="1">IFERROR(__xludf.DUMMYFUNCTION("GOOGLETRANSLATE(C107,""fr"",""en"")"),"Satisfied Super Service Customer Insurance Cheap Perfect I am satisfied with Direct Insurance It is very good insurance thank you for your responsiveness I am completely satisfied")</f>
        <v>Satisfied Super Service Customer Insurance Cheap Perfect I am satisfied with Direct Insurance It is very good insurance thank you for your responsiveness I am completely satisfied</v>
      </c>
    </row>
    <row r="108" spans="1:9" ht="15.75" customHeight="1" x14ac:dyDescent="0.3">
      <c r="A108" s="2">
        <v>1</v>
      </c>
      <c r="B108" s="2" t="s">
        <v>392</v>
      </c>
      <c r="C108" s="2" t="s">
        <v>393</v>
      </c>
      <c r="D108" s="2" t="s">
        <v>394</v>
      </c>
      <c r="E108" s="2" t="s">
        <v>129</v>
      </c>
      <c r="F108" s="2" t="s">
        <v>15</v>
      </c>
      <c r="G108" s="2" t="s">
        <v>395</v>
      </c>
      <c r="H108" s="2" t="s">
        <v>83</v>
      </c>
      <c r="I108" s="2" t="str">
        <f ca="1">IFERROR(__xludf.DUMMYFUNCTION("GOOGLETRANSLATE(C108,""fr"",""en"")"),"Insurer present to collect the subscription but absent when you need him.
If you like to wait 30 min on vocal discs to get you hanging up or never having answers to your email then subscribe Sogessur, you will be served.
Other than that, insurer not ser"&amp;"ious, to flee absolutely.")</f>
        <v>Insurer present to collect the subscription but absent when you need him.
If you like to wait 30 min on vocal discs to get you hanging up or never having answers to your email then subscribe Sogessur, you will be served.
Other than that, insurer not serious, to flee absolutely.</v>
      </c>
    </row>
    <row r="109" spans="1:9" ht="15.75" customHeight="1" x14ac:dyDescent="0.3">
      <c r="A109" s="2">
        <v>3</v>
      </c>
      <c r="B109" s="2" t="s">
        <v>396</v>
      </c>
      <c r="C109" s="2" t="s">
        <v>397</v>
      </c>
      <c r="D109" s="2" t="s">
        <v>326</v>
      </c>
      <c r="E109" s="2" t="s">
        <v>14</v>
      </c>
      <c r="F109" s="2" t="s">
        <v>15</v>
      </c>
      <c r="G109" s="2" t="s">
        <v>398</v>
      </c>
      <c r="H109" s="2" t="s">
        <v>224</v>
      </c>
      <c r="I109" s="2" t="str">
        <f ca="1">IFERROR(__xludf.DUMMYFUNCTION("GOOGLETRANSLATE(C109,""fr"",""en"")"),"I pay my insurance bill every year and am as a bonus. I often hear that AXA is a bad payer, also for the voltage fire insurance, but did not check it. I am also insured at AXA for my Fire Fool and Family RC Police 811 577 017 and I notice that the competi"&amp;"tion is currently cheaper and am in the process of putting my choices in question.
 I did money also at AXA.")</f>
        <v>I pay my insurance bill every year and am as a bonus. I often hear that AXA is a bad payer, also for the voltage fire insurance, but did not check it. I am also insured at AXA for my Fire Fool and Family RC Police 811 577 017 and I notice that the competition is currently cheaper and am in the process of putting my choices in question.
 I did money also at AXA.</v>
      </c>
    </row>
    <row r="110" spans="1:9" ht="15.75" customHeight="1" x14ac:dyDescent="0.3">
      <c r="A110" s="2">
        <v>1</v>
      </c>
      <c r="B110" s="2" t="s">
        <v>399</v>
      </c>
      <c r="C110" s="2" t="s">
        <v>400</v>
      </c>
      <c r="D110" s="2" t="s">
        <v>310</v>
      </c>
      <c r="E110" s="2" t="s">
        <v>14</v>
      </c>
      <c r="F110" s="2" t="s">
        <v>15</v>
      </c>
      <c r="G110" s="2" t="s">
        <v>401</v>
      </c>
      <c r="H110" s="2" t="s">
        <v>232</v>
      </c>
      <c r="I110" s="2" t="str">
        <f ca="1">IFERROR(__xludf.DUMMYFUNCTION("GOOGLETRANSLATE(C110,""fr"",""en"")"),"Interesting insurance more and more ...
I ask for information to know if I buy a vehicle and later I give it to my young permit daughter, it is possible.
The young woman answers me with annoyance that not following a serious disaster young license, it i"&amp;"s no longer done with them and that if I plan to do that, I would not be insured at home because I will make them waste administratively :)
So it's simple, I'm going to find youth assurance permits and I will turn my Eurofil contracts
Content Eurofil, a"&amp;" customer of 10 years less")</f>
        <v>Interesting insurance more and more ...
I ask for information to know if I buy a vehicle and later I give it to my young permit daughter, it is possible.
The young woman answers me with annoyance that not following a serious disaster young license, it is no longer done with them and that if I plan to do that, I would not be insured at home because I will make them waste administratively :)
So it's simple, I'm going to find youth assurance permits and I will turn my Eurofil contracts
Content Eurofil, a customer of 10 years less</v>
      </c>
    </row>
    <row r="111" spans="1:9" ht="15.75" customHeight="1" x14ac:dyDescent="0.3">
      <c r="A111" s="2">
        <v>2</v>
      </c>
      <c r="B111" s="2" t="s">
        <v>402</v>
      </c>
      <c r="C111" s="2" t="s">
        <v>403</v>
      </c>
      <c r="D111" s="2" t="s">
        <v>28</v>
      </c>
      <c r="E111" s="2" t="s">
        <v>14</v>
      </c>
      <c r="F111" s="2" t="s">
        <v>15</v>
      </c>
      <c r="G111" s="2" t="s">
        <v>404</v>
      </c>
      <c r="H111" s="2" t="s">
        <v>67</v>
      </c>
      <c r="I111" s="2" t="str">
        <f ca="1">IFERROR(__xludf.DUMMYFUNCTION("GOOGLETRANSLATE(C111,""fr"",""en"")"),"Cruel lack of professionalism and communication between advisers.
Auto insurance subscribed on 07/05 terminated by the insurer on 05/05.
I spent 1:30 on the phone explaining to the advisor that I wanted to ensure my vehicle for professional trips, this "&amp;"one assured me that it was doable. Two days later, the olive tree reminds me of terminating my insurance because they do not cover this type of journey.
Except that, I paid all during my subscription is practically 400 euros. The olive tree refuses to re"&amp;"imburse me all (it is however a lack of professionalism on their part, I have nothing to do with it ...) and in addition to that, I learn that I also have paid for opening costs up to 36 euros of which I was not aware and which will not be reimbursed to m"&amp;"e.
So, for having been ""insured"" with them 2 days, I pay 50 euros.
I call it: steaper.")</f>
        <v>Cruel lack of professionalism and communication between advisers.
Auto insurance subscribed on 07/05 terminated by the insurer on 05/05.
I spent 1:30 on the phone explaining to the advisor that I wanted to ensure my vehicle for professional trips, this one assured me that it was doable. Two days later, the olive tree reminds me of terminating my insurance because they do not cover this type of journey.
Except that, I paid all during my subscription is practically 400 euros. The olive tree refuses to reimburse me all (it is however a lack of professionalism on their part, I have nothing to do with it ...) and in addition to that, I learn that I also have paid for opening costs up to 36 euros of which I was not aware and which will not be reimbursed to me.
So, for having been "insured" with them 2 days, I pay 50 euros.
I call it: steaper.</v>
      </c>
    </row>
    <row r="112" spans="1:9" ht="15.75" customHeight="1" x14ac:dyDescent="0.3">
      <c r="A112" s="2">
        <v>5</v>
      </c>
      <c r="B112" s="2" t="s">
        <v>405</v>
      </c>
      <c r="C112" s="2" t="s">
        <v>406</v>
      </c>
      <c r="D112" s="2" t="s">
        <v>80</v>
      </c>
      <c r="E112" s="2" t="s">
        <v>81</v>
      </c>
      <c r="F112" s="2" t="s">
        <v>15</v>
      </c>
      <c r="G112" s="2" t="s">
        <v>268</v>
      </c>
      <c r="H112" s="2" t="s">
        <v>111</v>
      </c>
      <c r="I112" s="2" t="str">
        <f ca="1">IFERROR(__xludf.DUMMYFUNCTION("GOOGLETRANSLATE(C112,""fr"",""en"")"),"Very correct price compared to other insurance companies, with the same guarantees. Fast and efficient advisor. I recommend for bikers.")</f>
        <v>Very correct price compared to other insurance companies, with the same guarantees. Fast and efficient advisor. I recommend for bikers.</v>
      </c>
    </row>
    <row r="113" spans="1:9" ht="15.75" customHeight="1" x14ac:dyDescent="0.3">
      <c r="A113" s="2">
        <v>3</v>
      </c>
      <c r="B113" s="2" t="s">
        <v>407</v>
      </c>
      <c r="C113" s="2" t="s">
        <v>408</v>
      </c>
      <c r="D113" s="2" t="s">
        <v>326</v>
      </c>
      <c r="E113" s="2" t="s">
        <v>81</v>
      </c>
      <c r="F113" s="2" t="s">
        <v>15</v>
      </c>
      <c r="G113" s="2" t="s">
        <v>409</v>
      </c>
      <c r="H113" s="2" t="s">
        <v>25</v>
      </c>
      <c r="I113" s="2" t="str">
        <f ca="1">IFERROR(__xludf.DUMMYFUNCTION("GOOGLETRANSLATE(C113,""fr"",""en"")"),"Very happy with AXA so far, but today I have some doubts in fact several small details which has just occurred forces me to become more vigilant has small detail on AXA
1) I have just made the purchase of an electric scooter 125 in an electric motorcycle"&amp;" concession in support, I attach my insurer who for 20 years has almost never heard of me, asks him temporary insurance Traveling of this Dis Vehicle to the Seller and vehicle manufacturer (20 km of journey be insured temporarily 1 hour in order to carry "&amp;"out a strict control) before the insured definitively (I work at the vehicle manufacturer proper to the posts Operator editor in electric vehicle) I took almost 1 week to succeed in Prouvé has good faith, gathering the requested documents and after 5 emai"&amp;"l finally to be the so hoped for knowing that I already have a scooter 125 insured with them
2) This is not a goodwill to put the traveling simplicity to my 20 years loyalty at AXA I still asked them for a scent quote (I work in) that an electric vehicle"&amp;" costs half as expensive in Insurance at almost all insurers in France and well not at AXA he doesn't care I'm still 50 euros more expensive than my thermal scooter insurance
So you can imagine what I can think of this kind of commercial practice
For pu"&amp;"re pleasure to answer you I attach my email address to you in case you have some doubts about different claims that I was able to mention
Friendly
")</f>
        <v xml:space="preserve">Very happy with AXA so far, but today I have some doubts in fact several small details which has just occurred forces me to become more vigilant has small detail on AXA
1) I have just made the purchase of an electric scooter 125 in an electric motorcycle concession in support, I attach my insurer who for 20 years has almost never heard of me, asks him temporary insurance Traveling of this Dis Vehicle to the Seller and vehicle manufacturer (20 km of journey be insured temporarily 1 hour in order to carry out a strict control) before the insured definitively (I work at the vehicle manufacturer proper to the posts Operator editor in electric vehicle) I took almost 1 week to succeed in Prouvé has good faith, gathering the requested documents and after 5 email finally to be the so hoped for knowing that I already have a scooter 125 insured with them
2) This is not a goodwill to put the traveling simplicity to my 20 years loyalty at AXA I still asked them for a scent quote (I work in) that an electric vehicle costs half as expensive in Insurance at almost all insurers in France and well not at AXA he doesn't care I'm still 50 euros more expensive than my thermal scooter insurance
So you can imagine what I can think of this kind of commercial practice
For pure pleasure to answer you I attach my email address to you in case you have some doubts about different claims that I was able to mention
Friendly
</v>
      </c>
    </row>
    <row r="114" spans="1:9" ht="15.75" customHeight="1" x14ac:dyDescent="0.3">
      <c r="A114" s="2">
        <v>1</v>
      </c>
      <c r="B114" s="2" t="s">
        <v>410</v>
      </c>
      <c r="C114" s="2" t="s">
        <v>411</v>
      </c>
      <c r="D114" s="2" t="s">
        <v>412</v>
      </c>
      <c r="E114" s="2" t="s">
        <v>39</v>
      </c>
      <c r="F114" s="2" t="s">
        <v>15</v>
      </c>
      <c r="G114" s="2" t="s">
        <v>413</v>
      </c>
      <c r="H114" s="2" t="s">
        <v>414</v>
      </c>
      <c r="I114" s="2" t="str">
        <f ca="1">IFERROR(__xludf.DUMMYFUNCTION("GOOGLETRANSLATE(C114,""fr"",""en"")"),"Soon 2 months that I await a refund, the emails are without follow -up.
I called 3 times, 3 times they tell me that they take care of it but nothing.
I was thinking of re -registering with them once my contract is finished but there it will be complic"&amp;"ated.")</f>
        <v>Soon 2 months that I await a refund, the emails are without follow -up.
I called 3 times, 3 times they tell me that they take care of it but nothing.
I was thinking of re -registering with them once my contract is finished but there it will be complicated.</v>
      </c>
    </row>
    <row r="115" spans="1:9" ht="15.75" customHeight="1" x14ac:dyDescent="0.3">
      <c r="A115" s="2">
        <v>4</v>
      </c>
      <c r="B115" s="2" t="s">
        <v>415</v>
      </c>
      <c r="C115" s="2" t="s">
        <v>416</v>
      </c>
      <c r="D115" s="2" t="s">
        <v>28</v>
      </c>
      <c r="E115" s="2" t="s">
        <v>14</v>
      </c>
      <c r="F115" s="2" t="s">
        <v>15</v>
      </c>
      <c r="G115" s="2" t="s">
        <v>417</v>
      </c>
      <c r="H115" s="2" t="s">
        <v>30</v>
      </c>
      <c r="I115" s="2" t="str">
        <f ca="1">IFERROR(__xludf.DUMMYFUNCTION("GOOGLETRANSLATE(C115,""fr"",""en"")"),"I am satisfied with the service The services offered are very interesting, the advisor was very good and explained everything to me I would recommend.")</f>
        <v>I am satisfied with the service The services offered are very interesting, the advisor was very good and explained everything to me I would recommend.</v>
      </c>
    </row>
    <row r="116" spans="1:9" ht="15.75" customHeight="1" x14ac:dyDescent="0.3">
      <c r="A116" s="2">
        <v>3</v>
      </c>
      <c r="B116" s="2" t="s">
        <v>418</v>
      </c>
      <c r="C116" s="2" t="s">
        <v>419</v>
      </c>
      <c r="D116" s="2" t="s">
        <v>13</v>
      </c>
      <c r="E116" s="2" t="s">
        <v>14</v>
      </c>
      <c r="F116" s="2" t="s">
        <v>15</v>
      </c>
      <c r="G116" s="2" t="s">
        <v>420</v>
      </c>
      <c r="H116" s="2" t="s">
        <v>17</v>
      </c>
      <c r="I116" s="2" t="str">
        <f ca="1">IFERROR(__xludf.DUMMYFUNCTION("GOOGLETRANSLATE(C116,""fr"",""en"")"),"Hello I am satisfied with your service at the moment does not change my mind the price and correct the rest I will discover it and I hope not to be disappointed")</f>
        <v>Hello I am satisfied with your service at the moment does not change my mind the price and correct the rest I will discover it and I hope not to be disappointed</v>
      </c>
    </row>
    <row r="117" spans="1:9" ht="15.75" customHeight="1" x14ac:dyDescent="0.3">
      <c r="A117" s="2">
        <v>1</v>
      </c>
      <c r="B117" s="2" t="s">
        <v>421</v>
      </c>
      <c r="C117" s="2" t="s">
        <v>422</v>
      </c>
      <c r="D117" s="2" t="s">
        <v>89</v>
      </c>
      <c r="E117" s="2" t="s">
        <v>39</v>
      </c>
      <c r="F117" s="2" t="s">
        <v>15</v>
      </c>
      <c r="G117" s="2" t="s">
        <v>423</v>
      </c>
      <c r="H117" s="2" t="s">
        <v>52</v>
      </c>
      <c r="I117" s="2" t="str">
        <f ca="1">IFERROR(__xludf.DUMMYFUNCTION("GOOGLETRANSLATE(C117,""fr"",""en"")"),"Impossible to reach this mutual
What an idea of ​​having adhered to this STE who really does not fulfill his homework!
No reimbursement and the one who made me my contract is absent subscribers!")</f>
        <v>Impossible to reach this mutual
What an idea of ​​having adhered to this STE who really does not fulfill his homework!
No reimbursement and the one who made me my contract is absent subscribers!</v>
      </c>
    </row>
    <row r="118" spans="1:9" ht="15.75" customHeight="1" x14ac:dyDescent="0.3">
      <c r="A118" s="2">
        <v>4</v>
      </c>
      <c r="B118" s="2" t="s">
        <v>424</v>
      </c>
      <c r="C118" s="2" t="s">
        <v>425</v>
      </c>
      <c r="D118" s="2" t="s">
        <v>190</v>
      </c>
      <c r="E118" s="2" t="s">
        <v>14</v>
      </c>
      <c r="F118" s="2" t="s">
        <v>15</v>
      </c>
      <c r="G118" s="2" t="s">
        <v>377</v>
      </c>
      <c r="H118" s="2" t="s">
        <v>17</v>
      </c>
      <c r="I118" s="2" t="str">
        <f ca="1">IFERROR(__xludf.DUMMYFUNCTION("GOOGLETRANSLATE(C118,""fr"",""en"")"),"Satisfied with services and ease of contact/ management
Conditions clarity
competitive rates // to other offers
 Solicitation of benevolent and non -intrusive advisers")</f>
        <v>Satisfied with services and ease of contact/ management
Conditions clarity
competitive rates // to other offers
 Solicitation of benevolent and non -intrusive advisers</v>
      </c>
    </row>
    <row r="119" spans="1:9" ht="15.75" customHeight="1" x14ac:dyDescent="0.3">
      <c r="A119" s="2">
        <v>1</v>
      </c>
      <c r="B119" s="2" t="s">
        <v>426</v>
      </c>
      <c r="C119" s="2" t="s">
        <v>427</v>
      </c>
      <c r="D119" s="2" t="s">
        <v>65</v>
      </c>
      <c r="E119" s="2" t="s">
        <v>14</v>
      </c>
      <c r="F119" s="2" t="s">
        <v>15</v>
      </c>
      <c r="G119" s="2" t="s">
        <v>428</v>
      </c>
      <c r="H119" s="2" t="s">
        <v>354</v>
      </c>
      <c r="I119" s="2" t="str">
        <f ca="1">IFERROR(__xludf.DUMMYFUNCTION("GOOGLETRANSLATE(C119,""fr"",""en"")"),"Still not repay for 8 months for a simple hanging on my class A. Which I do not follow in wrong, the garage debit the amount of € 3,900 is allianz tjr nothing I engage a procedure with shame and interest I advise you not to subscribe to them.")</f>
        <v>Still not repay for 8 months for a simple hanging on my class A. Which I do not follow in wrong, the garage debit the amount of € 3,900 is allianz tjr nothing I engage a procedure with shame and interest I advise you not to subscribe to them.</v>
      </c>
    </row>
    <row r="120" spans="1:9" ht="15.75" customHeight="1" x14ac:dyDescent="0.3">
      <c r="A120" s="2">
        <v>1</v>
      </c>
      <c r="B120" s="2" t="s">
        <v>429</v>
      </c>
      <c r="C120" s="2" t="s">
        <v>430</v>
      </c>
      <c r="D120" s="2" t="s">
        <v>65</v>
      </c>
      <c r="E120" s="2" t="s">
        <v>129</v>
      </c>
      <c r="F120" s="2" t="s">
        <v>15</v>
      </c>
      <c r="G120" s="2" t="s">
        <v>431</v>
      </c>
      <c r="H120" s="2" t="s">
        <v>236</v>
      </c>
      <c r="I120" s="2" t="str">
        <f ca="1">IFERROR(__xludf.DUMMYFUNCTION("GOOGLETRANSLATE(C120,""fr"",""en"")"),"Lavable, incompetent! Your contract number is unknown after 15 years! Impossible to adjust by CB! The Middle Ages and again! Their number of such on the residential maturity is that of self -claims! Real charlots !! In the event of a claim I don't even da"&amp;"re to think about it! And the complaint service on the site is broken! A shame! Allianz is a breakdown !!")</f>
        <v>Lavable, incompetent! Your contract number is unknown after 15 years! Impossible to adjust by CB! The Middle Ages and again! Their number of such on the residential maturity is that of self -claims! Real charlots !! In the event of a claim I don't even dare to think about it! And the complaint service on the site is broken! A shame! Allianz is a breakdown !!</v>
      </c>
    </row>
    <row r="121" spans="1:9" ht="15.75" customHeight="1" x14ac:dyDescent="0.3">
      <c r="A121" s="2">
        <v>3</v>
      </c>
      <c r="B121" s="2" t="s">
        <v>432</v>
      </c>
      <c r="C121" s="2" t="s">
        <v>433</v>
      </c>
      <c r="D121" s="2" t="s">
        <v>80</v>
      </c>
      <c r="E121" s="2" t="s">
        <v>81</v>
      </c>
      <c r="F121" s="2" t="s">
        <v>15</v>
      </c>
      <c r="G121" s="2" t="s">
        <v>434</v>
      </c>
      <c r="H121" s="2" t="s">
        <v>111</v>
      </c>
      <c r="I121" s="2" t="str">
        <f ca="1">IFERROR(__xludf.DUMMYFUNCTION("GOOGLETRANSLATE(C121,""fr"",""en"")"),"Very fast subscription, the information is succulent but clear. Response from an effective advisor in the minutes that followed my quote. I was able to subscribe for immediate effects.
")</f>
        <v xml:space="preserve">Very fast subscription, the information is succulent but clear. Response from an effective advisor in the minutes that followed my quote. I was able to subscribe for immediate effects.
</v>
      </c>
    </row>
    <row r="122" spans="1:9" ht="15.75" customHeight="1" x14ac:dyDescent="0.3">
      <c r="A122" s="2">
        <v>5</v>
      </c>
      <c r="B122" s="2" t="s">
        <v>435</v>
      </c>
      <c r="C122" s="2" t="s">
        <v>436</v>
      </c>
      <c r="D122" s="2" t="s">
        <v>28</v>
      </c>
      <c r="E122" s="2" t="s">
        <v>14</v>
      </c>
      <c r="F122" s="2" t="s">
        <v>15</v>
      </c>
      <c r="G122" s="2" t="s">
        <v>121</v>
      </c>
      <c r="H122" s="2" t="s">
        <v>21</v>
      </c>
      <c r="I122" s="2" t="str">
        <f ca="1">IFERROR(__xludf.DUMMYFUNCTION("GOOGLETRANSLATE(C122,""fr"",""en"")"),"Excellent value for money and customer service is fast and efficient. I hope this opinion will be confirmed if by chance, a disaster was to arrive.")</f>
        <v>Excellent value for money and customer service is fast and efficient. I hope this opinion will be confirmed if by chance, a disaster was to arrive.</v>
      </c>
    </row>
    <row r="123" spans="1:9" ht="15.75" customHeight="1" x14ac:dyDescent="0.3">
      <c r="A123" s="2">
        <v>5</v>
      </c>
      <c r="B123" s="2" t="s">
        <v>437</v>
      </c>
      <c r="C123" s="2" t="s">
        <v>438</v>
      </c>
      <c r="D123" s="2" t="s">
        <v>80</v>
      </c>
      <c r="E123" s="2" t="s">
        <v>81</v>
      </c>
      <c r="F123" s="2" t="s">
        <v>15</v>
      </c>
      <c r="G123" s="2" t="s">
        <v>350</v>
      </c>
      <c r="H123" s="2" t="s">
        <v>83</v>
      </c>
      <c r="I123" s="2" t="str">
        <f ca="1">IFERROR(__xludf.DUMMYFUNCTION("GOOGLETRANSLATE(C123,""fr"",""en"")"),"Nickel and fast I highly recommend this insurance I found them thanks to a research forum and I have already been insured before and I have never had any worries")</f>
        <v>Nickel and fast I highly recommend this insurance I found them thanks to a research forum and I have already been insured before and I have never had any worries</v>
      </c>
    </row>
    <row r="124" spans="1:9" ht="15.75" customHeight="1" x14ac:dyDescent="0.3">
      <c r="A124" s="2">
        <v>1</v>
      </c>
      <c r="B124" s="2" t="s">
        <v>439</v>
      </c>
      <c r="C124" s="2" t="s">
        <v>440</v>
      </c>
      <c r="D124" s="2" t="s">
        <v>38</v>
      </c>
      <c r="E124" s="2" t="s">
        <v>39</v>
      </c>
      <c r="F124" s="2" t="s">
        <v>15</v>
      </c>
      <c r="G124" s="2" t="s">
        <v>441</v>
      </c>
      <c r="H124" s="2" t="s">
        <v>442</v>
      </c>
      <c r="I124" s="2" t="str">
        <f ca="1">IFERROR(__xludf.DUMMYFUNCTION("GOOGLETRANSLATE(C124,""fr"",""en"")"),"A mutual with unscrupulous approvals of impossible terminations, a nothingness of fleeing these people as long as it is not too late because it will be a obstacle course to leave them without them having deported you of little money than 'you still have")</f>
        <v>A mutual with unscrupulous approvals of impossible terminations, a nothingness of fleeing these people as long as it is not too late because it will be a obstacle course to leave them without them having deported you of little money than 'you still have</v>
      </c>
    </row>
    <row r="125" spans="1:9" ht="15.75" customHeight="1" x14ac:dyDescent="0.3">
      <c r="A125" s="2">
        <v>1</v>
      </c>
      <c r="B125" s="2" t="s">
        <v>443</v>
      </c>
      <c r="C125" s="2" t="s">
        <v>444</v>
      </c>
      <c r="D125" s="2" t="s">
        <v>145</v>
      </c>
      <c r="E125" s="2" t="s">
        <v>14</v>
      </c>
      <c r="F125" s="2" t="s">
        <v>15</v>
      </c>
      <c r="G125" s="2" t="s">
        <v>350</v>
      </c>
      <c r="H125" s="2" t="s">
        <v>83</v>
      </c>
      <c r="I125" s="2" t="str">
        <f ca="1">IFERROR(__xludf.DUMMYFUNCTION("GOOGLETRANSLATE(C125,""fr"",""en"")"),"Insurance company to flee absolutely,
If you want penalties for no valid reason and without any expertise, go for it.
No listening to their customers.
Damage, 5 insurance subscriptions at home.
But quality of service and professionalism are not valu"&amp;"es ​​that they obviously know.
After several telephone interviews with other insurance companies, I wonder why I did not start from the MAAF.
To the Enreheur,
Jessy")</f>
        <v>Insurance company to flee absolutely,
If you want penalties for no valid reason and without any expertise, go for it.
No listening to their customers.
Damage, 5 insurance subscriptions at home.
But quality of service and professionalism are not values ​​that they obviously know.
After several telephone interviews with other insurance companies, I wonder why I did not start from the MAAF.
To the Enreheur,
Jessy</v>
      </c>
    </row>
    <row r="126" spans="1:9" ht="15.75" customHeight="1" x14ac:dyDescent="0.3">
      <c r="A126" s="2">
        <v>1</v>
      </c>
      <c r="B126" s="2" t="s">
        <v>445</v>
      </c>
      <c r="C126" s="2" t="s">
        <v>446</v>
      </c>
      <c r="D126" s="2" t="s">
        <v>13</v>
      </c>
      <c r="E126" s="2" t="s">
        <v>14</v>
      </c>
      <c r="F126" s="2" t="s">
        <v>15</v>
      </c>
      <c r="G126" s="2" t="s">
        <v>447</v>
      </c>
      <c r="H126" s="2" t="s">
        <v>448</v>
      </c>
      <c r="I126" s="2" t="str">
        <f ca="1">IFERROR(__xludf.DUMMYFUNCTION("GOOGLETRANSLATE(C126,""fr"",""en"")"),"This insurer really leaves something to be desired. You think you are insured until you really need them and there is another story. For the record I declared a disaster (460950656), I discovered parking my car with the packed door and without knowing wha"&amp;"t had happened I think of someone who returned to me parking. .. the expert passes and says that I may be scraped without realizing it
Result: rather than putting myself a penalty, the insurance did not want to take care of this disaster and I must ful"&amp;"ly take over a disaster while I am assured all risk and that I myself called them for Tell them to respect what the expert said and put me in the penalty. I find this situation unacceptable and I hope that this comment will dissuade future customers from "&amp;"going to this insurer. Sometimes it is better to pay slightly more and be really insured")</f>
        <v>This insurer really leaves something to be desired. You think you are insured until you really need them and there is another story. For the record I declared a disaster (460950656), I discovered parking my car with the packed door and without knowing what had happened I think of someone who returned to me parking. .. the expert passes and says that I may be scraped without realizing it
Result: rather than putting myself a penalty, the insurance did not want to take care of this disaster and I must fully take over a disaster while I am assured all risk and that I myself called them for Tell them to respect what the expert said and put me in the penalty. I find this situation unacceptable and I hope that this comment will dissuade future customers from going to this insurer. Sometimes it is better to pay slightly more and be really insured</v>
      </c>
    </row>
    <row r="127" spans="1:9" ht="15.75" customHeight="1" x14ac:dyDescent="0.3">
      <c r="A127" s="2">
        <v>5</v>
      </c>
      <c r="B127" s="2" t="s">
        <v>449</v>
      </c>
      <c r="C127" s="2" t="s">
        <v>450</v>
      </c>
      <c r="D127" s="2" t="s">
        <v>28</v>
      </c>
      <c r="E127" s="2" t="s">
        <v>14</v>
      </c>
      <c r="F127" s="2" t="s">
        <v>15</v>
      </c>
      <c r="G127" s="2" t="s">
        <v>24</v>
      </c>
      <c r="H127" s="2" t="s">
        <v>25</v>
      </c>
      <c r="I127" s="2" t="str">
        <f ca="1">IFERROR(__xludf.DUMMYFUNCTION("GOOGLETRANSLATE(C127,""fr"",""en"")"),"For the moment satisfied, I cannot say more because it is the first registration for your insurance
Thanks again. Hoping not to have to ask you")</f>
        <v>For the moment satisfied, I cannot say more because it is the first registration for your insurance
Thanks again. Hoping not to have to ask you</v>
      </c>
    </row>
    <row r="128" spans="1:9" ht="15.75" customHeight="1" x14ac:dyDescent="0.3">
      <c r="A128" s="2">
        <v>4</v>
      </c>
      <c r="B128" s="2" t="s">
        <v>451</v>
      </c>
      <c r="C128" s="2" t="s">
        <v>452</v>
      </c>
      <c r="D128" s="2" t="s">
        <v>80</v>
      </c>
      <c r="E128" s="2" t="s">
        <v>81</v>
      </c>
      <c r="F128" s="2" t="s">
        <v>15</v>
      </c>
      <c r="G128" s="2" t="s">
        <v>453</v>
      </c>
      <c r="H128" s="2" t="s">
        <v>46</v>
      </c>
      <c r="I128" s="2" t="str">
        <f ca="1">IFERROR(__xludf.DUMMYFUNCTION("GOOGLETRANSLATE(C128,""fr"",""en"")"),"I am quite satisfied with the price; I would have appreciated an effort price signing the contract (1 month free) especially since I already have 3 motorcycles in the contract.")</f>
        <v>I am quite satisfied with the price; I would have appreciated an effort price signing the contract (1 month free) especially since I already have 3 motorcycles in the contract.</v>
      </c>
    </row>
    <row r="129" spans="1:9" ht="15.75" customHeight="1" x14ac:dyDescent="0.3">
      <c r="A129" s="2">
        <v>4</v>
      </c>
      <c r="B129" s="2" t="s">
        <v>454</v>
      </c>
      <c r="C129" s="2" t="s">
        <v>455</v>
      </c>
      <c r="D129" s="2" t="s">
        <v>80</v>
      </c>
      <c r="E129" s="2" t="s">
        <v>81</v>
      </c>
      <c r="F129" s="2" t="s">
        <v>15</v>
      </c>
      <c r="G129" s="2" t="s">
        <v>456</v>
      </c>
      <c r="H129" s="2" t="s">
        <v>111</v>
      </c>
      <c r="I129" s="2" t="str">
        <f ca="1">IFERROR(__xludf.DUMMYFUNCTION("GOOGLETRANSLATE(C129,""fr"",""en"")"),"Simple and quick .Prix. The fact of paying monthly. The mechanical breakage offer. I would like to know if you have a office in Savoy or Haute Savoie.")</f>
        <v>Simple and quick .Prix. The fact of paying monthly. The mechanical breakage offer. I would like to know if you have a office in Savoy or Haute Savoie.</v>
      </c>
    </row>
    <row r="130" spans="1:9" ht="15.75" customHeight="1" x14ac:dyDescent="0.3">
      <c r="A130" s="2">
        <v>1</v>
      </c>
      <c r="B130" s="2" t="s">
        <v>457</v>
      </c>
      <c r="C130" s="2" t="s">
        <v>458</v>
      </c>
      <c r="D130" s="2" t="s">
        <v>412</v>
      </c>
      <c r="E130" s="2" t="s">
        <v>39</v>
      </c>
      <c r="F130" s="2" t="s">
        <v>15</v>
      </c>
      <c r="G130" s="2" t="s">
        <v>459</v>
      </c>
      <c r="H130" s="2" t="s">
        <v>25</v>
      </c>
      <c r="I130" s="2" t="str">
        <f ca="1">IFERROR(__xludf.DUMMYFUNCTION("GOOGLETRANSLATE(C130,""fr"",""en"")"),"Mandatory employer mutual:
Always awaiting reimbursement since October !! Inadmissible !! A shame!! I am still begging for my due, on the other hand they do not forget to take the deadlines every month. A tip flee, go your way. ??")</f>
        <v>Mandatory employer mutual:
Always awaiting reimbursement since October !! Inadmissible !! A shame!! I am still begging for my due, on the other hand they do not forget to take the deadlines every month. A tip flee, go your way. ??</v>
      </c>
    </row>
    <row r="131" spans="1:9" ht="15.75" customHeight="1" x14ac:dyDescent="0.3">
      <c r="A131" s="2">
        <v>1</v>
      </c>
      <c r="B131" s="2" t="s">
        <v>460</v>
      </c>
      <c r="C131" s="2" t="s">
        <v>461</v>
      </c>
      <c r="D131" s="2" t="s">
        <v>284</v>
      </c>
      <c r="E131" s="2" t="s">
        <v>81</v>
      </c>
      <c r="F131" s="2" t="s">
        <v>15</v>
      </c>
      <c r="G131" s="2" t="s">
        <v>462</v>
      </c>
      <c r="H131" s="2" t="s">
        <v>25</v>
      </c>
      <c r="I131" s="2" t="str">
        <f ca="1">IFERROR(__xludf.DUMMYFUNCTION("GOOGLETRANSLATE(C131,""fr"",""en"")"),"My opinion on this mutual is, like the majority of those expressed on the site: deplorable! ! !
The level of contribution was already very high (systematic increase every year!) But this year, in the current context, the increase in the 2021/04 maturity "&amp;"is simply indecent!
This opinion is written by a ""informed"" biker who rides, year after year 15,000 km/year (a little less the years of confinement - lol) and this without interruption since 1970.
PS: Dear mutual ""comrade"", there is no point in cont"&amp;"acting me to try to justify these pricing increases ""indexed to the cost of living""; My retirement pension, she has not moved for 10 years!")</f>
        <v>My opinion on this mutual is, like the majority of those expressed on the site: deplorable! ! !
The level of contribution was already very high (systematic increase every year!) But this year, in the current context, the increase in the 2021/04 maturity is simply indecent!
This opinion is written by a "informed" biker who rides, year after year 15,000 km/year (a little less the years of confinement - lol) and this without interruption since 1970.
PS: Dear mutual "comrade", there is no point in contacting me to try to justify these pricing increases "indexed to the cost of living"; My retirement pension, she has not moved for 10 years!</v>
      </c>
    </row>
    <row r="132" spans="1:9" ht="15.75" customHeight="1" x14ac:dyDescent="0.3">
      <c r="A132" s="2">
        <v>1</v>
      </c>
      <c r="B132" s="2" t="s">
        <v>463</v>
      </c>
      <c r="C132" s="2" t="s">
        <v>464</v>
      </c>
      <c r="D132" s="2" t="s">
        <v>465</v>
      </c>
      <c r="E132" s="2" t="s">
        <v>39</v>
      </c>
      <c r="F132" s="2" t="s">
        <v>15</v>
      </c>
      <c r="G132" s="2" t="s">
        <v>466</v>
      </c>
      <c r="H132" s="2" t="s">
        <v>467</v>
      </c>
      <c r="I132" s="2" t="str">
        <f ca="1">IFERROR(__xludf.DUMMYFUNCTION("GOOGLETRANSLATE(C132,""fr"",""en"")"),"Very expensive .
unreliable customer service
More than 4 months to take into account the birth of my child (after 4 letters and 3 calls). Difficult to do worse a simple approach.")</f>
        <v>Very expensive .
unreliable customer service
More than 4 months to take into account the birth of my child (after 4 letters and 3 calls). Difficult to do worse a simple approach.</v>
      </c>
    </row>
    <row r="133" spans="1:9" ht="15.75" customHeight="1" x14ac:dyDescent="0.3">
      <c r="A133" s="2">
        <v>5</v>
      </c>
      <c r="B133" s="2" t="s">
        <v>468</v>
      </c>
      <c r="C133" s="2" t="s">
        <v>469</v>
      </c>
      <c r="D133" s="2" t="s">
        <v>80</v>
      </c>
      <c r="E133" s="2" t="s">
        <v>81</v>
      </c>
      <c r="F133" s="2" t="s">
        <v>15</v>
      </c>
      <c r="G133" s="2" t="s">
        <v>470</v>
      </c>
      <c r="H133" s="2" t="s">
        <v>30</v>
      </c>
      <c r="I133" s="2" t="str">
        <f ca="1">IFERROR(__xludf.DUMMYFUNCTION("GOOGLETRANSLATE(C133,""fr"",""en"")"),"I am satisfied with the services, the prices are honorable thank you bcp April Moto. I will advise this insurance to my entourage, I will then advise it to my friend who has the same 2 wheels as me.")</f>
        <v>I am satisfied with the services, the prices are honorable thank you bcp April Moto. I will advise this insurance to my entourage, I will then advise it to my friend who has the same 2 wheels as me.</v>
      </c>
    </row>
    <row r="134" spans="1:9" ht="15.75" customHeight="1" x14ac:dyDescent="0.3">
      <c r="A134" s="2">
        <v>5</v>
      </c>
      <c r="B134" s="2" t="s">
        <v>471</v>
      </c>
      <c r="C134" s="2" t="s">
        <v>472</v>
      </c>
      <c r="D134" s="2" t="s">
        <v>28</v>
      </c>
      <c r="E134" s="2" t="s">
        <v>14</v>
      </c>
      <c r="F134" s="2" t="s">
        <v>15</v>
      </c>
      <c r="G134" s="2" t="s">
        <v>473</v>
      </c>
      <c r="H134" s="2" t="s">
        <v>474</v>
      </c>
      <c r="I134" s="2" t="str">
        <f ca="1">IFERROR(__xludf.DUMMYFUNCTION("GOOGLETRANSLATE(C134,""fr"",""en"")"),"I had a little apprehension to subscribe online for the assurance of my 407, the difference convinced me. You don't know the value when you have a sinister, and the olive tree pleasantly when I had a slight clash. The advisor was very good advice and the "&amp;"reimbursement was made in a week")</f>
        <v>I had a little apprehension to subscribe online for the assurance of my 407, the difference convinced me. You don't know the value when you have a sinister, and the olive tree pleasantly when I had a slight clash. The advisor was very good advice and the reimbursement was made in a week</v>
      </c>
    </row>
    <row r="135" spans="1:9" ht="15.75" customHeight="1" x14ac:dyDescent="0.3">
      <c r="A135" s="2">
        <v>4</v>
      </c>
      <c r="B135" s="2" t="s">
        <v>475</v>
      </c>
      <c r="C135" s="2" t="s">
        <v>476</v>
      </c>
      <c r="D135" s="2" t="s">
        <v>28</v>
      </c>
      <c r="E135" s="2" t="s">
        <v>14</v>
      </c>
      <c r="F135" s="2" t="s">
        <v>15</v>
      </c>
      <c r="G135" s="2" t="s">
        <v>477</v>
      </c>
      <c r="H135" s="2" t="s">
        <v>94</v>
      </c>
      <c r="I135" s="2" t="str">
        <f ca="1">IFERROR(__xludf.DUMMYFUNCTION("GOOGLETRANSLATE(C135,""fr"",""en"")"),"Among the best prices on the market, simplicity of the internet procedure, more than to see for the care in the event of a claim. For the moment that of the +")</f>
        <v>Among the best prices on the market, simplicity of the internet procedure, more than to see for the care in the event of a claim. For the moment that of the +</v>
      </c>
    </row>
    <row r="136" spans="1:9" ht="15.75" customHeight="1" x14ac:dyDescent="0.3">
      <c r="A136" s="2">
        <v>5</v>
      </c>
      <c r="B136" s="2" t="s">
        <v>478</v>
      </c>
      <c r="C136" s="2" t="s">
        <v>479</v>
      </c>
      <c r="D136" s="2" t="s">
        <v>28</v>
      </c>
      <c r="E136" s="2" t="s">
        <v>14</v>
      </c>
      <c r="F136" s="2" t="s">
        <v>15</v>
      </c>
      <c r="G136" s="2" t="s">
        <v>480</v>
      </c>
      <c r="H136" s="2" t="s">
        <v>46</v>
      </c>
      <c r="I136" s="2" t="str">
        <f ca="1">IFERROR(__xludf.DUMMYFUNCTION("GOOGLETRANSLATE(C136,""fr"",""en"")"),"The service is satisfactory, the advisers are attentive and we have been able to respond to my problems without problems and this as soon as possible. Thanks.")</f>
        <v>The service is satisfactory, the advisers are attentive and we have been able to respond to my problems without problems and this as soon as possible. Thanks.</v>
      </c>
    </row>
    <row r="137" spans="1:9" ht="15.75" customHeight="1" x14ac:dyDescent="0.3">
      <c r="A137" s="2">
        <v>2</v>
      </c>
      <c r="B137" s="2" t="s">
        <v>481</v>
      </c>
      <c r="C137" s="2" t="s">
        <v>482</v>
      </c>
      <c r="D137" s="2" t="s">
        <v>310</v>
      </c>
      <c r="E137" s="2" t="s">
        <v>14</v>
      </c>
      <c r="F137" s="2" t="s">
        <v>15</v>
      </c>
      <c r="G137" s="2" t="s">
        <v>483</v>
      </c>
      <c r="H137" s="2" t="s">
        <v>484</v>
      </c>
      <c r="I137" s="2" t="str">
        <f ca="1">IFERROR(__xludf.DUMMYFUNCTION("GOOGLETRANSLATE(C137,""fr"",""en"")"),"To flee terminated in 30 seconds for a simple question, nothing beats the small insurer of the neighborhood, having a real human in front of yourself these days it is priceless")</f>
        <v>To flee terminated in 30 seconds for a simple question, nothing beats the small insurer of the neighborhood, having a real human in front of yourself these days it is priceless</v>
      </c>
    </row>
    <row r="138" spans="1:9" ht="15.75" customHeight="1" x14ac:dyDescent="0.3">
      <c r="A138" s="2">
        <v>5</v>
      </c>
      <c r="B138" s="2" t="s">
        <v>485</v>
      </c>
      <c r="C138" s="2" t="s">
        <v>486</v>
      </c>
      <c r="D138" s="2" t="s">
        <v>28</v>
      </c>
      <c r="E138" s="2" t="s">
        <v>14</v>
      </c>
      <c r="F138" s="2" t="s">
        <v>15</v>
      </c>
      <c r="G138" s="2" t="s">
        <v>487</v>
      </c>
      <c r="H138" s="2" t="s">
        <v>30</v>
      </c>
      <c r="I138" s="2" t="str">
        <f ca="1">IFERROR(__xludf.DUMMYFUNCTION("GOOGLETRANSLATE(C138,""fr"",""en"")"),"I am satisfied with the service and the price all at the time is well done we set out to have the insurance in definitive.")</f>
        <v>I am satisfied with the service and the price all at the time is well done we set out to have the insurance in definitive.</v>
      </c>
    </row>
    <row r="139" spans="1:9" ht="15.75" customHeight="1" x14ac:dyDescent="0.3">
      <c r="A139" s="2">
        <v>2</v>
      </c>
      <c r="B139" s="2" t="s">
        <v>488</v>
      </c>
      <c r="C139" s="2" t="s">
        <v>489</v>
      </c>
      <c r="D139" s="2" t="s">
        <v>13</v>
      </c>
      <c r="E139" s="2" t="s">
        <v>14</v>
      </c>
      <c r="F139" s="2" t="s">
        <v>15</v>
      </c>
      <c r="G139" s="2" t="s">
        <v>490</v>
      </c>
      <c r="H139" s="2" t="s">
        <v>224</v>
      </c>
      <c r="I139" s="2" t="str">
        <f ca="1">IFERROR(__xludf.DUMMYFUNCTION("GOOGLETRANSLATE(C139,""fr"",""en"")"),"Hello,
My car was smashed during the night of July 28, 2017 during my holidays in Corsica.
The person fled it's been 26 days now and I still haven't recovered my car which is still in Corsica. Direct Insurance for the moment refuses to repatriate it d"&amp;"espite article 5.3.7 of the general conditions and article 41.2 of my serenity option pack.
I am dentized, I need my car to go to work and I am answered that my file has time ..... a time that I no longer have.
It's lamentable I find")</f>
        <v>Hello,
My car was smashed during the night of July 28, 2017 during my holidays in Corsica.
The person fled it's been 26 days now and I still haven't recovered my car which is still in Corsica. Direct Insurance for the moment refuses to repatriate it despite article 5.3.7 of the general conditions and article 41.2 of my serenity option pack.
I am dentized, I need my car to go to work and I am answered that my file has time ..... a time that I no longer have.
It's lamentable I find</v>
      </c>
    </row>
    <row r="140" spans="1:9" ht="15.75" customHeight="1" x14ac:dyDescent="0.3">
      <c r="A140" s="2">
        <v>5</v>
      </c>
      <c r="B140" s="2" t="s">
        <v>491</v>
      </c>
      <c r="C140" s="2" t="s">
        <v>492</v>
      </c>
      <c r="D140" s="2" t="s">
        <v>493</v>
      </c>
      <c r="E140" s="2" t="s">
        <v>101</v>
      </c>
      <c r="F140" s="2" t="s">
        <v>15</v>
      </c>
      <c r="G140" s="2" t="s">
        <v>494</v>
      </c>
      <c r="H140" s="2" t="s">
        <v>83</v>
      </c>
      <c r="I140" s="2" t="str">
        <f ca="1">IFERROR(__xludf.DUMMYFUNCTION("GOOGLETRANSLATE(C140,""fr"",""en"")"),"I am satisfied with the price offer.
The advisor is my listening.
Now remains more than crossing your fingers so that everything goes well in the event of an imprevated which I hope will never happen. :)")</f>
        <v>I am satisfied with the price offer.
The advisor is my listening.
Now remains more than crossing your fingers so that everything goes well in the event of an imprevated which I hope will never happen. :)</v>
      </c>
    </row>
    <row r="141" spans="1:9" ht="15.75" customHeight="1" x14ac:dyDescent="0.3">
      <c r="A141" s="2">
        <v>2</v>
      </c>
      <c r="B141" s="2" t="s">
        <v>495</v>
      </c>
      <c r="C141" s="2" t="s">
        <v>496</v>
      </c>
      <c r="D141" s="2" t="s">
        <v>190</v>
      </c>
      <c r="E141" s="2" t="s">
        <v>14</v>
      </c>
      <c r="F141" s="2" t="s">
        <v>15</v>
      </c>
      <c r="G141" s="2" t="s">
        <v>497</v>
      </c>
      <c r="H141" s="2" t="s">
        <v>57</v>
      </c>
      <c r="I141" s="2" t="str">
        <f ca="1">IFERROR(__xludf.DUMMYFUNCTION("GOOGLETRANSLATE(C141,""fr"",""en"")"),"Fired after 32 years at the GMF, for the following reason: alteration of the commercial relationship, yes you read correctly ... My son, my daughter, my son -in -law being members with the GMF. I am a former of the National Association of Members (volunte"&amp;"er), no communication, no telephone call, no explanation. The regional directorate located in Aix has not denied contact us, mutualism has indeed disappeared ... Certainly humans, they should be ashamed to terminate members and not customers as they do du"&amp;"ring epidemic in 2021, the Relationship Service Customer ended up receiving our dispute, and finally listened to us, fortunately the Hamon law is there to better protect customers or members of these large insurance groups, who are only enriched in period"&amp;"s of epidemic … Their silence also says a lot.
")</f>
        <v xml:space="preserve">Fired after 32 years at the GMF, for the following reason: alteration of the commercial relationship, yes you read correctly ... My son, my daughter, my son -in -law being members with the GMF. I am a former of the National Association of Members (volunteer), no communication, no telephone call, no explanation. The regional directorate located in Aix has not denied contact us, mutualism has indeed disappeared ... Certainly humans, they should be ashamed to terminate members and not customers as they do during epidemic in 2021, the Relationship Service Customer ended up receiving our dispute, and finally listened to us, fortunately the Hamon law is there to better protect customers or members of these large insurance groups, who are only enriched in periods of epidemic … Their silence also says a lot.
</v>
      </c>
    </row>
    <row r="142" spans="1:9" ht="15.75" customHeight="1" x14ac:dyDescent="0.3">
      <c r="A142" s="2">
        <v>1</v>
      </c>
      <c r="B142" s="2" t="s">
        <v>498</v>
      </c>
      <c r="C142" s="2" t="s">
        <v>499</v>
      </c>
      <c r="D142" s="2" t="s">
        <v>326</v>
      </c>
      <c r="E142" s="2" t="s">
        <v>137</v>
      </c>
      <c r="F142" s="2" t="s">
        <v>15</v>
      </c>
      <c r="G142" s="2" t="s">
        <v>500</v>
      </c>
      <c r="H142" s="2" t="s">
        <v>347</v>
      </c>
      <c r="I142" s="2" t="str">
        <f ca="1">IFERROR(__xludf.DUMMYFUNCTION("GOOGLETRANSLATE(C142,""fr"",""en"")"),"Being on my own, I contract an Axa Avizen Pro contra Axa. I fall on sick leave for a period of one month. 15 days of deficiencies, that I am aware. Currently my work stoppage is finished and well I have still not been compensated. My advisor at the time t"&amp;"old me that my contract also covered professional costs and question asked at the AXA center ""we cannot intervene, you have not taken out this guarantee"". I contracted this foresight to protect myself in the event of health concerns and well there I am "&amp;"spoiled. I send my termination letter today!")</f>
        <v>Being on my own, I contract an Axa Avizen Pro contra Axa. I fall on sick leave for a period of one month. 15 days of deficiencies, that I am aware. Currently my work stoppage is finished and well I have still not been compensated. My advisor at the time told me that my contract also covered professional costs and question asked at the AXA center "we cannot intervene, you have not taken out this guarantee". I contracted this foresight to protect myself in the event of health concerns and well there I am spoiled. I send my termination letter today!</v>
      </c>
    </row>
    <row r="143" spans="1:9" ht="15.75" customHeight="1" x14ac:dyDescent="0.3">
      <c r="A143" s="2">
        <v>5</v>
      </c>
      <c r="B143" s="2" t="s">
        <v>501</v>
      </c>
      <c r="C143" s="2" t="s">
        <v>502</v>
      </c>
      <c r="D143" s="2" t="s">
        <v>28</v>
      </c>
      <c r="E143" s="2" t="s">
        <v>14</v>
      </c>
      <c r="F143" s="2" t="s">
        <v>15</v>
      </c>
      <c r="G143" s="2" t="s">
        <v>503</v>
      </c>
      <c r="H143" s="2" t="s">
        <v>108</v>
      </c>
      <c r="I143" s="2" t="str">
        <f ca="1">IFERROR(__xludf.DUMMYFUNCTION("GOOGLETRANSLATE(C143,""fr"",""en"")"),"All competition defiant prices, very pleasant and super responsive contacts. It's nice to see a business that knows how to work with as much efficiency.")</f>
        <v>All competition defiant prices, very pleasant and super responsive contacts. It's nice to see a business that knows how to work with as much efficiency.</v>
      </c>
    </row>
    <row r="144" spans="1:9" ht="15.75" customHeight="1" x14ac:dyDescent="0.3">
      <c r="A144" s="2">
        <v>3</v>
      </c>
      <c r="B144" s="2" t="s">
        <v>504</v>
      </c>
      <c r="C144" s="2" t="s">
        <v>505</v>
      </c>
      <c r="D144" s="2" t="s">
        <v>28</v>
      </c>
      <c r="E144" s="2" t="s">
        <v>14</v>
      </c>
      <c r="F144" s="2" t="s">
        <v>15</v>
      </c>
      <c r="G144" s="2" t="s">
        <v>506</v>
      </c>
      <c r="H144" s="2" t="s">
        <v>507</v>
      </c>
      <c r="I144" s="2" t="str">
        <f ca="1">IFERROR(__xludf.DUMMYFUNCTION("GOOGLETRANSLATE(C144,""fr"",""en"")"),"Customer service 0. No follow -up, incompetent people or failing customer processes.
What a lack of professionalism I have never seen this. And the problem is not always not solved.
Error in my name from the insurer from the opening of my account: 3 e"&amp;"mails to customer service, without return from them. 1 other email to report my annoyance after receipt of the obsolete green card. 3 weeks later no change. 2 calls to update all of this, always the same result. Customer service is incompetent. I regret h"&amp;"aving joined this insurer although its prices are attractive.")</f>
        <v>Customer service 0. No follow -up, incompetent people or failing customer processes.
What a lack of professionalism I have never seen this. And the problem is not always not solved.
Error in my name from the insurer from the opening of my account: 3 emails to customer service, without return from them. 1 other email to report my annoyance after receipt of the obsolete green card. 3 weeks later no change. 2 calls to update all of this, always the same result. Customer service is incompetent. I regret having joined this insurer although its prices are attractive.</v>
      </c>
    </row>
    <row r="145" spans="1:9" ht="15.75" customHeight="1" x14ac:dyDescent="0.3">
      <c r="A145" s="2">
        <v>4</v>
      </c>
      <c r="B145" s="2" t="s">
        <v>508</v>
      </c>
      <c r="C145" s="2" t="s">
        <v>509</v>
      </c>
      <c r="D145" s="2" t="s">
        <v>13</v>
      </c>
      <c r="E145" s="2" t="s">
        <v>14</v>
      </c>
      <c r="F145" s="2" t="s">
        <v>15</v>
      </c>
      <c r="G145" s="2" t="s">
        <v>510</v>
      </c>
      <c r="H145" s="2" t="s">
        <v>25</v>
      </c>
      <c r="I145" s="2" t="str">
        <f ca="1">IFERROR(__xludf.DUMMYFUNCTION("GOOGLETRANSLATE(C145,""fr"",""en"")"),"We are rather satisfied with the service which is rather fast. thank you very much . Very accessible visually in addition to that. Being in digital accessibility it makes me happy.")</f>
        <v>We are rather satisfied with the service which is rather fast. thank you very much . Very accessible visually in addition to that. Being in digital accessibility it makes me happy.</v>
      </c>
    </row>
    <row r="146" spans="1:9" ht="15.75" customHeight="1" x14ac:dyDescent="0.3">
      <c r="A146" s="2">
        <v>3</v>
      </c>
      <c r="B146" s="2" t="s">
        <v>511</v>
      </c>
      <c r="C146" s="2" t="s">
        <v>512</v>
      </c>
      <c r="D146" s="2" t="s">
        <v>322</v>
      </c>
      <c r="E146" s="2" t="s">
        <v>14</v>
      </c>
      <c r="F146" s="2" t="s">
        <v>15</v>
      </c>
      <c r="G146" s="2" t="s">
        <v>513</v>
      </c>
      <c r="H146" s="2" t="s">
        <v>381</v>
      </c>
      <c r="I146" s="2" t="str">
        <f ca="1">IFERROR(__xludf.DUMMYFUNCTION("GOOGLETRANSLATE(C146,""fr"",""en"")"),"Easy of access to ensure, then breaks Chinese head once a sign. Always accident bonus problems responsible or not. Finally they put an increase of a hundred euros.")</f>
        <v>Easy of access to ensure, then breaks Chinese head once a sign. Always accident bonus problems responsible or not. Finally they put an increase of a hundred euros.</v>
      </c>
    </row>
    <row r="147" spans="1:9" ht="15.75" customHeight="1" x14ac:dyDescent="0.3">
      <c r="A147" s="2">
        <v>2</v>
      </c>
      <c r="B147" s="2" t="s">
        <v>514</v>
      </c>
      <c r="C147" s="2" t="s">
        <v>515</v>
      </c>
      <c r="D147" s="2" t="s">
        <v>303</v>
      </c>
      <c r="E147" s="2" t="s">
        <v>129</v>
      </c>
      <c r="F147" s="2" t="s">
        <v>15</v>
      </c>
      <c r="G147" s="2" t="s">
        <v>516</v>
      </c>
      <c r="H147" s="2" t="s">
        <v>442</v>
      </c>
      <c r="I147" s="2" t="str">
        <f ca="1">IFERROR(__xludf.DUMMYFUNCTION("GOOGLETRANSLATE(C147,""fr"",""en"")"),"A member for more than 20 years, I have never obtained no compensation from the Macif for declared claims. Each time, I am as if by chance ""outside the framework"" of care or am not guaranteed for declared situations. All this without any advice having b"&amp;"een given to me on the relevance of my coverage compared to my needs. I asked to have these tips but without results. Fed up ! It's time to change the creamy!")</f>
        <v>A member for more than 20 years, I have never obtained no compensation from the Macif for declared claims. Each time, I am as if by chance "outside the framework" of care or am not guaranteed for declared situations. All this without any advice having been given to me on the relevance of my coverage compared to my needs. I asked to have these tips but without results. Fed up ! It's time to change the creamy!</v>
      </c>
    </row>
    <row r="148" spans="1:9" ht="15.75" customHeight="1" x14ac:dyDescent="0.3">
      <c r="A148" s="2">
        <v>1</v>
      </c>
      <c r="B148" s="2" t="s">
        <v>517</v>
      </c>
      <c r="C148" s="2" t="s">
        <v>518</v>
      </c>
      <c r="D148" s="2" t="s">
        <v>13</v>
      </c>
      <c r="E148" s="2" t="s">
        <v>14</v>
      </c>
      <c r="F148" s="2" t="s">
        <v>15</v>
      </c>
      <c r="G148" s="2" t="s">
        <v>519</v>
      </c>
      <c r="H148" s="2" t="s">
        <v>275</v>
      </c>
      <c r="I148" s="2" t="str">
        <f ca="1">IFERROR(__xludf.DUMMYFUNCTION("GOOGLETRANSLATE(C148,""fr"",""en"")"),"Disappointed !!! Client since 2014 no bp I change my vehicles in November so as usual hop hop hop I am touched for change then increased normal subscription is not the same vehicle so in the end I Pass from 64 € to 69 € per month so far no worries I take "&amp;"the direct debit which is not free and generates costs to be quiet and I arrive in May I ask for an insurance card with thumbnail Day and I am told your file has been blocked since January we have not received your gray card!
I sent this gray card but ev"&amp;"en if it is in June and I have no email no message no mail that stipulates me that my file and block!
Result I have to pay in one or twice the sums of February March April May June and July I tell them that it is not possible that it is necessary to fi"&amp;"nd an arrangement because it is not my fault if they do not warn and that he blocks my file like that
I ask them to pay February March April therefore 69 € multiply by 3 I find 207 € I am told no 219 € There are costs of fresh change already paying in De"&amp;"cember suddenly I annoy the lady tells me that she To change my file and that it's more € 69/month but 95 €/month now!
Abused !!!!
Suddenly my file and still blocked I no longer have access to anything while waiting for them to deign to reconctate me to"&amp;" manage the conflict! I don't even know if I am assuring or not! Mail service I tell them about the problem and they send me an email telling me that they try to join me but that I did not get off I never had any call from them and he asks me to recall cu"&amp;"stomer service which is useless in short, we go around in the round limit when we call them we make them ch .....
Disgusting")</f>
        <v>Disappointed !!! Client since 2014 no bp I change my vehicles in November so as usual hop hop hop I am touched for change then increased normal subscription is not the same vehicle so in the end I Pass from 64 € to 69 € per month so far no worries I take the direct debit which is not free and generates costs to be quiet and I arrive in May I ask for an insurance card with thumbnail Day and I am told your file has been blocked since January we have not received your gray card!
I sent this gray card but even if it is in June and I have no email no message no mail that stipulates me that my file and block!
Result I have to pay in one or twice the sums of February March April May June and July I tell them that it is not possible that it is necessary to find an arrangement because it is not my fault if they do not warn and that he blocks my file like that
I ask them to pay February March April therefore 69 € multiply by 3 I find 207 € I am told no 219 € There are costs of fresh change already paying in December suddenly I annoy the lady tells me that she To change my file and that it's more € 69/month but 95 €/month now!
Abused !!!!
Suddenly my file and still blocked I no longer have access to anything while waiting for them to deign to reconctate me to manage the conflict! I don't even know if I am assuring or not! Mail service I tell them about the problem and they send me an email telling me that they try to join me but that I did not get off I never had any call from them and he asks me to recall customer service which is useless in short, we go around in the round limit when we call them we make them ch .....
Disgusting</v>
      </c>
    </row>
    <row r="149" spans="1:9" ht="15.75" customHeight="1" x14ac:dyDescent="0.3">
      <c r="A149" s="2">
        <v>1</v>
      </c>
      <c r="B149" s="2" t="s">
        <v>520</v>
      </c>
      <c r="C149" s="2" t="s">
        <v>521</v>
      </c>
      <c r="D149" s="2" t="s">
        <v>128</v>
      </c>
      <c r="E149" s="2" t="s">
        <v>129</v>
      </c>
      <c r="F149" s="2" t="s">
        <v>15</v>
      </c>
      <c r="G149" s="2" t="s">
        <v>522</v>
      </c>
      <c r="H149" s="2" t="s">
        <v>108</v>
      </c>
      <c r="I149" s="2" t="str">
        <f ca="1">IFERROR(__xludf.DUMMYFUNCTION("GOOGLETRANSLATE(C149,""fr"",""en"")"),"Very disappointed 30 years of contributions
The sinister year 2 words
TV antenna that falls following a gale on Saturday February 20
There was an earthquake on Wednesday in Vannes
Despite these 2 elements they do not support the claim
It was not a 10"&amp;"0 km hour wind we said
I think I change all active insurance at Pacifica
")</f>
        <v xml:space="preserve">Very disappointed 30 years of contributions
The sinister year 2 words
TV antenna that falls following a gale on Saturday February 20
There was an earthquake on Wednesday in Vannes
Despite these 2 elements they do not support the claim
It was not a 100 km hour wind we said
I think I change all active insurance at Pacifica
</v>
      </c>
    </row>
    <row r="150" spans="1:9" ht="15.75" customHeight="1" x14ac:dyDescent="0.3">
      <c r="A150" s="2">
        <v>5</v>
      </c>
      <c r="B150" s="2" t="s">
        <v>523</v>
      </c>
      <c r="C150" s="2" t="s">
        <v>524</v>
      </c>
      <c r="D150" s="2" t="s">
        <v>254</v>
      </c>
      <c r="E150" s="2" t="s">
        <v>14</v>
      </c>
      <c r="F150" s="2" t="s">
        <v>15</v>
      </c>
      <c r="G150" s="2" t="s">
        <v>483</v>
      </c>
      <c r="H150" s="2" t="s">
        <v>484</v>
      </c>
      <c r="I150" s="2" t="str">
        <f ca="1">IFERROR(__xludf.DUMMYFUNCTION("GOOGLETRANSLATE(C150,""fr"",""en"")"),"Insurance that has always given me full satisfaction for almost 40 years. The prices are perfectly justified with regard to the quality of the warranty.")</f>
        <v>Insurance that has always given me full satisfaction for almost 40 years. The prices are perfectly justified with regard to the quality of the warranty.</v>
      </c>
    </row>
    <row r="151" spans="1:9" ht="15.75" customHeight="1" x14ac:dyDescent="0.3">
      <c r="A151" s="2">
        <v>1</v>
      </c>
      <c r="B151" s="2" t="s">
        <v>525</v>
      </c>
      <c r="C151" s="2" t="s">
        <v>526</v>
      </c>
      <c r="D151" s="2" t="s">
        <v>136</v>
      </c>
      <c r="E151" s="2" t="s">
        <v>61</v>
      </c>
      <c r="F151" s="2" t="s">
        <v>15</v>
      </c>
      <c r="G151" s="2" t="s">
        <v>527</v>
      </c>
      <c r="H151" s="2" t="s">
        <v>216</v>
      </c>
      <c r="I151" s="2" t="str">
        <f ca="1">IFERROR(__xludf.DUMMYFUNCTION("GOOGLETRANSLATE(C151,""fr"",""en"")"),"Intervention deleted at the request of the Internet user.")</f>
        <v>Intervention deleted at the request of the Internet user.</v>
      </c>
    </row>
    <row r="152" spans="1:9" ht="15.75" customHeight="1" x14ac:dyDescent="0.3">
      <c r="A152" s="2">
        <v>4</v>
      </c>
      <c r="B152" s="2" t="s">
        <v>528</v>
      </c>
      <c r="C152" s="2" t="s">
        <v>529</v>
      </c>
      <c r="D152" s="2" t="s">
        <v>530</v>
      </c>
      <c r="E152" s="2" t="s">
        <v>137</v>
      </c>
      <c r="F152" s="2" t="s">
        <v>15</v>
      </c>
      <c r="G152" s="2" t="s">
        <v>370</v>
      </c>
      <c r="H152" s="2" t="s">
        <v>108</v>
      </c>
      <c r="I152" s="2" t="str">
        <f ca="1">IFERROR(__xludf.DUMMYFUNCTION("GOOGLETRANSLATE(C152,""fr"",""en"")"),"I am satisfied with the amount paying for the 5 people in my home. A contract adapted to each family members according to needs and evolving if the changes.
A salesperson for the implementation of the very attentive and responsive contract, from the TOP "&amp;"TOGISTERS with each call (listening, friendly, smiling, answering the question and reactive).
")</f>
        <v xml:space="preserve">I am satisfied with the amount paying for the 5 people in my home. A contract adapted to each family members according to needs and evolving if the changes.
A salesperson for the implementation of the very attentive and responsive contract, from the TOP TOGISTERS with each call (listening, friendly, smiling, answering the question and reactive).
</v>
      </c>
    </row>
    <row r="153" spans="1:9" ht="15.75" customHeight="1" x14ac:dyDescent="0.3">
      <c r="A153" s="2">
        <v>4</v>
      </c>
      <c r="B153" s="2" t="s">
        <v>531</v>
      </c>
      <c r="C153" s="2" t="s">
        <v>532</v>
      </c>
      <c r="D153" s="2" t="s">
        <v>28</v>
      </c>
      <c r="E153" s="2" t="s">
        <v>14</v>
      </c>
      <c r="F153" s="2" t="s">
        <v>15</v>
      </c>
      <c r="G153" s="2" t="s">
        <v>533</v>
      </c>
      <c r="H153" s="2" t="s">
        <v>25</v>
      </c>
      <c r="I153" s="2" t="str">
        <f ca="1">IFERROR(__xludf.DUMMYFUNCTION("GOOGLETRANSLATE(C153,""fr"",""en"")"),"Simple and quick. I valid. At the top, the price is a bit expensive but it's okay. I hope a good and long collaboration.
He should have an app to be perfect")</f>
        <v>Simple and quick. I valid. At the top, the price is a bit expensive but it's okay. I hope a good and long collaboration.
He should have an app to be perfect</v>
      </c>
    </row>
    <row r="154" spans="1:9" ht="15.75" customHeight="1" x14ac:dyDescent="0.3">
      <c r="A154" s="2">
        <v>3</v>
      </c>
      <c r="B154" s="2" t="s">
        <v>534</v>
      </c>
      <c r="C154" s="2" t="s">
        <v>535</v>
      </c>
      <c r="D154" s="2" t="s">
        <v>13</v>
      </c>
      <c r="E154" s="2" t="s">
        <v>14</v>
      </c>
      <c r="F154" s="2" t="s">
        <v>15</v>
      </c>
      <c r="G154" s="2" t="s">
        <v>536</v>
      </c>
      <c r="H154" s="2" t="s">
        <v>248</v>
      </c>
      <c r="I154" s="2" t="str">
        <f ca="1">IFERROR(__xludf.DUMMYFUNCTION("GOOGLETRANSLATE(C154,""fr"",""en"")"),"The prices are reasonable, good value for money for the proposal made. Rather satisfactory and easy you drive initiative to save money")</f>
        <v>The prices are reasonable, good value for money for the proposal made. Rather satisfactory and easy you drive initiative to save money</v>
      </c>
    </row>
    <row r="155" spans="1:9" ht="15.75" customHeight="1" x14ac:dyDescent="0.3">
      <c r="A155" s="2">
        <v>4</v>
      </c>
      <c r="B155" s="2" t="s">
        <v>537</v>
      </c>
      <c r="C155" s="2" t="s">
        <v>538</v>
      </c>
      <c r="D155" s="2" t="s">
        <v>13</v>
      </c>
      <c r="E155" s="2" t="s">
        <v>14</v>
      </c>
      <c r="F155" s="2" t="s">
        <v>15</v>
      </c>
      <c r="G155" s="2" t="s">
        <v>539</v>
      </c>
      <c r="H155" s="2" t="s">
        <v>25</v>
      </c>
      <c r="I155" s="2" t="str">
        <f ca="1">IFERROR(__xludf.DUMMYFUNCTION("GOOGLETRANSLATE(C155,""fr"",""en"")"),"Contact is fast and easy
On the other hand the prices are a little more expensive than in competitors
Easy documents access via application
")</f>
        <v xml:space="preserve">Contact is fast and easy
On the other hand the prices are a little more expensive than in competitors
Easy documents access via application
</v>
      </c>
    </row>
    <row r="156" spans="1:9" ht="15.75" customHeight="1" x14ac:dyDescent="0.3">
      <c r="A156" s="2">
        <v>2</v>
      </c>
      <c r="B156" s="2" t="s">
        <v>540</v>
      </c>
      <c r="C156" s="2" t="s">
        <v>541</v>
      </c>
      <c r="D156" s="2" t="s">
        <v>28</v>
      </c>
      <c r="E156" s="2" t="s">
        <v>14</v>
      </c>
      <c r="F156" s="2" t="s">
        <v>15</v>
      </c>
      <c r="G156" s="2" t="s">
        <v>542</v>
      </c>
      <c r="H156" s="2" t="s">
        <v>21</v>
      </c>
      <c r="I156" s="2" t="str">
        <f ca="1">IFERROR(__xludf.DUMMYFUNCTION("GOOGLETRANSLATE(C156,""fr"",""en"")"),"On the day of my accident The number registered on my green card was ""exceptionally closed"" so unreachable insurance! Subsequently my file was suspended so no loan car, and to date despite my reminders I do not always know why. Finally it has been more "&amp;"than a month since my car is declared wreck, when I call with my number the service is closed, with another number the service is open. I did not think that this kind of practice was possible, I am unfortunately powerless. Completely abusive processes, re"&amp;"ally flee!")</f>
        <v>On the day of my accident The number registered on my green card was "exceptionally closed" so unreachable insurance! Subsequently my file was suspended so no loan car, and to date despite my reminders I do not always know why. Finally it has been more than a month since my car is declared wreck, when I call with my number the service is closed, with another number the service is open. I did not think that this kind of practice was possible, I am unfortunately powerless. Completely abusive processes, really flee!</v>
      </c>
    </row>
    <row r="157" spans="1:9" ht="15.75" customHeight="1" x14ac:dyDescent="0.3">
      <c r="A157" s="2">
        <v>4</v>
      </c>
      <c r="B157" s="2" t="s">
        <v>543</v>
      </c>
      <c r="C157" s="2" t="s">
        <v>544</v>
      </c>
      <c r="D157" s="2" t="s">
        <v>197</v>
      </c>
      <c r="E157" s="2" t="s">
        <v>81</v>
      </c>
      <c r="F157" s="2" t="s">
        <v>15</v>
      </c>
      <c r="G157" s="2" t="s">
        <v>420</v>
      </c>
      <c r="H157" s="2" t="s">
        <v>17</v>
      </c>
      <c r="I157" s="2" t="str">
        <f ca="1">IFERROR(__xludf.DUMMYFUNCTION("GOOGLETRANSLATE(C157,""fr"",""en"")"),"AMV is a very good insurance that quickly compensates. In addition, the site is clear. So I remain faithful to society.
And like any insurance, it's always too expensive!")</f>
        <v>AMV is a very good insurance that quickly compensates. In addition, the site is clear. So I remain faithful to society.
And like any insurance, it's always too expensive!</v>
      </c>
    </row>
    <row r="158" spans="1:9" ht="15.75" customHeight="1" x14ac:dyDescent="0.3">
      <c r="A158" s="2">
        <v>3</v>
      </c>
      <c r="B158" s="2" t="s">
        <v>545</v>
      </c>
      <c r="C158" s="2" t="s">
        <v>546</v>
      </c>
      <c r="D158" s="2" t="s">
        <v>13</v>
      </c>
      <c r="E158" s="2" t="s">
        <v>14</v>
      </c>
      <c r="F158" s="2" t="s">
        <v>15</v>
      </c>
      <c r="G158" s="2" t="s">
        <v>547</v>
      </c>
      <c r="H158" s="2" t="s">
        <v>25</v>
      </c>
      <c r="I158" s="2" t="str">
        <f ca="1">IFERROR(__xludf.DUMMYFUNCTION("GOOGLETRANSLATE(C158,""fr"",""en"")"),"I am satisfied with the service but the prices increase too much every year and do not take into account customer loyalty
It is also difficult to communicate by phone with the platform: formatted staff reciting their lesson and frequent cut -off without "&amp;"recall.
Cordially")</f>
        <v>I am satisfied with the service but the prices increase too much every year and do not take into account customer loyalty
It is also difficult to communicate by phone with the platform: formatted staff reciting their lesson and frequent cut -off without recall.
Cordially</v>
      </c>
    </row>
    <row r="159" spans="1:9" ht="15.75" customHeight="1" x14ac:dyDescent="0.3">
      <c r="A159" s="2">
        <v>4</v>
      </c>
      <c r="B159" s="2" t="s">
        <v>548</v>
      </c>
      <c r="C159" s="2" t="s">
        <v>549</v>
      </c>
      <c r="D159" s="2" t="s">
        <v>28</v>
      </c>
      <c r="E159" s="2" t="s">
        <v>14</v>
      </c>
      <c r="F159" s="2" t="s">
        <v>15</v>
      </c>
      <c r="G159" s="2" t="s">
        <v>550</v>
      </c>
      <c r="H159" s="2" t="s">
        <v>21</v>
      </c>
      <c r="I159" s="2" t="str">
        <f ca="1">IFERROR(__xludf.DUMMYFUNCTION("GOOGLETRANSLATE(C159,""fr"",""en"")"),"Rather simple and practical
Good insurance for a young driver, I am satisfied but maybe the 150 characters are a little too high.")</f>
        <v>Rather simple and practical
Good insurance for a young driver, I am satisfied but maybe the 150 characters are a little too high.</v>
      </c>
    </row>
    <row r="160" spans="1:9" ht="15.75" customHeight="1" x14ac:dyDescent="0.3">
      <c r="A160" s="2">
        <v>1</v>
      </c>
      <c r="B160" s="2" t="s">
        <v>551</v>
      </c>
      <c r="C160" s="2" t="s">
        <v>552</v>
      </c>
      <c r="D160" s="2" t="s">
        <v>38</v>
      </c>
      <c r="E160" s="2" t="s">
        <v>39</v>
      </c>
      <c r="F160" s="2" t="s">
        <v>15</v>
      </c>
      <c r="G160" s="2" t="s">
        <v>553</v>
      </c>
      <c r="H160" s="2" t="s">
        <v>248</v>
      </c>
      <c r="I160" s="2" t="str">
        <f ca="1">IFERROR(__xludf.DUMMYFUNCTION("GOOGLETRANSLATE(C160,""fr"",""en"")"),"My father died 4 months ago.
Since my mother has been taken for 2 people despite my many calls and emails.
My mother did not receive her card and professionals are no longer reimbursed.
His financial situation becomes very delicate.
")</f>
        <v xml:space="preserve">My father died 4 months ago.
Since my mother has been taken for 2 people despite my many calls and emails.
My mother did not receive her card and professionals are no longer reimbursed.
His financial situation becomes very delicate.
</v>
      </c>
    </row>
    <row r="161" spans="1:9" ht="15.75" customHeight="1" x14ac:dyDescent="0.3">
      <c r="A161" s="2">
        <v>2</v>
      </c>
      <c r="B161" s="2" t="s">
        <v>554</v>
      </c>
      <c r="C161" s="2" t="s">
        <v>555</v>
      </c>
      <c r="D161" s="2" t="s">
        <v>13</v>
      </c>
      <c r="E161" s="2" t="s">
        <v>14</v>
      </c>
      <c r="F161" s="2" t="s">
        <v>15</v>
      </c>
      <c r="G161" s="2" t="s">
        <v>556</v>
      </c>
      <c r="H161" s="2" t="s">
        <v>557</v>
      </c>
      <c r="I161" s="2" t="str">
        <f ca="1">IFERROR(__xludf.DUMMYFUNCTION("GOOGLETRANSLATE(C161,""fr"",""en"")"),"I have just received a formal notice from them by e-mail because they did not receive my payment check for the insurance of our Skoda, sent a month ago, but not to the right address. The compulsory address is not indicated on the advice of fact - there ar"&amp;"e three addresses for direct insurance on this document, in Lille, Suresnes and Nanterre. We do not explain that you must send checks to Lille instead of Suresnes, for example. I imagine that my check is in Suresnes anyway but we don't care to take it bec"&amp;"ause it was not sent to the right address and then a lot of problems follows. After many tests to see them how to pay, I have to send a second check in Singapore where I work for the moment, in an impossible time of here. No understanding, no flexibility,"&amp;" despite the fact that we have been a customer for five years, without disaster, who always pays punctually. If the second check does not reach them within the impossible time, they will retain the payment and cancel the contract, apparently. But I have t"&amp;"o risk it anyway. We refused my suggestion to make a transfer directly to their bank account and I do not have a French bank card, so I can only settle by check and since I am in Singapore, the delay is too short even if I Sends the check immediately. I s"&amp;"poke to four people today, to find a solution, but I am still stuck.")</f>
        <v>I have just received a formal notice from them by e-mail because they did not receive my payment check for the insurance of our Skoda, sent a month ago, but not to the right address. The compulsory address is not indicated on the advice of fact - there are three addresses for direct insurance on this document, in Lille, Suresnes and Nanterre. We do not explain that you must send checks to Lille instead of Suresnes, for example. I imagine that my check is in Suresnes anyway but we don't care to take it because it was not sent to the right address and then a lot of problems follows. After many tests to see them how to pay, I have to send a second check in Singapore where I work for the moment, in an impossible time of here. No understanding, no flexibility, despite the fact that we have been a customer for five years, without disaster, who always pays punctually. If the second check does not reach them within the impossible time, they will retain the payment and cancel the contract, apparently. But I have to risk it anyway. We refused my suggestion to make a transfer directly to their bank account and I do not have a French bank card, so I can only settle by check and since I am in Singapore, the delay is too short even if I Sends the check immediately. I spoke to four people today, to find a solution, but I am still stuck.</v>
      </c>
    </row>
    <row r="162" spans="1:9" ht="15.75" customHeight="1" x14ac:dyDescent="0.3">
      <c r="A162" s="2">
        <v>5</v>
      </c>
      <c r="B162" s="2" t="s">
        <v>558</v>
      </c>
      <c r="C162" s="2" t="s">
        <v>559</v>
      </c>
      <c r="D162" s="2" t="s">
        <v>28</v>
      </c>
      <c r="E162" s="2" t="s">
        <v>14</v>
      </c>
      <c r="F162" s="2" t="s">
        <v>15</v>
      </c>
      <c r="G162" s="2" t="s">
        <v>149</v>
      </c>
      <c r="H162" s="2" t="s">
        <v>111</v>
      </c>
      <c r="I162" s="2" t="str">
        <f ca="1">IFERROR(__xludf.DUMMYFUNCTION("GOOGLETRANSLATE(C162,""fr"",""en"")"),"Very warm telephone reception each time. Very well informed, always very well directed in our steps with good and clear explanations.")</f>
        <v>Very warm telephone reception each time. Very well informed, always very well directed in our steps with good and clear explanations.</v>
      </c>
    </row>
    <row r="163" spans="1:9" ht="15.75" customHeight="1" x14ac:dyDescent="0.3">
      <c r="A163" s="2">
        <v>4</v>
      </c>
      <c r="B163" s="2" t="s">
        <v>560</v>
      </c>
      <c r="C163" s="2" t="s">
        <v>561</v>
      </c>
      <c r="D163" s="2" t="s">
        <v>326</v>
      </c>
      <c r="E163" s="2" t="s">
        <v>14</v>
      </c>
      <c r="F163" s="2" t="s">
        <v>15</v>
      </c>
      <c r="G163" s="2" t="s">
        <v>562</v>
      </c>
      <c r="H163" s="2" t="s">
        <v>354</v>
      </c>
      <c r="I163" s="2" t="str">
        <f ca="1">IFERROR(__xludf.DUMMYFUNCTION("GOOGLETRANSLATE(C163,""fr"",""en"")"),"I appreciate the network of its agencies, the reception and professionalism of interlocutors concerning the various contracts and their expertise and efficiency concerning claims.")</f>
        <v>I appreciate the network of its agencies, the reception and professionalism of interlocutors concerning the various contracts and their expertise and efficiency concerning claims.</v>
      </c>
    </row>
    <row r="164" spans="1:9" ht="15.75" customHeight="1" x14ac:dyDescent="0.3">
      <c r="A164" s="2">
        <v>1</v>
      </c>
      <c r="B164" s="2" t="s">
        <v>563</v>
      </c>
      <c r="C164" s="2" t="s">
        <v>564</v>
      </c>
      <c r="D164" s="2" t="s">
        <v>565</v>
      </c>
      <c r="E164" s="2" t="s">
        <v>137</v>
      </c>
      <c r="F164" s="2" t="s">
        <v>15</v>
      </c>
      <c r="G164" s="2" t="s">
        <v>566</v>
      </c>
      <c r="H164" s="2" t="s">
        <v>228</v>
      </c>
      <c r="I164" s="2" t="str">
        <f ca="1">IFERROR(__xludf.DUMMYFUNCTION("GOOGLETRANSLATE(C164,""fr"",""en"")"),"Hello,
To all and to all. Here I am a territorial civil servant on long sick leave for 2 and a half years soon. I took additional wages insurance to be able to continue paying my bills. When I took the contract, it said that it took a deficiency of 6 mon"&amp;"ths to be able to benefit from the additional salary. I subscribed to the insurance on August 28, 2015 and I set out on sick leave on October 26, 2015. Except, International to start paying me after 3 months of deficiencies. Also that says on my service c"&amp;"alculation sheet that the declaration date is November 1, 2016. Now he asks me that I repay it the 10,00 euros that they paid me and refuse to pay me my supplement salary. I think that if I started to be paid, it meant that I had respected the contract or"&amp;" that the deficiency deadline had changed. Except they waited 3 years and a half years to realize that the deficiency deadline had not been respected. That she uses then I have?.
thank you in advance,
Thomas
")</f>
        <v xml:space="preserve">Hello,
To all and to all. Here I am a territorial civil servant on long sick leave for 2 and a half years soon. I took additional wages insurance to be able to continue paying my bills. When I took the contract, it said that it took a deficiency of 6 months to be able to benefit from the additional salary. I subscribed to the insurance on August 28, 2015 and I set out on sick leave on October 26, 2015. Except, International to start paying me after 3 months of deficiencies. Also that says on my service calculation sheet that the declaration date is November 1, 2016. Now he asks me that I repay it the 10,00 euros that they paid me and refuse to pay me my supplement salary. I think that if I started to be paid, it meant that I had respected the contract or that the deficiency deadline had changed. Except they waited 3 years and a half years to realize that the deficiency deadline had not been respected. That she uses then I have?.
thank you in advance,
Thomas
</v>
      </c>
    </row>
    <row r="165" spans="1:9" ht="15.75" customHeight="1" x14ac:dyDescent="0.3">
      <c r="A165" s="2">
        <v>1</v>
      </c>
      <c r="B165" s="2" t="s">
        <v>567</v>
      </c>
      <c r="C165" s="2" t="s">
        <v>568</v>
      </c>
      <c r="D165" s="2" t="s">
        <v>28</v>
      </c>
      <c r="E165" s="2" t="s">
        <v>14</v>
      </c>
      <c r="F165" s="2" t="s">
        <v>15</v>
      </c>
      <c r="G165" s="2" t="s">
        <v>569</v>
      </c>
      <c r="H165" s="2" t="s">
        <v>557</v>
      </c>
      <c r="I165" s="2" t="str">
        <f ca="1">IFERROR(__xludf.DUMMYFUNCTION("GOOGLETRANSLATE(C165,""fr"",""en"")"),"To flee! Online quote: 560th then on the phone: 630th without explanation, I decide to subscribe anyway. Then after studying the file: 730th which is debited directly from your account because you have authorized to take samples. The increase is due to a "&amp;"break of ice that I had mentioned by phone ... and also in the simulation.")</f>
        <v>To flee! Online quote: 560th then on the phone: 630th without explanation, I decide to subscribe anyway. Then after studying the file: 730th which is debited directly from your account because you have authorized to take samples. The increase is due to a break of ice that I had mentioned by phone ... and also in the simulation.</v>
      </c>
    </row>
    <row r="166" spans="1:9" ht="15.75" customHeight="1" x14ac:dyDescent="0.3">
      <c r="A166" s="2">
        <v>1</v>
      </c>
      <c r="B166" s="2" t="s">
        <v>570</v>
      </c>
      <c r="C166" s="2" t="s">
        <v>571</v>
      </c>
      <c r="D166" s="2" t="s">
        <v>326</v>
      </c>
      <c r="E166" s="2" t="s">
        <v>14</v>
      </c>
      <c r="F166" s="2" t="s">
        <v>15</v>
      </c>
      <c r="G166" s="2" t="s">
        <v>572</v>
      </c>
      <c r="H166" s="2" t="s">
        <v>67</v>
      </c>
      <c r="I166" s="2" t="str">
        <f ca="1">IFERROR(__xludf.DUMMYFUNCTION("GOOGLETRANSLATE(C166,""fr"",""en"")"),"Big dispute with AXA after terminating my multi professional contract on a Food Truck trailer with documents in support of the Chamber of Shops that my business was well stopped. They left the professional contract on my tractor vehicle of this trailer wi"&amp;"th an additional cost of € 30 per month for 24 months. When I realized the dispute I immediately called the insurance that replied that I had to monitor my accounts and not change work too often. So of course they did not want to make me the overpayment. "&amp;"So I sent a complaint to AXA Paris who had this complaint followed to my insurer who reminded me immediately to modify the 30 € in 20 € and offer me the small sum of 150 € to close my mouth. Do the 24 × 30 calculation we are not there at all. I request fu"&amp;"ll reimbursement. If Mr. Dominique on this forum want to communicate with me it will be with great pleasure")</f>
        <v>Big dispute with AXA after terminating my multi professional contract on a Food Truck trailer with documents in support of the Chamber of Shops that my business was well stopped. They left the professional contract on my tractor vehicle of this trailer with an additional cost of € 30 per month for 24 months. When I realized the dispute I immediately called the insurance that replied that I had to monitor my accounts and not change work too often. So of course they did not want to make me the overpayment. So I sent a complaint to AXA Paris who had this complaint followed to my insurer who reminded me immediately to modify the 30 € in 20 € and offer me the small sum of 150 € to close my mouth. Do the 24 × 30 calculation we are not there at all. I request full reimbursement. If Mr. Dominique on this forum want to communicate with me it will be with great pleasure</v>
      </c>
    </row>
    <row r="167" spans="1:9" ht="15.75" customHeight="1" x14ac:dyDescent="0.3">
      <c r="A167" s="2">
        <v>1</v>
      </c>
      <c r="B167" s="2" t="s">
        <v>573</v>
      </c>
      <c r="C167" s="2" t="s">
        <v>574</v>
      </c>
      <c r="D167" s="2" t="s">
        <v>254</v>
      </c>
      <c r="E167" s="2" t="s">
        <v>14</v>
      </c>
      <c r="F167" s="2" t="s">
        <v>15</v>
      </c>
      <c r="G167" s="2" t="s">
        <v>575</v>
      </c>
      <c r="H167" s="2" t="s">
        <v>576</v>
      </c>
      <c r="I167" s="2" t="str">
        <f ca="1">IFERROR(__xludf.DUMMYFUNCTION("GOOGLETRANSLATE(C167,""fr"",""en"")"),"Hello,
After years spent in Maif without any claim at 50% bonuses for 3 consecutive years, surprised for 2020 still an increase of 20eur for year 2020.
For a simple clio third I am currently at 335EUR. Too much view my bonus of 50% at 40 years old.
Com"&amp;"petition Assur Carrefour are 180EUR, at the home of Maif.")</f>
        <v>Hello,
After years spent in Maif without any claim at 50% bonuses for 3 consecutive years, surprised for 2020 still an increase of 20eur for year 2020.
For a simple clio third I am currently at 335EUR. Too much view my bonus of 50% at 40 years old.
Competition Assur Carrefour are 180EUR, at the home of Maif.</v>
      </c>
    </row>
    <row r="168" spans="1:9" ht="15.75" customHeight="1" x14ac:dyDescent="0.3">
      <c r="A168" s="2">
        <v>4</v>
      </c>
      <c r="B168" s="2" t="s">
        <v>577</v>
      </c>
      <c r="C168" s="2" t="s">
        <v>578</v>
      </c>
      <c r="D168" s="2" t="s">
        <v>33</v>
      </c>
      <c r="E168" s="2" t="s">
        <v>14</v>
      </c>
      <c r="F168" s="2" t="s">
        <v>15</v>
      </c>
      <c r="G168" s="2" t="s">
        <v>579</v>
      </c>
      <c r="H168" s="2" t="s">
        <v>467</v>
      </c>
      <c r="I168" s="2" t="str">
        <f ca="1">IFERROR(__xludf.DUMMYFUNCTION("GOOGLETRANSLATE(C168,""fr"",""en"")"),"Low hat in Mélanie and Hélène of the Matmut agency near Bayonne station. Impeccable welcome, understanding of expectations and adequacy of offers, remarkable professionalism, smile (not forced) and appreciable humor zest, patience .... it reconciles with "&amp;"the insurance industry")</f>
        <v>Low hat in Mélanie and Hélène of the Matmut agency near Bayonne station. Impeccable welcome, understanding of expectations and adequacy of offers, remarkable professionalism, smile (not forced) and appreciable humor zest, patience .... it reconciles with the insurance industry</v>
      </c>
    </row>
    <row r="169" spans="1:9" ht="15.75" customHeight="1" x14ac:dyDescent="0.3">
      <c r="A169" s="2">
        <v>5</v>
      </c>
      <c r="B169" s="2" t="s">
        <v>580</v>
      </c>
      <c r="C169" s="2" t="s">
        <v>581</v>
      </c>
      <c r="D169" s="2" t="s">
        <v>28</v>
      </c>
      <c r="E169" s="2" t="s">
        <v>14</v>
      </c>
      <c r="F169" s="2" t="s">
        <v>15</v>
      </c>
      <c r="G169" s="2" t="s">
        <v>582</v>
      </c>
      <c r="H169" s="2" t="s">
        <v>17</v>
      </c>
      <c r="I169" s="2" t="str">
        <f ca="1">IFERROR(__xludf.DUMMYFUNCTION("GOOGLETRANSLATE(C169,""fr"",""en"")"),"Very satisfied with the commercial service, Ms. Nassima was very pleasant, to advise me to perfection and answer each of my questions, thank you for her advice.")</f>
        <v>Very satisfied with the commercial service, Ms. Nassima was very pleasant, to advise me to perfection and answer each of my questions, thank you for her advice.</v>
      </c>
    </row>
    <row r="170" spans="1:9" ht="15.75" customHeight="1" x14ac:dyDescent="0.3">
      <c r="A170" s="2">
        <v>5</v>
      </c>
      <c r="B170" s="2" t="s">
        <v>583</v>
      </c>
      <c r="C170" s="2" t="s">
        <v>584</v>
      </c>
      <c r="D170" s="2" t="s">
        <v>28</v>
      </c>
      <c r="E170" s="2" t="s">
        <v>14</v>
      </c>
      <c r="F170" s="2" t="s">
        <v>15</v>
      </c>
      <c r="G170" s="2" t="s">
        <v>503</v>
      </c>
      <c r="H170" s="2" t="s">
        <v>108</v>
      </c>
      <c r="I170" s="2" t="str">
        <f ca="1">IFERROR(__xludf.DUMMYFUNCTION("GOOGLETRANSLATE(C170,""fr"",""en"")"),"Insurance always listening
The steps are fast
We are not a customer number but a clean person
I recommend this insurer
thank you for your professionalism")</f>
        <v>Insurance always listening
The steps are fast
We are not a customer number but a clean person
I recommend this insurer
thank you for your professionalism</v>
      </c>
    </row>
    <row r="171" spans="1:9" ht="15.75" customHeight="1" x14ac:dyDescent="0.3">
      <c r="A171" s="2">
        <v>4</v>
      </c>
      <c r="B171" s="2" t="s">
        <v>585</v>
      </c>
      <c r="C171" s="2" t="s">
        <v>586</v>
      </c>
      <c r="D171" s="2" t="s">
        <v>326</v>
      </c>
      <c r="E171" s="2" t="s">
        <v>14</v>
      </c>
      <c r="F171" s="2" t="s">
        <v>15</v>
      </c>
      <c r="G171" s="2" t="s">
        <v>388</v>
      </c>
      <c r="H171" s="2" t="s">
        <v>389</v>
      </c>
      <c r="I171" s="2" t="str">
        <f ca="1">IFERROR(__xludf.DUMMYFUNCTION("GOOGLETRANSLATE(C171,""fr"",""en"")"),"I have only a reproach to do in Axa, it is that of its prices because even by being at third party, it is expensive for the guarantees contracted. Otherwise no problems for the management of claims")</f>
        <v>I have only a reproach to do in Axa, it is that of its prices because even by being at third party, it is expensive for the guarantees contracted. Otherwise no problems for the management of claims</v>
      </c>
    </row>
    <row r="172" spans="1:9" ht="15.75" customHeight="1" x14ac:dyDescent="0.3">
      <c r="A172" s="2">
        <v>1</v>
      </c>
      <c r="B172" s="2" t="s">
        <v>587</v>
      </c>
      <c r="C172" s="2" t="s">
        <v>588</v>
      </c>
      <c r="D172" s="2" t="s">
        <v>303</v>
      </c>
      <c r="E172" s="2" t="s">
        <v>14</v>
      </c>
      <c r="F172" s="2" t="s">
        <v>15</v>
      </c>
      <c r="G172" s="2" t="s">
        <v>317</v>
      </c>
      <c r="H172" s="2" t="s">
        <v>25</v>
      </c>
      <c r="I172" s="2" t="str">
        <f ca="1">IFERROR(__xludf.DUMMYFUNCTION("GOOGLETRANSLATE(C172,""fr"",""en"")"),"Victim of a car accident. The repairs on my car were reduced after the passage of a second expert. There was an electrical failure with a circuit courtyard in 2020 during containment in my attic. No help from the Macif, they found no craftsmen. The person"&amp;" I had on the phone told me to safely put the house by disconnecting the circuit. I left the Macif this year for the MAAF, there was a promo of 200 euros for the Auto and House insurance.")</f>
        <v>Victim of a car accident. The repairs on my car were reduced after the passage of a second expert. There was an electrical failure with a circuit courtyard in 2020 during containment in my attic. No help from the Macif, they found no craftsmen. The person I had on the phone told me to safely put the house by disconnecting the circuit. I left the Macif this year for the MAAF, there was a promo of 200 euros for the Auto and House insurance.</v>
      </c>
    </row>
    <row r="173" spans="1:9" ht="15.75" customHeight="1" x14ac:dyDescent="0.3">
      <c r="A173" s="2">
        <v>5</v>
      </c>
      <c r="B173" s="2" t="s">
        <v>589</v>
      </c>
      <c r="C173" s="2" t="s">
        <v>590</v>
      </c>
      <c r="D173" s="2" t="s">
        <v>493</v>
      </c>
      <c r="E173" s="2" t="s">
        <v>101</v>
      </c>
      <c r="F173" s="2" t="s">
        <v>15</v>
      </c>
      <c r="G173" s="2" t="s">
        <v>591</v>
      </c>
      <c r="H173" s="2" t="s">
        <v>125</v>
      </c>
      <c r="I173" s="2" t="str">
        <f ca="1">IFERROR(__xludf.DUMMYFUNCTION("GOOGLETRANSLATE(C173,""fr"",""en"")"),"I am satisfied with the zen'up service, where the agents are available. The prices announced are correct. I can gladly recommend to my entourage.")</f>
        <v>I am satisfied with the zen'up service, where the agents are available. The prices announced are correct. I can gladly recommend to my entourage.</v>
      </c>
    </row>
    <row r="174" spans="1:9" ht="15.75" customHeight="1" x14ac:dyDescent="0.3">
      <c r="A174" s="2">
        <v>5</v>
      </c>
      <c r="B174" s="2" t="s">
        <v>592</v>
      </c>
      <c r="C174" s="2" t="s">
        <v>593</v>
      </c>
      <c r="D174" s="2" t="s">
        <v>13</v>
      </c>
      <c r="E174" s="2" t="s">
        <v>14</v>
      </c>
      <c r="F174" s="2" t="s">
        <v>15</v>
      </c>
      <c r="G174" s="2" t="s">
        <v>420</v>
      </c>
      <c r="H174" s="2" t="s">
        <v>17</v>
      </c>
      <c r="I174" s="2" t="str">
        <f ca="1">IFERROR(__xludf.DUMMYFUNCTION("GOOGLETRANSLATE(C174,""fr"",""en"")"),"I am satisfied !! The prices are very interesting !!
Fast and effective. Very happy with the service to see in the long term but I am satisfied at the moment.")</f>
        <v>I am satisfied !! The prices are very interesting !!
Fast and effective. Very happy with the service to see in the long term but I am satisfied at the moment.</v>
      </c>
    </row>
    <row r="175" spans="1:9" ht="15.75" customHeight="1" x14ac:dyDescent="0.3">
      <c r="A175" s="2">
        <v>1</v>
      </c>
      <c r="B175" s="2" t="s">
        <v>594</v>
      </c>
      <c r="C175" s="2" t="s">
        <v>595</v>
      </c>
      <c r="D175" s="2" t="s">
        <v>326</v>
      </c>
      <c r="E175" s="2" t="s">
        <v>129</v>
      </c>
      <c r="F175" s="2" t="s">
        <v>15</v>
      </c>
      <c r="G175" s="2" t="s">
        <v>596</v>
      </c>
      <c r="H175" s="2" t="s">
        <v>474</v>
      </c>
      <c r="I175" s="2" t="str">
        <f ca="1">IFERROR(__xludf.DUMMYFUNCTION("GOOGLETRANSLATE(C175,""fr"",""en"")"),"AXA insurance policy: increase by more than 20% the annual subscription of home insurance or even terminate the contracts of its customers as soon as there is a claim!")</f>
        <v>AXA insurance policy: increase by more than 20% the annual subscription of home insurance or even terminate the contracts of its customers as soon as there is a claim!</v>
      </c>
    </row>
    <row r="176" spans="1:9" ht="15.75" customHeight="1" x14ac:dyDescent="0.3">
      <c r="A176" s="2">
        <v>5</v>
      </c>
      <c r="B176" s="2" t="s">
        <v>597</v>
      </c>
      <c r="C176" s="2" t="s">
        <v>598</v>
      </c>
      <c r="D176" s="2" t="s">
        <v>13</v>
      </c>
      <c r="E176" s="2" t="s">
        <v>14</v>
      </c>
      <c r="F176" s="2" t="s">
        <v>15</v>
      </c>
      <c r="G176" s="2" t="s">
        <v>251</v>
      </c>
      <c r="H176" s="2" t="s">
        <v>83</v>
      </c>
      <c r="I176" s="2" t="str">
        <f ca="1">IFERROR(__xludf.DUMMYFUNCTION("GOOGLETRANSLATE(C176,""fr"",""en"")"),"I am very satisfied with the proposal made to me.
The transaction was quickly concluded and I am very satisfied with the reception of the person who reserved me!")</f>
        <v>I am very satisfied with the proposal made to me.
The transaction was quickly concluded and I am very satisfied with the reception of the person who reserved me!</v>
      </c>
    </row>
    <row r="177" spans="1:9" ht="15.75" customHeight="1" x14ac:dyDescent="0.3">
      <c r="A177" s="2">
        <v>1</v>
      </c>
      <c r="B177" s="2" t="s">
        <v>599</v>
      </c>
      <c r="C177" s="2" t="s">
        <v>600</v>
      </c>
      <c r="D177" s="2" t="s">
        <v>601</v>
      </c>
      <c r="E177" s="2" t="s">
        <v>39</v>
      </c>
      <c r="F177" s="2" t="s">
        <v>15</v>
      </c>
      <c r="G177" s="2" t="s">
        <v>602</v>
      </c>
      <c r="H177" s="2" t="s">
        <v>21</v>
      </c>
      <c r="I177" s="2" t="str">
        <f ca="1">IFERROR(__xludf.DUMMYFUNCTION("GOOGLETRANSLATE(C177,""fr"",""en"")"),"I was beneficiary at Cocoon since January 2016 from a hospital stay contract allowing € 20 reimbursement daily, in 2019 and 2020, I suffered 93 days of hospitalization. Cocoon lambin 3 months in 2021 to close my file.
It was at this time, in May 2021, th"&amp;"at I learned that Generation was unaware of the existence of my contract. 5 years later !
Now it's up to me to redo a big complete file when he was sent to the request to Generation, to Quimper.
This is enough to discourage everything insured, which is "&amp;"undoubtedly the goal. Will I be reimbursed one day?
Gilles Petit")</f>
        <v>I was beneficiary at Cocoon since January 2016 from a hospital stay contract allowing € 20 reimbursement daily, in 2019 and 2020, I suffered 93 days of hospitalization. Cocoon lambin 3 months in 2021 to close my file.
It was at this time, in May 2021, that I learned that Generation was unaware of the existence of my contract. 5 years later !
Now it's up to me to redo a big complete file when he was sent to the request to Generation, to Quimper.
This is enough to discourage everything insured, which is undoubtedly the goal. Will I be reimbursed one day?
Gilles Petit</v>
      </c>
    </row>
    <row r="178" spans="1:9" ht="15.75" customHeight="1" x14ac:dyDescent="0.3">
      <c r="A178" s="2">
        <v>4</v>
      </c>
      <c r="B178" s="2" t="s">
        <v>603</v>
      </c>
      <c r="C178" s="2" t="s">
        <v>604</v>
      </c>
      <c r="D178" s="2" t="s">
        <v>303</v>
      </c>
      <c r="E178" s="2" t="s">
        <v>14</v>
      </c>
      <c r="F178" s="2" t="s">
        <v>15</v>
      </c>
      <c r="G178" s="2" t="s">
        <v>605</v>
      </c>
      <c r="H178" s="2" t="s">
        <v>41</v>
      </c>
      <c r="I178" s="2" t="str">
        <f ca="1">IFERROR(__xludf.DUMMYFUNCTION("GOOGLETRANSLATE(C178,""fr"",""en"")"),"After 2 claims at 7 days apart (1st sinister a car vandalism completely striped by a key, 2nd sinister reverse and light shock on the car behind) I saw my contract are terminated ... Too bad, my father was at home them for 50 years, apart from this great "&amp;"disappointment it is a very competent insurer I recommend")</f>
        <v>After 2 claims at 7 days apart (1st sinister a car vandalism completely striped by a key, 2nd sinister reverse and light shock on the car behind) I saw my contract are terminated ... Too bad, my father was at home them for 50 years, apart from this great disappointment it is a very competent insurer I recommend</v>
      </c>
    </row>
    <row r="179" spans="1:9" ht="15.75" customHeight="1" x14ac:dyDescent="0.3">
      <c r="A179" s="2">
        <v>1</v>
      </c>
      <c r="B179" s="2" t="s">
        <v>606</v>
      </c>
      <c r="C179" s="2" t="s">
        <v>607</v>
      </c>
      <c r="D179" s="2" t="s">
        <v>254</v>
      </c>
      <c r="E179" s="2" t="s">
        <v>14</v>
      </c>
      <c r="F179" s="2" t="s">
        <v>15</v>
      </c>
      <c r="G179" s="2" t="s">
        <v>608</v>
      </c>
      <c r="H179" s="2" t="s">
        <v>71</v>
      </c>
      <c r="I179" s="2" t="str">
        <f ca="1">IFERROR(__xludf.DUMMYFUNCTION("GOOGLETRANSLATE(C179,""fr"",""en"")"),"MAIF is an insurance that advocates solidarity. Maif, militant insurer ...
Where is solidarity when the poorest insureders, who cannot settle their insurance in one go are offered different payment solutions in several times, but without always specifyin"&amp;"g that this is a credit with interest. A ""financial effort"" corrects the advisor I have online! So it is therefore the poorest who must make a ""financial effort"". Nice demonstration of solidarity! Militant insurer? For what cause? !!!")</f>
        <v>MAIF is an insurance that advocates solidarity. Maif, militant insurer ...
Where is solidarity when the poorest insureders, who cannot settle their insurance in one go are offered different payment solutions in several times, but without always specifying that this is a credit with interest. A "financial effort" corrects the advisor I have online! So it is therefore the poorest who must make a "financial effort". Nice demonstration of solidarity! Militant insurer? For what cause? !!!</v>
      </c>
    </row>
    <row r="180" spans="1:9" ht="15.75" customHeight="1" x14ac:dyDescent="0.3">
      <c r="A180" s="2">
        <v>2</v>
      </c>
      <c r="B180" s="2" t="s">
        <v>609</v>
      </c>
      <c r="C180" s="2" t="s">
        <v>610</v>
      </c>
      <c r="D180" s="2" t="s">
        <v>254</v>
      </c>
      <c r="E180" s="2" t="s">
        <v>14</v>
      </c>
      <c r="F180" s="2" t="s">
        <v>15</v>
      </c>
      <c r="G180" s="2" t="s">
        <v>611</v>
      </c>
      <c r="H180" s="2" t="s">
        <v>612</v>
      </c>
      <c r="I180" s="2" t="str">
        <f ca="1">IFERROR(__xludf.DUMMYFUNCTION("GOOGLETRANSLATE(C180,""fr"",""en"")"),"Unresolved disaster dating from July 2016")</f>
        <v>Unresolved disaster dating from July 2016</v>
      </c>
    </row>
    <row r="181" spans="1:9" ht="15.75" customHeight="1" x14ac:dyDescent="0.3">
      <c r="A181" s="2">
        <v>5</v>
      </c>
      <c r="B181" s="2" t="s">
        <v>613</v>
      </c>
      <c r="C181" s="2" t="s">
        <v>614</v>
      </c>
      <c r="D181" s="2" t="s">
        <v>493</v>
      </c>
      <c r="E181" s="2" t="s">
        <v>101</v>
      </c>
      <c r="F181" s="2" t="s">
        <v>15</v>
      </c>
      <c r="G181" s="2" t="s">
        <v>615</v>
      </c>
      <c r="H181" s="2" t="s">
        <v>25</v>
      </c>
      <c r="I181" s="2" t="str">
        <f ca="1">IFERROR(__xludf.DUMMYFUNCTION("GOOGLETRANSLATE(C181,""fr"",""en"")"),"I am satisfied with your service. Thank you. The proposed insurance rates seem attractive to me. Me HAZERA Alexandre 1940 avenue de Toulouse 33140 Cadaujac")</f>
        <v>I am satisfied with your service. Thank you. The proposed insurance rates seem attractive to me. Me HAZERA Alexandre 1940 avenue de Toulouse 33140 Cadaujac</v>
      </c>
    </row>
    <row r="182" spans="1:9" ht="15.75" customHeight="1" x14ac:dyDescent="0.3">
      <c r="A182" s="2">
        <v>5</v>
      </c>
      <c r="B182" s="2" t="s">
        <v>616</v>
      </c>
      <c r="C182" s="2" t="s">
        <v>617</v>
      </c>
      <c r="D182" s="2" t="s">
        <v>13</v>
      </c>
      <c r="E182" s="2" t="s">
        <v>14</v>
      </c>
      <c r="F182" s="2" t="s">
        <v>15</v>
      </c>
      <c r="G182" s="2" t="s">
        <v>251</v>
      </c>
      <c r="H182" s="2" t="s">
        <v>83</v>
      </c>
      <c r="I182" s="2" t="str">
        <f ca="1">IFERROR(__xludf.DUMMYFUNCTION("GOOGLETRANSLATE(C182,""fr"",""en"")"),"I am satisfied with the service and very competitive prices. To see in time in focus of incidents to see the care. No agency all by phone point Negative.")</f>
        <v>I am satisfied with the service and very competitive prices. To see in time in focus of incidents to see the care. No agency all by phone point Negative.</v>
      </c>
    </row>
    <row r="183" spans="1:9" ht="15.75" customHeight="1" x14ac:dyDescent="0.3">
      <c r="A183" s="2">
        <v>5</v>
      </c>
      <c r="B183" s="2" t="s">
        <v>618</v>
      </c>
      <c r="C183" s="2" t="s">
        <v>619</v>
      </c>
      <c r="D183" s="2" t="s">
        <v>28</v>
      </c>
      <c r="E183" s="2" t="s">
        <v>14</v>
      </c>
      <c r="F183" s="2" t="s">
        <v>15</v>
      </c>
      <c r="G183" s="2" t="s">
        <v>620</v>
      </c>
      <c r="H183" s="2" t="s">
        <v>17</v>
      </c>
      <c r="I183" s="2" t="str">
        <f ca="1">IFERROR(__xludf.DUMMYFUNCTION("GOOGLETRANSLATE(C183,""fr"",""en"")"),"Simple and practical I am satisfied I would just like a little discount from time to time.
In any case your responsiveness is exemplary bravo I recommend you.")</f>
        <v>Simple and practical I am satisfied I would just like a little discount from time to time.
In any case your responsiveness is exemplary bravo I recommend you.</v>
      </c>
    </row>
    <row r="184" spans="1:9" ht="15.75" customHeight="1" x14ac:dyDescent="0.3">
      <c r="A184" s="2">
        <v>3</v>
      </c>
      <c r="B184" s="2" t="s">
        <v>621</v>
      </c>
      <c r="C184" s="2" t="s">
        <v>622</v>
      </c>
      <c r="D184" s="2" t="s">
        <v>623</v>
      </c>
      <c r="E184" s="2" t="s">
        <v>101</v>
      </c>
      <c r="F184" s="2" t="s">
        <v>15</v>
      </c>
      <c r="G184" s="2" t="s">
        <v>624</v>
      </c>
      <c r="H184" s="2" t="s">
        <v>612</v>
      </c>
      <c r="I184" s="2" t="str">
        <f ca="1">IFERROR(__xludf.DUMMYFUNCTION("GOOGLETRANSLATE(C184,""fr"",""en"")"),"Hello
I allow myself to post a comment to share my dissatisfaction with Cardif
Following breast cancer in 2011 I was put into disability 2 category recognized by occupational medicine so I lost my job and recognized by the MDPH
Following that in 2013 I"&amp;" fell ill -sterine sarcoma followed by chemotherapy curious therapy (currently still in treatment and kine 2 times a week) which leaves me very big after -effects
I have a left hip prosthesis since 2012 and pending the right hip operation when my state o"&amp;"f health will allow me I am very disabled for daily tasks
In January 2017 after 5 years compensation concerning the reimbursement of my mortgage they decided not to take care of me I am in total misunderstanding
1 cancer in 2011
1 cancer in 2013
A lef"&amp;"t hip prosthesis
Depression
Always in care related to the consequences of cancers loss of my job for professional incapacity
Reconnaissance MDPH
I am exhausted by all these steps and am very angry I would not give up my arms
A letter has just left by"&amp;" Ar and I'm going to fight")</f>
        <v>Hello
I allow myself to post a comment to share my dissatisfaction with Cardif
Following breast cancer in 2011 I was put into disability 2 category recognized by occupational medicine so I lost my job and recognized by the MDPH
Following that in 2013 I fell ill -sterine sarcoma followed by chemotherapy curious therapy (currently still in treatment and kine 2 times a week) which leaves me very big after -effects
I have a left hip prosthesis since 2012 and pending the right hip operation when my state of health will allow me I am very disabled for daily tasks
In January 2017 after 5 years compensation concerning the reimbursement of my mortgage they decided not to take care of me I am in total misunderstanding
1 cancer in 2011
1 cancer in 2013
A left hip prosthesis
Depression
Always in care related to the consequences of cancers loss of my job for professional incapacity
Reconnaissance MDPH
I am exhausted by all these steps and am very angry I would not give up my arms
A letter has just left by Ar and I'm going to fight</v>
      </c>
    </row>
    <row r="185" spans="1:9" ht="15.75" customHeight="1" x14ac:dyDescent="0.3">
      <c r="A185" s="2">
        <v>4</v>
      </c>
      <c r="B185" s="2" t="s">
        <v>625</v>
      </c>
      <c r="C185" s="2" t="s">
        <v>626</v>
      </c>
      <c r="D185" s="2" t="s">
        <v>197</v>
      </c>
      <c r="E185" s="2" t="s">
        <v>81</v>
      </c>
      <c r="F185" s="2" t="s">
        <v>15</v>
      </c>
      <c r="G185" s="2" t="s">
        <v>627</v>
      </c>
      <c r="H185" s="2" t="s">
        <v>57</v>
      </c>
      <c r="I185" s="2" t="str">
        <f ca="1">IFERROR(__xludf.DUMMYFUNCTION("GOOGLETRANSLATE(C185,""fr"",""en"")"),"Good price easy to develop for a motorcycle. All this fact via the website which is rather ergonomic and easy to use.
Lack more than loyalty and good conduct rewarded to be completely satisfied.")</f>
        <v>Good price easy to develop for a motorcycle. All this fact via the website which is rather ergonomic and easy to use.
Lack more than loyalty and good conduct rewarded to be completely satisfied.</v>
      </c>
    </row>
    <row r="186" spans="1:9" ht="15.75" customHeight="1" x14ac:dyDescent="0.3">
      <c r="A186" s="2">
        <v>3</v>
      </c>
      <c r="B186" s="2" t="s">
        <v>628</v>
      </c>
      <c r="C186" s="2" t="s">
        <v>629</v>
      </c>
      <c r="D186" s="2" t="s">
        <v>13</v>
      </c>
      <c r="E186" s="2" t="s">
        <v>14</v>
      </c>
      <c r="F186" s="2" t="s">
        <v>15</v>
      </c>
      <c r="G186" s="2" t="s">
        <v>630</v>
      </c>
      <c r="H186" s="2" t="s">
        <v>286</v>
      </c>
      <c r="I186" s="2" t="str">
        <f ca="1">IFERROR(__xludf.DUMMYFUNCTION("GOOGLETRANSLATE(C186,""fr"",""en"")"),"Practical, easy and quick quote. However, the aid available at each field to be filled are not aid (no precise description) and redundant.
Cdt,")</f>
        <v>Practical, easy and quick quote. However, the aid available at each field to be filled are not aid (no precise description) and redundant.
Cdt,</v>
      </c>
    </row>
    <row r="187" spans="1:9" ht="15.75" customHeight="1" x14ac:dyDescent="0.3">
      <c r="A187" s="2">
        <v>1</v>
      </c>
      <c r="B187" s="2" t="s">
        <v>631</v>
      </c>
      <c r="C187" s="2" t="s">
        <v>632</v>
      </c>
      <c r="D187" s="2" t="s">
        <v>303</v>
      </c>
      <c r="E187" s="2" t="s">
        <v>129</v>
      </c>
      <c r="F187" s="2" t="s">
        <v>15</v>
      </c>
      <c r="G187" s="2" t="s">
        <v>633</v>
      </c>
      <c r="H187" s="2" t="s">
        <v>634</v>
      </c>
      <c r="I187" s="2" t="str">
        <f ca="1">IFERROR(__xludf.DUMMYFUNCTION("GOOGLETRANSLATE(C187,""fr"",""en"")"),"I made sure Macif. Without paying attention to the 3rd year, they added foresight without me asking ... I pay my subscription by thinking to pay that the house ... and voila ...")</f>
        <v>I made sure Macif. Without paying attention to the 3rd year, they added foresight without me asking ... I pay my subscription by thinking to pay that the house ... and voila ...</v>
      </c>
    </row>
    <row r="188" spans="1:9" ht="15.75" customHeight="1" x14ac:dyDescent="0.3">
      <c r="A188" s="2">
        <v>5</v>
      </c>
      <c r="B188" s="2" t="s">
        <v>635</v>
      </c>
      <c r="C188" s="2" t="s">
        <v>636</v>
      </c>
      <c r="D188" s="2" t="s">
        <v>493</v>
      </c>
      <c r="E188" s="2" t="s">
        <v>101</v>
      </c>
      <c r="F188" s="2" t="s">
        <v>15</v>
      </c>
      <c r="G188" s="2" t="s">
        <v>637</v>
      </c>
      <c r="H188" s="2" t="s">
        <v>25</v>
      </c>
      <c r="I188" s="2" t="str">
        <f ca="1">IFERROR(__xludf.DUMMYFUNCTION("GOOGLETRANSLATE(C188,""fr"",""en"")"),"I am satisfied with the service and the prices offered. The exchanges are clear and the steps are simplified. I cannot yet judge the quality of the insurance, however.")</f>
        <v>I am satisfied with the service and the prices offered. The exchanges are clear and the steps are simplified. I cannot yet judge the quality of the insurance, however.</v>
      </c>
    </row>
    <row r="189" spans="1:9" ht="15.75" customHeight="1" x14ac:dyDescent="0.3">
      <c r="A189" s="2">
        <v>1</v>
      </c>
      <c r="B189" s="2" t="s">
        <v>638</v>
      </c>
      <c r="C189" s="2" t="s">
        <v>639</v>
      </c>
      <c r="D189" s="2" t="s">
        <v>310</v>
      </c>
      <c r="E189" s="2" t="s">
        <v>14</v>
      </c>
      <c r="F189" s="2" t="s">
        <v>15</v>
      </c>
      <c r="G189" s="2" t="s">
        <v>640</v>
      </c>
      <c r="H189" s="2" t="s">
        <v>181</v>
      </c>
      <c r="I189" s="2" t="str">
        <f ca="1">IFERROR(__xludf.DUMMYFUNCTION("GOOGLETRANSLATE(C189,""fr"",""en"")"),"To flee I do not recommend it because the day that you will have only one claim the contract will be terminated lily take us for milk cows, ..................... ..................................")</f>
        <v>To flee I do not recommend it because the day that you will have only one claim the contract will be terminated lily take us for milk cows, ..................... ..................................</v>
      </c>
    </row>
    <row r="190" spans="1:9" ht="15.75" customHeight="1" x14ac:dyDescent="0.3">
      <c r="A190" s="2">
        <v>1</v>
      </c>
      <c r="B190" s="2" t="s">
        <v>641</v>
      </c>
      <c r="C190" s="2" t="s">
        <v>642</v>
      </c>
      <c r="D190" s="2" t="s">
        <v>80</v>
      </c>
      <c r="E190" s="2" t="s">
        <v>81</v>
      </c>
      <c r="F190" s="2" t="s">
        <v>15</v>
      </c>
      <c r="G190" s="2" t="s">
        <v>442</v>
      </c>
      <c r="H190" s="2" t="s">
        <v>442</v>
      </c>
      <c r="I190" s="2" t="str">
        <f ca="1">IFERROR(__xludf.DUMMYFUNCTION("GOOGLETRANSLATE(C190,""fr"",""en"")"),"An insurer not serious, I send all the documents by email and until today no green card, I pay for a very purple service, customer service are not on the net on the phone. I advise everyone not to take a contract with this insurer, problem are program, on"&amp;"ce you have paid the money is leaving, contilled and no refund. WARNING !!")</f>
        <v>An insurer not serious, I send all the documents by email and until today no green card, I pay for a very purple service, customer service are not on the net on the phone. I advise everyone not to take a contract with this insurer, problem are program, once you have paid the money is leaving, contilled and no refund. WARNING !!</v>
      </c>
    </row>
    <row r="191" spans="1:9" ht="15.75" customHeight="1" x14ac:dyDescent="0.3">
      <c r="A191" s="2">
        <v>3</v>
      </c>
      <c r="B191" s="2" t="s">
        <v>643</v>
      </c>
      <c r="C191" s="2" t="s">
        <v>644</v>
      </c>
      <c r="D191" s="2" t="s">
        <v>13</v>
      </c>
      <c r="E191" s="2" t="s">
        <v>14</v>
      </c>
      <c r="F191" s="2" t="s">
        <v>15</v>
      </c>
      <c r="G191" s="2" t="s">
        <v>645</v>
      </c>
      <c r="H191" s="2" t="s">
        <v>21</v>
      </c>
      <c r="I191" s="2" t="str">
        <f ca="1">IFERROR(__xludf.DUMMYFUNCTION("GOOGLETRANSLATE(C191,""fr"",""en"")"),"Very practical, easy fast, to see in use if the service is there, if this is the case I will sponsor other customers and other vehicles")</f>
        <v>Very practical, easy fast, to see in use if the service is there, if this is the case I will sponsor other customers and other vehicles</v>
      </c>
    </row>
    <row r="192" spans="1:9" ht="15.75" customHeight="1" x14ac:dyDescent="0.3">
      <c r="A192" s="2">
        <v>4</v>
      </c>
      <c r="B192" s="2" t="s">
        <v>646</v>
      </c>
      <c r="C192" s="2" t="s">
        <v>647</v>
      </c>
      <c r="D192" s="2" t="s">
        <v>28</v>
      </c>
      <c r="E192" s="2" t="s">
        <v>14</v>
      </c>
      <c r="F192" s="2" t="s">
        <v>15</v>
      </c>
      <c r="G192" s="2" t="s">
        <v>648</v>
      </c>
      <c r="H192" s="2" t="s">
        <v>17</v>
      </c>
      <c r="I192" s="2" t="str">
        <f ca="1">IFERROR(__xludf.DUMMYFUNCTION("GOOGLETRANSLATE(C192,""fr"",""en"")"),"Very well ! The advisor was fast and efficient, very clear and the proposed contract adapted to our expectations. We have another car ensured soon we will call on the olive tree.")</f>
        <v>Very well ! The advisor was fast and efficient, very clear and the proposed contract adapted to our expectations. We have another car ensured soon we will call on the olive tree.</v>
      </c>
    </row>
    <row r="193" spans="1:9" ht="15.75" customHeight="1" x14ac:dyDescent="0.3">
      <c r="A193" s="2">
        <v>2</v>
      </c>
      <c r="B193" s="2" t="s">
        <v>649</v>
      </c>
      <c r="C193" s="2" t="s">
        <v>650</v>
      </c>
      <c r="D193" s="2" t="s">
        <v>13</v>
      </c>
      <c r="E193" s="2" t="s">
        <v>129</v>
      </c>
      <c r="F193" s="2" t="s">
        <v>15</v>
      </c>
      <c r="G193" s="2" t="s">
        <v>651</v>
      </c>
      <c r="H193" s="2" t="s">
        <v>248</v>
      </c>
      <c r="I193" s="2" t="str">
        <f ca="1">IFERROR(__xludf.DUMMYFUNCTION("GOOGLETRANSLATE(C193,""fr"",""en"")"),"Scandalous! I subscribe to home insurance at Direct Insurance on 06/03/2020 for an apartment located in a new building during delivery, to a temporarily allocated address.
The cadastre having determined the final number, I ask on 06/30/2020 to Direct Ins"&amp;"urance the only modification on my contract of the building number, and that it is not my surprise to see the amount of my insurance Increased by 25 euros retroactive because considered to be a new contract! I contacted customer service by email and telep"&amp;"hone to return to the terms of the contract initially accepted. .. Nothing has done, I was released from the arguments inadmissible, as if I wanted to be swallowed that modifying the name of a street made changes the risk of a claim; No commercial gesture"&amp;" when we have several contracts with them ... It is not for the amount but for the principle! It is a totally scandalous abuse ... I do not agree so that we are taken for pigeons and I ask you to share this opinion.")</f>
        <v>Scandalous! I subscribe to home insurance at Direct Insurance on 06/03/2020 for an apartment located in a new building during delivery, to a temporarily allocated address.
The cadastre having determined the final number, I ask on 06/30/2020 to Direct Insurance the only modification on my contract of the building number, and that it is not my surprise to see the amount of my insurance Increased by 25 euros retroactive because considered to be a new contract! I contacted customer service by email and telephone to return to the terms of the contract initially accepted. .. Nothing has done, I was released from the arguments inadmissible, as if I wanted to be swallowed that modifying the name of a street made changes the risk of a claim; No commercial gesture when we have several contracts with them ... It is not for the amount but for the principle! It is a totally scandalous abuse ... I do not agree so that we are taken for pigeons and I ask you to share this opinion.</v>
      </c>
    </row>
    <row r="194" spans="1:9" ht="15.75" customHeight="1" x14ac:dyDescent="0.3">
      <c r="A194" s="2">
        <v>1</v>
      </c>
      <c r="B194" s="2" t="s">
        <v>652</v>
      </c>
      <c r="C194" s="2" t="s">
        <v>653</v>
      </c>
      <c r="D194" s="2" t="s">
        <v>80</v>
      </c>
      <c r="E194" s="2" t="s">
        <v>81</v>
      </c>
      <c r="F194" s="2" t="s">
        <v>15</v>
      </c>
      <c r="G194" s="2" t="s">
        <v>654</v>
      </c>
      <c r="H194" s="2" t="s">
        <v>83</v>
      </c>
      <c r="I194" s="2" t="str">
        <f ca="1">IFERROR(__xludf.DUMMYFUNCTION("GOOGLETRANSLATE(C194,""fr"",""en"")"),"The rest to improve. The advisor does not respect his commitments (it is agreed that he calls before 6:00 p.m. PIRT validate my contract on 07/06/2021, he did not do. I missed my purchase because of him ....)")</f>
        <v>The rest to improve. The advisor does not respect his commitments (it is agreed that he calls before 6:00 p.m. PIRT validate my contract on 07/06/2021, he did not do. I missed my purchase because of him ....)</v>
      </c>
    </row>
    <row r="195" spans="1:9" ht="15.75" customHeight="1" x14ac:dyDescent="0.3">
      <c r="A195" s="2">
        <v>4</v>
      </c>
      <c r="B195" s="2" t="s">
        <v>655</v>
      </c>
      <c r="C195" s="2" t="s">
        <v>656</v>
      </c>
      <c r="D195" s="2" t="s">
        <v>80</v>
      </c>
      <c r="E195" s="2" t="s">
        <v>81</v>
      </c>
      <c r="F195" s="2" t="s">
        <v>15</v>
      </c>
      <c r="G195" s="2" t="s">
        <v>657</v>
      </c>
      <c r="H195" s="2" t="s">
        <v>71</v>
      </c>
      <c r="I195" s="2" t="str">
        <f ca="1">IFERROR(__xludf.DUMMYFUNCTION("GOOGLETRANSLATE(C195,""fr"",""en"")"),"I am satisfied thank you very much it was really fast
I have other vehicles I will surely assure you it is absolutely perfect
Thanks a lot")</f>
        <v>I am satisfied thank you very much it was really fast
I have other vehicles I will surely assure you it is absolutely perfect
Thanks a lot</v>
      </c>
    </row>
    <row r="196" spans="1:9" ht="15.75" customHeight="1" x14ac:dyDescent="0.3">
      <c r="A196" s="2">
        <v>1</v>
      </c>
      <c r="B196" s="2" t="s">
        <v>658</v>
      </c>
      <c r="C196" s="2" t="s">
        <v>659</v>
      </c>
      <c r="D196" s="2" t="s">
        <v>13</v>
      </c>
      <c r="E196" s="2" t="s">
        <v>14</v>
      </c>
      <c r="F196" s="2" t="s">
        <v>15</v>
      </c>
      <c r="G196" s="2" t="s">
        <v>660</v>
      </c>
      <c r="H196" s="2" t="s">
        <v>661</v>
      </c>
      <c r="I196" s="2" t="str">
        <f ca="1">IFERROR(__xludf.DUMMYFUNCTION("GOOGLETRANSLATE(C196,""fr"",""en"")"),"does not want to transfer insurance to the garage courtesy vehicle - so no vehicle loan possible - insurance has gone from € 30/month to 46 €/month in 2 years")</f>
        <v>does not want to transfer insurance to the garage courtesy vehicle - so no vehicle loan possible - insurance has gone from € 30/month to 46 €/month in 2 years</v>
      </c>
    </row>
    <row r="197" spans="1:9" ht="15.75" customHeight="1" x14ac:dyDescent="0.3">
      <c r="A197" s="2">
        <v>4</v>
      </c>
      <c r="B197" s="2" t="s">
        <v>662</v>
      </c>
      <c r="C197" s="2" t="s">
        <v>663</v>
      </c>
      <c r="D197" s="2" t="s">
        <v>664</v>
      </c>
      <c r="E197" s="2" t="s">
        <v>39</v>
      </c>
      <c r="F197" s="2" t="s">
        <v>15</v>
      </c>
      <c r="G197" s="2" t="s">
        <v>494</v>
      </c>
      <c r="H197" s="2" t="s">
        <v>83</v>
      </c>
      <c r="I197" s="2" t="str">
        <f ca="1">IFERROR(__xludf.DUMMYFUNCTION("GOOGLETRANSLATE(C197,""fr"",""en"")"),"I thank Widad for his kindness to respond to my various requests in a clear and precise manner. Very professional and moreover with a smiling tone/pleasant all it is a plus ??.")</f>
        <v>I thank Widad for his kindness to respond to my various requests in a clear and precise manner. Very professional and moreover with a smiling tone/pleasant all it is a plus ??.</v>
      </c>
    </row>
    <row r="198" spans="1:9" ht="15.75" customHeight="1" x14ac:dyDescent="0.3">
      <c r="A198" s="2">
        <v>1</v>
      </c>
      <c r="B198" s="2" t="s">
        <v>665</v>
      </c>
      <c r="C198" s="2" t="s">
        <v>666</v>
      </c>
      <c r="D198" s="2" t="s">
        <v>38</v>
      </c>
      <c r="E198" s="2" t="s">
        <v>39</v>
      </c>
      <c r="F198" s="2" t="s">
        <v>15</v>
      </c>
      <c r="G198" s="2" t="s">
        <v>667</v>
      </c>
      <c r="H198" s="2" t="s">
        <v>83</v>
      </c>
      <c r="I198" s="2" t="str">
        <f ca="1">IFERROR(__xludf.DUMMYFUNCTION("GOOGLETRANSLATE(C198,""fr"",""en"")"),"Very bad mutual! to flee absolutely!
Always a problem to be reimbursed.
I have just been refused the reimbursement of the third -party third party for rheumatologists and physiotherapy visits. It is unacceptable. Look forward to seeing the end of the co"&amp;"ntract to head to a mutual worthy of the name.
")</f>
        <v xml:space="preserve">Very bad mutual! to flee absolutely!
Always a problem to be reimbursed.
I have just been refused the reimbursement of the third -party third party for rheumatologists and physiotherapy visits. It is unacceptable. Look forward to seeing the end of the contract to head to a mutual worthy of the name.
</v>
      </c>
    </row>
    <row r="199" spans="1:9" ht="15.75" customHeight="1" x14ac:dyDescent="0.3">
      <c r="A199" s="2">
        <v>4</v>
      </c>
      <c r="B199" s="2" t="s">
        <v>668</v>
      </c>
      <c r="C199" s="2" t="s">
        <v>669</v>
      </c>
      <c r="D199" s="2" t="s">
        <v>128</v>
      </c>
      <c r="E199" s="2" t="s">
        <v>14</v>
      </c>
      <c r="F199" s="2" t="s">
        <v>15</v>
      </c>
      <c r="G199" s="2" t="s">
        <v>670</v>
      </c>
      <c r="H199" s="2" t="s">
        <v>361</v>
      </c>
      <c r="I199" s="2" t="str">
        <f ca="1">IFERROR(__xludf.DUMMYFUNCTION("GOOGLETRANSLATE(C199,""fr"",""en"")"),"Ensured for auto and home + real estate loan. Good insurer but never a price drop offer despite a request 1 year ago following my loyalty. What is regrettable and pushes me to see elsewhere being a good insured. There is the competition that is present.")</f>
        <v>Ensured for auto and home + real estate loan. Good insurer but never a price drop offer despite a request 1 year ago following my loyalty. What is regrettable and pushes me to see elsewhere being a good insured. There is the competition that is present.</v>
      </c>
    </row>
    <row r="200" spans="1:9" ht="15.75" customHeight="1" x14ac:dyDescent="0.3">
      <c r="A200" s="2">
        <v>4</v>
      </c>
      <c r="B200" s="2" t="s">
        <v>671</v>
      </c>
      <c r="C200" s="2" t="s">
        <v>672</v>
      </c>
      <c r="D200" s="2" t="s">
        <v>493</v>
      </c>
      <c r="E200" s="2" t="s">
        <v>101</v>
      </c>
      <c r="F200" s="2" t="s">
        <v>15</v>
      </c>
      <c r="G200" s="2" t="s">
        <v>673</v>
      </c>
      <c r="H200" s="2" t="s">
        <v>111</v>
      </c>
      <c r="I200" s="2" t="str">
        <f ca="1">IFERROR(__xludf.DUMMYFUNCTION("GOOGLETRANSLATE(C200,""fr"",""en"")"),"I am very satisfied with Zen Up customer service
Good follow -up of files from start to the end of the subscription
Very good value for money I recommend")</f>
        <v>I am very satisfied with Zen Up customer service
Good follow -up of files from start to the end of the subscription
Very good value for money I recommend</v>
      </c>
    </row>
    <row r="201" spans="1:9" ht="15.75" customHeight="1" x14ac:dyDescent="0.3">
      <c r="A201" s="2">
        <v>3</v>
      </c>
      <c r="B201" s="2" t="s">
        <v>674</v>
      </c>
      <c r="C201" s="2" t="s">
        <v>675</v>
      </c>
      <c r="D201" s="2" t="s">
        <v>13</v>
      </c>
      <c r="E201" s="2" t="s">
        <v>14</v>
      </c>
      <c r="F201" s="2" t="s">
        <v>15</v>
      </c>
      <c r="G201" s="2" t="s">
        <v>676</v>
      </c>
      <c r="H201" s="2" t="s">
        <v>111</v>
      </c>
      <c r="I201" s="2" t="str">
        <f ca="1">IFERROR(__xludf.DUMMYFUNCTION("GOOGLETRANSLATE(C201,""fr"",""en"")"),"Simple and effective I hope not to be disappointed, especially when I need a service following a breakdown or accident. What I don't want at all")</f>
        <v>Simple and effective I hope not to be disappointed, especially when I need a service following a breakdown or accident. What I don't want at all</v>
      </c>
    </row>
    <row r="202" spans="1:9" ht="15.75" customHeight="1" x14ac:dyDescent="0.3">
      <c r="A202" s="2">
        <v>4</v>
      </c>
      <c r="B202" s="2" t="s">
        <v>677</v>
      </c>
      <c r="C202" s="2" t="s">
        <v>678</v>
      </c>
      <c r="D202" s="2" t="s">
        <v>13</v>
      </c>
      <c r="E202" s="2" t="s">
        <v>14</v>
      </c>
      <c r="F202" s="2" t="s">
        <v>15</v>
      </c>
      <c r="G202" s="2" t="s">
        <v>533</v>
      </c>
      <c r="H202" s="2" t="s">
        <v>25</v>
      </c>
      <c r="I202" s="2" t="str">
        <f ca="1">IFERROR(__xludf.DUMMYFUNCTION("GOOGLETRANSLATE(C202,""fr"",""en"")"),"I am very satisfied with the competence of my advisor and his speed to act. It's so good to deal with people who know their work on their fingertips.")</f>
        <v>I am very satisfied with the competence of my advisor and his speed to act. It's so good to deal with people who know their work on their fingertips.</v>
      </c>
    </row>
    <row r="203" spans="1:9" ht="15.75" customHeight="1" x14ac:dyDescent="0.3">
      <c r="A203" s="2">
        <v>1</v>
      </c>
      <c r="B203" s="2" t="s">
        <v>679</v>
      </c>
      <c r="C203" s="2" t="s">
        <v>680</v>
      </c>
      <c r="D203" s="2" t="s">
        <v>303</v>
      </c>
      <c r="E203" s="2" t="s">
        <v>14</v>
      </c>
      <c r="F203" s="2" t="s">
        <v>15</v>
      </c>
      <c r="G203" s="2" t="s">
        <v>681</v>
      </c>
      <c r="H203" s="2" t="s">
        <v>442</v>
      </c>
      <c r="I203" s="2" t="str">
        <f ca="1">IFERROR(__xludf.DUMMYFUNCTION("GOOGLETRANSLATE(C203,""fr"",""en"")"),"Hello,
I suffered a prejudice following the theft of my vehicle at the beginning of January 2019.
The expert in charge of my file confirms to me by written that the value of my vehicle after claim was 500 euros including tax.
Today despite my degrees ("&amp;"in agency and telephone) I am repeated in a loop that a manager will contact me. Pff it's been 2 months soon that I wait.
In the event of a claim you are no longer interesting. But to water continue to take my car insurance and send me my maturity. They "&amp;"are too strong !!! To break your morale.
Has anyone lived a disaster and obtained satisfaction ...
To read you,")</f>
        <v>Hello,
I suffered a prejudice following the theft of my vehicle at the beginning of January 2019.
The expert in charge of my file confirms to me by written that the value of my vehicle after claim was 500 euros including tax.
Today despite my degrees (in agency and telephone) I am repeated in a loop that a manager will contact me. Pff it's been 2 months soon that I wait.
In the event of a claim you are no longer interesting. But to water continue to take my car insurance and send me my maturity. They are too strong !!! To break your morale.
Has anyone lived a disaster and obtained satisfaction ...
To read you,</v>
      </c>
    </row>
    <row r="204" spans="1:9" ht="15.75" customHeight="1" x14ac:dyDescent="0.3">
      <c r="A204" s="2">
        <v>3</v>
      </c>
      <c r="B204" s="2" t="s">
        <v>682</v>
      </c>
      <c r="C204" s="2" t="s">
        <v>683</v>
      </c>
      <c r="D204" s="2" t="s">
        <v>65</v>
      </c>
      <c r="E204" s="2" t="s">
        <v>129</v>
      </c>
      <c r="F204" s="2" t="s">
        <v>15</v>
      </c>
      <c r="G204" s="2" t="s">
        <v>684</v>
      </c>
      <c r="H204" s="2" t="s">
        <v>328</v>
      </c>
      <c r="I204" s="2" t="str">
        <f ca="1">IFERROR(__xludf.DUMMYFUNCTION("GOOGLETRANSLATE(C204,""fr"",""en"")"),"My son had an important water damage in his house and I can tell you that they were great expert the next day and set up to make the pre -set up.")</f>
        <v>My son had an important water damage in his house and I can tell you that they were great expert the next day and set up to make the pre -set up.</v>
      </c>
    </row>
    <row r="205" spans="1:9" ht="15.75" customHeight="1" x14ac:dyDescent="0.3">
      <c r="A205" s="2">
        <v>4</v>
      </c>
      <c r="B205" s="2" t="s">
        <v>685</v>
      </c>
      <c r="C205" s="2" t="s">
        <v>686</v>
      </c>
      <c r="D205" s="2" t="s">
        <v>13</v>
      </c>
      <c r="E205" s="2" t="s">
        <v>14</v>
      </c>
      <c r="F205" s="2" t="s">
        <v>15</v>
      </c>
      <c r="G205" s="2" t="s">
        <v>687</v>
      </c>
      <c r="H205" s="2" t="s">
        <v>83</v>
      </c>
      <c r="I205" s="2" t="str">
        <f ca="1">IFERROR(__xludf.DUMMYFUNCTION("GOOGLETRANSLATE(C205,""fr"",""en"")"),"The prices are reasonable as well as the very numerous offers The customer is well affected always kind and listening on the phone and discounts are always made when you have good driving")</f>
        <v>The prices are reasonable as well as the very numerous offers The customer is well affected always kind and listening on the phone and discounts are always made when you have good driving</v>
      </c>
    </row>
    <row r="206" spans="1:9" ht="15.75" customHeight="1" x14ac:dyDescent="0.3">
      <c r="A206" s="2">
        <v>1</v>
      </c>
      <c r="B206" s="2" t="s">
        <v>688</v>
      </c>
      <c r="C206" s="2" t="s">
        <v>689</v>
      </c>
      <c r="D206" s="2" t="s">
        <v>49</v>
      </c>
      <c r="E206" s="2" t="s">
        <v>50</v>
      </c>
      <c r="F206" s="2" t="s">
        <v>15</v>
      </c>
      <c r="G206" s="2" t="s">
        <v>690</v>
      </c>
      <c r="H206" s="2" t="s">
        <v>634</v>
      </c>
      <c r="I206" s="2" t="str">
        <f ca="1">IFERROR(__xludf.DUMMYFUNCTION("GOOGLETRANSLATE(C206,""fr"",""en"")"),"I wish to terminate my contract but I cannot connect to my account and on the phone the advisers do not want to know anything")</f>
        <v>I wish to terminate my contract but I cannot connect to my account and on the phone the advisers do not want to know anything</v>
      </c>
    </row>
    <row r="207" spans="1:9" ht="15.75" customHeight="1" x14ac:dyDescent="0.3">
      <c r="A207" s="2">
        <v>4</v>
      </c>
      <c r="B207" s="2" t="s">
        <v>691</v>
      </c>
      <c r="C207" s="2" t="s">
        <v>692</v>
      </c>
      <c r="D207" s="2" t="s">
        <v>13</v>
      </c>
      <c r="E207" s="2" t="s">
        <v>14</v>
      </c>
      <c r="F207" s="2" t="s">
        <v>15</v>
      </c>
      <c r="G207" s="2" t="s">
        <v>645</v>
      </c>
      <c r="H207" s="2" t="s">
        <v>21</v>
      </c>
      <c r="I207" s="2" t="str">
        <f ca="1">IFERROR(__xludf.DUMMYFUNCTION("GOOGLETRANSLATE(C207,""fr"",""en"")"),"I am satisfied with the service, responsiveness and availability of agents.
The prices are very correct. The online service is clear and effective.")</f>
        <v>I am satisfied with the service, responsiveness and availability of agents.
The prices are very correct. The online service is clear and effective.</v>
      </c>
    </row>
    <row r="208" spans="1:9" ht="15.75" customHeight="1" x14ac:dyDescent="0.3">
      <c r="A208" s="2">
        <v>1</v>
      </c>
      <c r="B208" s="2" t="s">
        <v>693</v>
      </c>
      <c r="C208" s="2" t="s">
        <v>694</v>
      </c>
      <c r="D208" s="2" t="s">
        <v>695</v>
      </c>
      <c r="E208" s="2" t="s">
        <v>50</v>
      </c>
      <c r="F208" s="2" t="s">
        <v>15</v>
      </c>
      <c r="G208" s="2" t="s">
        <v>696</v>
      </c>
      <c r="H208" s="2" t="s">
        <v>111</v>
      </c>
      <c r="I208" s="2" t="str">
        <f ca="1">IFERROR(__xludf.DUMMYFUNCTION("GOOGLETRANSLATE(C208,""fr"",""en"")"),"not serious insurance, I contracted a contract which started in January 2022, on the phone it was agreed that they were terminated my current insurance and that I will not have a deficiency deadline but on the contract 6 months of deficiency 'I tried to c"&amp;"all but no one contacted me, so I terminated by registered letter with AR. Today I am called but to tell me that my termination is not accepted I exceeded 14 days of withdrawal and I will have to pay insurance that I do not want for a year")</f>
        <v>not serious insurance, I contracted a contract which started in January 2022, on the phone it was agreed that they were terminated my current insurance and that I will not have a deficiency deadline but on the contract 6 months of deficiency 'I tried to call but no one contacted me, so I terminated by registered letter with AR. Today I am called but to tell me that my termination is not accepted I exceeded 14 days of withdrawal and I will have to pay insurance that I do not want for a year</v>
      </c>
    </row>
    <row r="209" spans="1:9" ht="15.75" customHeight="1" x14ac:dyDescent="0.3">
      <c r="A209" s="2">
        <v>4</v>
      </c>
      <c r="B209" s="2" t="s">
        <v>697</v>
      </c>
      <c r="C209" s="2" t="s">
        <v>698</v>
      </c>
      <c r="D209" s="2" t="s">
        <v>80</v>
      </c>
      <c r="E209" s="2" t="s">
        <v>81</v>
      </c>
      <c r="F209" s="2" t="s">
        <v>15</v>
      </c>
      <c r="G209" s="2" t="s">
        <v>699</v>
      </c>
      <c r="H209" s="2" t="s">
        <v>83</v>
      </c>
      <c r="I209" s="2" t="str">
        <f ca="1">IFERROR(__xludf.DUMMYFUNCTION("GOOGLETRANSLATE(C209,""fr"",""en"")"),"I am satisfied with the services of this insurance
Fast and efficient and inexpensive I hope not to be disappointed in the event of a disaster but I do not have we have")</f>
        <v>I am satisfied with the services of this insurance
Fast and efficient and inexpensive I hope not to be disappointed in the event of a disaster but I do not have we have</v>
      </c>
    </row>
    <row r="210" spans="1:9" ht="15.75" customHeight="1" x14ac:dyDescent="0.3">
      <c r="A210" s="2">
        <v>3</v>
      </c>
      <c r="B210" s="2" t="s">
        <v>700</v>
      </c>
      <c r="C210" s="2" t="s">
        <v>701</v>
      </c>
      <c r="D210" s="2" t="s">
        <v>13</v>
      </c>
      <c r="E210" s="2" t="s">
        <v>14</v>
      </c>
      <c r="F210" s="2" t="s">
        <v>15</v>
      </c>
      <c r="G210" s="2" t="s">
        <v>702</v>
      </c>
      <c r="H210" s="2" t="s">
        <v>286</v>
      </c>
      <c r="I210" s="2" t="str">
        <f ca="1">IFERROR(__xludf.DUMMYFUNCTION("GOOGLETRANSLATE(C210,""fr"",""en"")"),"Relatively satisfied with the service and the choices made available, after contact with an advisor it is likely that I recommend this insurance to those around me
")</f>
        <v xml:space="preserve">Relatively satisfied with the service and the choices made available, after contact with an advisor it is likely that I recommend this insurance to those around me
</v>
      </c>
    </row>
    <row r="211" spans="1:9" ht="15.75" customHeight="1" x14ac:dyDescent="0.3">
      <c r="A211" s="2">
        <v>1</v>
      </c>
      <c r="B211" s="2" t="s">
        <v>703</v>
      </c>
      <c r="C211" s="2" t="s">
        <v>704</v>
      </c>
      <c r="D211" s="2" t="s">
        <v>145</v>
      </c>
      <c r="E211" s="2" t="s">
        <v>14</v>
      </c>
      <c r="F211" s="2" t="s">
        <v>15</v>
      </c>
      <c r="G211" s="2" t="s">
        <v>705</v>
      </c>
      <c r="H211" s="2" t="s">
        <v>232</v>
      </c>
      <c r="I211" s="2" t="str">
        <f ca="1">IFERROR(__xludf.DUMMYFUNCTION("GOOGLETRANSLATE(C211,""fr"",""en"")"),"Renault Zoé accident")</f>
        <v>Renault Zoé accident</v>
      </c>
    </row>
    <row r="212" spans="1:9" ht="15.75" customHeight="1" x14ac:dyDescent="0.3">
      <c r="A212" s="2">
        <v>2</v>
      </c>
      <c r="B212" s="2" t="s">
        <v>706</v>
      </c>
      <c r="C212" s="2" t="s">
        <v>707</v>
      </c>
      <c r="D212" s="2" t="s">
        <v>303</v>
      </c>
      <c r="E212" s="2" t="s">
        <v>14</v>
      </c>
      <c r="F212" s="2" t="s">
        <v>15</v>
      </c>
      <c r="G212" s="2" t="s">
        <v>708</v>
      </c>
      <c r="H212" s="2" t="s">
        <v>108</v>
      </c>
      <c r="I212" s="2" t="str">
        <f ca="1">IFERROR(__xludf.DUMMYFUNCTION("GOOGLETRANSLATE(C212,""fr"",""en"")"),"I had hope of a fair return of a mutual to these members after such a special year (confinement ect) and the very low use of vehicles (I have 2 in all risks all year round). I see on the deadline that not.
In addition to having no drop or retrocession pa"&amp;"ckage like other insurers, certain contracts have even increased such as motorcycle or body, a shame.
Justifying yourself by giving associations or works is good but the direct return to your members who make you live, would have been even better. I hope"&amp;" at least that you will make your employees benefit from savings via your annual premiums.
However, I do not criticize customer service which is currently satisfactory.")</f>
        <v>I had hope of a fair return of a mutual to these members after such a special year (confinement ect) and the very low use of vehicles (I have 2 in all risks all year round). I see on the deadline that not.
In addition to having no drop or retrocession package like other insurers, certain contracts have even increased such as motorcycle or body, a shame.
Justifying yourself by giving associations or works is good but the direct return to your members who make you live, would have been even better. I hope at least that you will make your employees benefit from savings via your annual premiums.
However, I do not criticize customer service which is currently satisfactory.</v>
      </c>
    </row>
    <row r="213" spans="1:9" ht="15.75" customHeight="1" x14ac:dyDescent="0.3">
      <c r="A213" s="2">
        <v>4</v>
      </c>
      <c r="B213" s="2" t="s">
        <v>709</v>
      </c>
      <c r="C213" s="2" t="s">
        <v>710</v>
      </c>
      <c r="D213" s="2" t="s">
        <v>49</v>
      </c>
      <c r="E213" s="2" t="s">
        <v>50</v>
      </c>
      <c r="F213" s="2" t="s">
        <v>15</v>
      </c>
      <c r="G213" s="2" t="s">
        <v>605</v>
      </c>
      <c r="H213" s="2" t="s">
        <v>41</v>
      </c>
      <c r="I213" s="2" t="str">
        <f ca="1">IFERROR(__xludf.DUMMYFUNCTION("GOOGLETRANSLATE(C213,""fr"",""en"")"),"Owner of a Bernese Bouvier, I contracted a contract when he was 3 years old. He fell seriously ill, while the deficiency period had only been reached since 24 hours; All exams and care were taken care of according to the contract clauses without question "&amp;"(scan, colonoscopy, MRI)
At the end of 2017, at the end of 2017, he fell very seriously ill, and although he did many exams and treatments, the veterinarians could not save him. Again, the reimbursements were rapid. I was very saddened by this loss, so I"&amp;" did not warn Health only a few weeks after his death; I was reimbursed for too perceived without even having to ask for it.")</f>
        <v>Owner of a Bernese Bouvier, I contracted a contract when he was 3 years old. He fell seriously ill, while the deficiency period had only been reached since 24 hours; All exams and care were taken care of according to the contract clauses without question (scan, colonoscopy, MRI)
At the end of 2017, at the end of 2017, he fell very seriously ill, and although he did many exams and treatments, the veterinarians could not save him. Again, the reimbursements were rapid. I was very saddened by this loss, so I did not warn Health only a few weeks after his death; I was reimbursed for too perceived without even having to ask for it.</v>
      </c>
    </row>
    <row r="214" spans="1:9" ht="15.75" customHeight="1" x14ac:dyDescent="0.3">
      <c r="A214" s="2">
        <v>1</v>
      </c>
      <c r="B214" s="2" t="s">
        <v>711</v>
      </c>
      <c r="C214" s="2" t="s">
        <v>712</v>
      </c>
      <c r="D214" s="2" t="s">
        <v>13</v>
      </c>
      <c r="E214" s="2" t="s">
        <v>14</v>
      </c>
      <c r="F214" s="2" t="s">
        <v>15</v>
      </c>
      <c r="G214" s="2" t="s">
        <v>713</v>
      </c>
      <c r="H214" s="2" t="s">
        <v>25</v>
      </c>
      <c r="I214" s="2" t="str">
        <f ca="1">IFERROR(__xludf.DUMMYFUNCTION("GOOGLETRANSLATE(C214,""fr"",""en"")"),"Hello, I just received my new schedule and discover 11% increase for the next year. I am not ready to accept this increase which is not justified for a 2020 inflation in France of 0.5%, in any case no explanation is provided by Direct Insurance justifying"&amp;" this increase. Have a good day.")</f>
        <v>Hello, I just received my new schedule and discover 11% increase for the next year. I am not ready to accept this increase which is not justified for a 2020 inflation in France of 0.5%, in any case no explanation is provided by Direct Insurance justifying this increase. Have a good day.</v>
      </c>
    </row>
    <row r="215" spans="1:9" ht="15.75" customHeight="1" x14ac:dyDescent="0.3">
      <c r="A215" s="2">
        <v>1</v>
      </c>
      <c r="B215" s="2" t="s">
        <v>714</v>
      </c>
      <c r="C215" s="2" t="s">
        <v>715</v>
      </c>
      <c r="D215" s="2" t="s">
        <v>465</v>
      </c>
      <c r="E215" s="2" t="s">
        <v>39</v>
      </c>
      <c r="F215" s="2" t="s">
        <v>15</v>
      </c>
      <c r="G215" s="2" t="s">
        <v>716</v>
      </c>
      <c r="H215" s="2" t="s">
        <v>25</v>
      </c>
      <c r="I215" s="2" t="str">
        <f ca="1">IFERROR(__xludf.DUMMYFUNCTION("GOOGLETRANSLATE(C215,""fr"",""en"")"),"Unreachable mutual insurance, do not respond to the email, not telephone ... except by letter (at the Ere of digital), seeks the small detail so as not to reimburse you, insurance in bad faith.
Loss of time, stamps, money ...
")</f>
        <v xml:space="preserve">Unreachable mutual insurance, do not respond to the email, not telephone ... except by letter (at the Ere of digital), seeks the small detail so as not to reimburse you, insurance in bad faith.
Loss of time, stamps, money ...
</v>
      </c>
    </row>
    <row r="216" spans="1:9" ht="15.75" customHeight="1" x14ac:dyDescent="0.3">
      <c r="A216" s="2">
        <v>1</v>
      </c>
      <c r="B216" s="2" t="s">
        <v>717</v>
      </c>
      <c r="C216" s="2" t="s">
        <v>718</v>
      </c>
      <c r="D216" s="2" t="s">
        <v>100</v>
      </c>
      <c r="E216" s="2" t="s">
        <v>101</v>
      </c>
      <c r="F216" s="2" t="s">
        <v>15</v>
      </c>
      <c r="G216" s="2" t="s">
        <v>719</v>
      </c>
      <c r="H216" s="2" t="s">
        <v>30</v>
      </c>
      <c r="I216" s="2" t="str">
        <f ca="1">IFERROR(__xludf.DUMMYFUNCTION("GOOGLETRANSLATE(C216,""fr"",""en"")"),"To flee !!!! My husband had covid from the 1st confinement so not confirmed by blood test but given the symptoms no doubt. He put more than 6 months to recover. Caci never wanted to compensate him, there is always something that is missing. Lately it is t"&amp;"he proof of work stoppage of 2007 !!!! Who are we laughing at??? Result we change insurance!")</f>
        <v>To flee !!!! My husband had covid from the 1st confinement so not confirmed by blood test but given the symptoms no doubt. He put more than 6 months to recover. Caci never wanted to compensate him, there is always something that is missing. Lately it is the proof of work stoppage of 2007 !!!! Who are we laughing at??? Result we change insurance!</v>
      </c>
    </row>
    <row r="217" spans="1:9" ht="15.75" customHeight="1" x14ac:dyDescent="0.3">
      <c r="A217" s="2">
        <v>3</v>
      </c>
      <c r="B217" s="2" t="s">
        <v>720</v>
      </c>
      <c r="C217" s="2" t="s">
        <v>721</v>
      </c>
      <c r="D217" s="2" t="s">
        <v>284</v>
      </c>
      <c r="E217" s="2" t="s">
        <v>81</v>
      </c>
      <c r="F217" s="2" t="s">
        <v>15</v>
      </c>
      <c r="G217" s="2" t="s">
        <v>722</v>
      </c>
      <c r="H217" s="2" t="s">
        <v>21</v>
      </c>
      <c r="I217" s="2" t="str">
        <f ca="1">IFERROR(__xludf.DUMMYFUNCTION("GOOGLETRANSLATE(C217,""fr"",""en"")"),"Overall, the Mutuelle des Motards gave me satisfaction but it is clear that now it is the unlikely Mutual Mutual D or their new slogan ""If you don't need to call us""")</f>
        <v>Overall, the Mutuelle des Motards gave me satisfaction but it is clear that now it is the unlikely Mutual Mutual D or their new slogan "If you don't need to call us"</v>
      </c>
    </row>
    <row r="218" spans="1:9" ht="15.75" customHeight="1" x14ac:dyDescent="0.3">
      <c r="A218" s="2">
        <v>1</v>
      </c>
      <c r="B218" s="2" t="s">
        <v>723</v>
      </c>
      <c r="C218" s="2" t="s">
        <v>724</v>
      </c>
      <c r="D218" s="2" t="s">
        <v>89</v>
      </c>
      <c r="E218" s="2" t="s">
        <v>39</v>
      </c>
      <c r="F218" s="2" t="s">
        <v>15</v>
      </c>
      <c r="G218" s="2" t="s">
        <v>725</v>
      </c>
      <c r="H218" s="2" t="s">
        <v>21</v>
      </c>
      <c r="I218" s="2" t="str">
        <f ca="1">IFERROR(__xludf.DUMMYFUNCTION("GOOGLETRANSLATE(C218,""fr"",""en"")"),"I have been in this mutual insurance company since January 2021, very disappointed, not at all the criteria I had asked, unpleasant surprise during reimbursements and when we get them .......,
I take steps for another more competent mutual, more when we "&amp;"ask for an explanation, they have the audacity to tell us that we are in bad faith")</f>
        <v>I have been in this mutual insurance company since January 2021, very disappointed, not at all the criteria I had asked, unpleasant surprise during reimbursements and when we get them .......,
I take steps for another more competent mutual, more when we ask for an explanation, they have the audacity to tell us that we are in bad faith</v>
      </c>
    </row>
    <row r="219" spans="1:9" ht="15.75" customHeight="1" x14ac:dyDescent="0.3">
      <c r="A219" s="2">
        <v>2</v>
      </c>
      <c r="B219" s="2" t="s">
        <v>726</v>
      </c>
      <c r="C219" s="2" t="s">
        <v>727</v>
      </c>
      <c r="D219" s="2" t="s">
        <v>13</v>
      </c>
      <c r="E219" s="2" t="s">
        <v>14</v>
      </c>
      <c r="F219" s="2" t="s">
        <v>15</v>
      </c>
      <c r="G219" s="2" t="s">
        <v>164</v>
      </c>
      <c r="H219" s="2" t="s">
        <v>30</v>
      </c>
      <c r="I219" s="2" t="str">
        <f ca="1">IFERROR(__xludf.DUMMYFUNCTION("GOOGLETRANSLATE(C219,""fr"",""en"")"),"Hello,
I am disappointed, you do not want to make sure because of three broken ice which I am not responsible!
Difficult to avoid a gravel that we do not see arriving, on newly gravel roads.
Cordially")</f>
        <v>Hello,
I am disappointed, you do not want to make sure because of three broken ice which I am not responsible!
Difficult to avoid a gravel that we do not see arriving, on newly gravel roads.
Cordially</v>
      </c>
    </row>
    <row r="220" spans="1:9" ht="15.75" customHeight="1" x14ac:dyDescent="0.3">
      <c r="A220" s="2">
        <v>3</v>
      </c>
      <c r="B220" s="2" t="s">
        <v>728</v>
      </c>
      <c r="C220" s="2" t="s">
        <v>729</v>
      </c>
      <c r="D220" s="2" t="s">
        <v>13</v>
      </c>
      <c r="E220" s="2" t="s">
        <v>14</v>
      </c>
      <c r="F220" s="2" t="s">
        <v>15</v>
      </c>
      <c r="G220" s="2" t="s">
        <v>730</v>
      </c>
      <c r="H220" s="2" t="s">
        <v>111</v>
      </c>
      <c r="I220" s="2" t="str">
        <f ca="1">IFERROR(__xludf.DUMMYFUNCTION("GOOGLETRANSLATE(C220,""fr"",""en"")"),"Simple easy and practical.
Correct price despite a slight desire for accession to options.
It is not possible to link an existing member in order to benefit the latter from the sponsorship.")</f>
        <v>Simple easy and practical.
Correct price despite a slight desire for accession to options.
It is not possible to link an existing member in order to benefit the latter from the sponsorship.</v>
      </c>
    </row>
    <row r="221" spans="1:9" ht="15.75" customHeight="1" x14ac:dyDescent="0.3">
      <c r="A221" s="2">
        <v>5</v>
      </c>
      <c r="B221" s="2" t="s">
        <v>731</v>
      </c>
      <c r="C221" s="2" t="s">
        <v>732</v>
      </c>
      <c r="D221" s="2" t="s">
        <v>28</v>
      </c>
      <c r="E221" s="2" t="s">
        <v>14</v>
      </c>
      <c r="F221" s="2" t="s">
        <v>15</v>
      </c>
      <c r="G221" s="2" t="s">
        <v>733</v>
      </c>
      <c r="H221" s="2" t="s">
        <v>25</v>
      </c>
      <c r="I221" s="2" t="str">
        <f ca="1">IFERROR(__xludf.DUMMYFUNCTION("GOOGLETRANSLATE(C221,""fr"",""en"")"),"I have subscribed to you because you are the cheapest on the market.
I wanted insurance with flight &amp; fire, and you are the only ones to offer me this price for these guarantees.")</f>
        <v>I have subscribed to you because you are the cheapest on the market.
I wanted insurance with flight &amp; fire, and you are the only ones to offer me this price for these guarantees.</v>
      </c>
    </row>
    <row r="222" spans="1:9" ht="15.75" customHeight="1" x14ac:dyDescent="0.3">
      <c r="A222" s="2">
        <v>1</v>
      </c>
      <c r="B222" s="2" t="s">
        <v>734</v>
      </c>
      <c r="C222" s="2" t="s">
        <v>735</v>
      </c>
      <c r="D222" s="2" t="s">
        <v>281</v>
      </c>
      <c r="E222" s="2" t="s">
        <v>39</v>
      </c>
      <c r="F222" s="2" t="s">
        <v>15</v>
      </c>
      <c r="G222" s="2" t="s">
        <v>497</v>
      </c>
      <c r="H222" s="2" t="s">
        <v>57</v>
      </c>
      <c r="I222" s="2" t="str">
        <f ca="1">IFERROR(__xludf.DUMMYFUNCTION("GOOGLETRANSLATE(C222,""fr"",""en"")"),"Very difficult to reach. Never respond to emails. Much delay in the processing of requests for care for complementary solidarity health. But invoice them when we are not taken care of. 3 weeks to process a regulation by check. And when they are called, it"&amp;" never responds. I saw them call them 8 times before I have an interlocutor and again ... It's deplorable !!!")</f>
        <v>Very difficult to reach. Never respond to emails. Much delay in the processing of requests for care for complementary solidarity health. But invoice them when we are not taken care of. 3 weeks to process a regulation by check. And when they are called, it never responds. I saw them call them 8 times before I have an interlocutor and again ... It's deplorable !!!</v>
      </c>
    </row>
    <row r="223" spans="1:9" ht="15.75" customHeight="1" x14ac:dyDescent="0.3">
      <c r="A223" s="2">
        <v>5</v>
      </c>
      <c r="B223" s="2" t="s">
        <v>736</v>
      </c>
      <c r="C223" s="2" t="s">
        <v>737</v>
      </c>
      <c r="D223" s="2" t="s">
        <v>28</v>
      </c>
      <c r="E223" s="2" t="s">
        <v>14</v>
      </c>
      <c r="F223" s="2" t="s">
        <v>15</v>
      </c>
      <c r="G223" s="2" t="s">
        <v>738</v>
      </c>
      <c r="H223" s="2" t="s">
        <v>46</v>
      </c>
      <c r="I223" s="2" t="str">
        <f ca="1">IFERROR(__xludf.DUMMYFUNCTION("GOOGLETRANSLATE(C223,""fr"",""en"")"),"I am satisfied with the procedure, now to see in time if in the event of a problem you will be reacted to the situation. came thanks to a friend who recommended me")</f>
        <v>I am satisfied with the procedure, now to see in time if in the event of a problem you will be reacted to the situation. came thanks to a friend who recommended me</v>
      </c>
    </row>
    <row r="224" spans="1:9" ht="15.75" customHeight="1" x14ac:dyDescent="0.3">
      <c r="A224" s="2">
        <v>2</v>
      </c>
      <c r="B224" s="2" t="s">
        <v>739</v>
      </c>
      <c r="C224" s="2" t="s">
        <v>740</v>
      </c>
      <c r="D224" s="2" t="s">
        <v>120</v>
      </c>
      <c r="E224" s="2" t="s">
        <v>61</v>
      </c>
      <c r="F224" s="2" t="s">
        <v>15</v>
      </c>
      <c r="G224" s="2" t="s">
        <v>741</v>
      </c>
      <c r="H224" s="2" t="s">
        <v>347</v>
      </c>
      <c r="I224" s="2" t="str">
        <f ca="1">IFERROR(__xludf.DUMMYFUNCTION("GOOGLETRANSLATE(C224,""fr"",""en"")"),"Incredible partial reimbursement period! Request sent on 12/22 to benefit from the reduction. Despite several calls which all confirm that everything is in order, the transfer is still not there on 3/01. Tax advantage lost for the year. Never seen that! I"&amp;" study the appeals ...")</f>
        <v>Incredible partial reimbursement period! Request sent on 12/22 to benefit from the reduction. Despite several calls which all confirm that everything is in order, the transfer is still not there on 3/01. Tax advantage lost for the year. Never seen that! I study the appeals ...</v>
      </c>
    </row>
    <row r="225" spans="1:9" ht="15.75" customHeight="1" x14ac:dyDescent="0.3">
      <c r="A225" s="2">
        <v>1</v>
      </c>
      <c r="B225" s="2" t="s">
        <v>742</v>
      </c>
      <c r="C225" s="2" t="s">
        <v>743</v>
      </c>
      <c r="D225" s="2" t="s">
        <v>89</v>
      </c>
      <c r="E225" s="2" t="s">
        <v>39</v>
      </c>
      <c r="F225" s="2" t="s">
        <v>15</v>
      </c>
      <c r="G225" s="2" t="s">
        <v>744</v>
      </c>
      <c r="H225" s="2" t="s">
        <v>745</v>
      </c>
      <c r="I225" s="2" t="str">
        <f ca="1">IFERROR(__xludf.DUMMYFUNCTION("GOOGLETRANSLATE(C225,""fr"",""en"")"),"To flee as soon as possible! Always find the little flaw not to reimburse services. Read the small lines of the general conditions and the table of guarantees with a magnifying glass! Very difficult to terminate ...")</f>
        <v>To flee as soon as possible! Always find the little flaw not to reimburse services. Read the small lines of the general conditions and the table of guarantees with a magnifying glass! Very difficult to terminate ...</v>
      </c>
    </row>
    <row r="226" spans="1:9" ht="15.75" customHeight="1" x14ac:dyDescent="0.3">
      <c r="A226" s="2">
        <v>4</v>
      </c>
      <c r="B226" s="2" t="s">
        <v>746</v>
      </c>
      <c r="C226" s="2" t="s">
        <v>747</v>
      </c>
      <c r="D226" s="2" t="s">
        <v>13</v>
      </c>
      <c r="E226" s="2" t="s">
        <v>14</v>
      </c>
      <c r="F226" s="2" t="s">
        <v>15</v>
      </c>
      <c r="G226" s="2" t="s">
        <v>748</v>
      </c>
      <c r="H226" s="2" t="s">
        <v>83</v>
      </c>
      <c r="I226" s="2" t="str">
        <f ca="1">IFERROR(__xludf.DUMMYFUNCTION("GOOGLETRANSLATE(C226,""fr"",""en"")"),"We always find the prices very expensive, but for the moment it's okay. I'm not sure what to add, but customer service by phone is very nice.")</f>
        <v>We always find the prices very expensive, but for the moment it's okay. I'm not sure what to add, but customer service by phone is very nice.</v>
      </c>
    </row>
    <row r="227" spans="1:9" ht="15.75" customHeight="1" x14ac:dyDescent="0.3">
      <c r="A227" s="2">
        <v>1</v>
      </c>
      <c r="B227" s="2" t="s">
        <v>749</v>
      </c>
      <c r="C227" s="2" t="s">
        <v>750</v>
      </c>
      <c r="D227" s="2" t="s">
        <v>13</v>
      </c>
      <c r="E227" s="2" t="s">
        <v>14</v>
      </c>
      <c r="F227" s="2" t="s">
        <v>15</v>
      </c>
      <c r="G227" s="2" t="s">
        <v>751</v>
      </c>
      <c r="H227" s="2" t="s">
        <v>125</v>
      </c>
      <c r="I227" s="2" t="str">
        <f ca="1">IFERROR(__xludf.DUMMYFUNCTION("GOOGLETRANSLATE(C227,""fr"",""en"")"),"Direct Insurance is the worst insurance not only is expensive but customer service is deplorable, advisers speak French badly and do not take into account your requests who are big to flee !!")</f>
        <v>Direct Insurance is the worst insurance not only is expensive but customer service is deplorable, advisers speak French badly and do not take into account your requests who are big to flee !!</v>
      </c>
    </row>
    <row r="228" spans="1:9" ht="15.75" customHeight="1" x14ac:dyDescent="0.3">
      <c r="A228" s="2">
        <v>5</v>
      </c>
      <c r="B228" s="2" t="s">
        <v>752</v>
      </c>
      <c r="C228" s="2" t="s">
        <v>753</v>
      </c>
      <c r="D228" s="2" t="s">
        <v>28</v>
      </c>
      <c r="E228" s="2" t="s">
        <v>14</v>
      </c>
      <c r="F228" s="2" t="s">
        <v>15</v>
      </c>
      <c r="G228" s="2" t="s">
        <v>754</v>
      </c>
      <c r="H228" s="2" t="s">
        <v>30</v>
      </c>
      <c r="I228" s="2" t="str">
        <f ca="1">IFERROR(__xludf.DUMMYFUNCTION("GOOGLETRANSLATE(C228,""fr"",""en"")"),"Perfect I recommend the
Advice was very
Clear in his explanations.
All is
Perfect
??
")</f>
        <v xml:space="preserve">Perfect I recommend the
Advice was very
Clear in his explanations.
All is
Perfect
??
</v>
      </c>
    </row>
    <row r="229" spans="1:9" ht="15.75" customHeight="1" x14ac:dyDescent="0.3">
      <c r="A229" s="2">
        <v>5</v>
      </c>
      <c r="B229" s="2" t="s">
        <v>755</v>
      </c>
      <c r="C229" s="2" t="s">
        <v>756</v>
      </c>
      <c r="D229" s="2" t="s">
        <v>28</v>
      </c>
      <c r="E229" s="2" t="s">
        <v>14</v>
      </c>
      <c r="F229" s="2" t="s">
        <v>15</v>
      </c>
      <c r="G229" s="2" t="s">
        <v>757</v>
      </c>
      <c r="H229" s="2" t="s">
        <v>21</v>
      </c>
      <c r="I229" s="2" t="str">
        <f ca="1">IFERROR(__xludf.DUMMYFUNCTION("GOOGLETRANSLATE(C229,""fr"",""en"")"),"Top thank you pro call pro, top price, kindness and understanding of samantha thank you for very good continuation to you I would recommend your services, good to you")</f>
        <v>Top thank you pro call pro, top price, kindness and understanding of samantha thank you for very good continuation to you I would recommend your services, good to you</v>
      </c>
    </row>
    <row r="230" spans="1:9" ht="15.75" customHeight="1" x14ac:dyDescent="0.3">
      <c r="A230" s="2">
        <v>4</v>
      </c>
      <c r="B230" s="2" t="s">
        <v>758</v>
      </c>
      <c r="C230" s="2" t="s">
        <v>759</v>
      </c>
      <c r="D230" s="2" t="s">
        <v>128</v>
      </c>
      <c r="E230" s="2" t="s">
        <v>129</v>
      </c>
      <c r="F230" s="2" t="s">
        <v>15</v>
      </c>
      <c r="G230" s="2" t="s">
        <v>760</v>
      </c>
      <c r="H230" s="2" t="s">
        <v>111</v>
      </c>
      <c r="I230" s="2" t="str">
        <f ca="1">IFERROR(__xludf.DUMMYFUNCTION("GOOGLETRANSLATE(C230,""fr"",""en"")"),"A water damage following a driving leak flush with the concrete slab was taken care of with efficiency. An expert came to probe the ultra-sons and detect that the leak was running into the crawl space. An intervention took place in the process a few days "&amp;"apart and our installation is now healthy without any financial loss. Our wallpapers have been changed by professionals. No criticism to formulate. Only unknown, the increase in the premium at the next deadline.")</f>
        <v>A water damage following a driving leak flush with the concrete slab was taken care of with efficiency. An expert came to probe the ultra-sons and detect that the leak was running into the crawl space. An intervention took place in the process a few days apart and our installation is now healthy without any financial loss. Our wallpapers have been changed by professionals. No criticism to formulate. Only unknown, the increase in the premium at the next deadline.</v>
      </c>
    </row>
    <row r="231" spans="1:9" ht="15.75" customHeight="1" x14ac:dyDescent="0.3">
      <c r="A231" s="2">
        <v>4</v>
      </c>
      <c r="B231" s="2" t="s">
        <v>761</v>
      </c>
      <c r="C231" s="2" t="s">
        <v>762</v>
      </c>
      <c r="D231" s="2" t="s">
        <v>28</v>
      </c>
      <c r="E231" s="2" t="s">
        <v>14</v>
      </c>
      <c r="F231" s="2" t="s">
        <v>15</v>
      </c>
      <c r="G231" s="2" t="s">
        <v>83</v>
      </c>
      <c r="H231" s="2" t="s">
        <v>83</v>
      </c>
      <c r="I231" s="2" t="str">
        <f ca="1">IFERROR(__xludf.DUMMYFUNCTION("GOOGLETRANSLATE(C231,""fr"",""en"")"),"I am satisfied with the speed it took me to do insurance ... The prices are good because I do not pay dear ... simple and practical it goes very quickly")</f>
        <v>I am satisfied with the speed it took me to do insurance ... The prices are good because I do not pay dear ... simple and practical it goes very quickly</v>
      </c>
    </row>
    <row r="232" spans="1:9" ht="15.75" customHeight="1" x14ac:dyDescent="0.3">
      <c r="A232" s="2">
        <v>1</v>
      </c>
      <c r="B232" s="2" t="s">
        <v>763</v>
      </c>
      <c r="C232" s="2" t="s">
        <v>764</v>
      </c>
      <c r="D232" s="2" t="s">
        <v>33</v>
      </c>
      <c r="E232" s="2" t="s">
        <v>129</v>
      </c>
      <c r="F232" s="2" t="s">
        <v>15</v>
      </c>
      <c r="G232" s="2" t="s">
        <v>765</v>
      </c>
      <c r="H232" s="2" t="s">
        <v>361</v>
      </c>
      <c r="I232" s="2" t="str">
        <f ca="1">IFERROR(__xludf.DUMMYFUNCTION("GOOGLETRANSLATE(C232,""fr"",""en"")"),"To flee
Home insurance and car
Even if the price is correct it does not correspond to the refund at all when you have a glitch.
My file is a novel I strongly advise against this insurance they make you run in Bourique. Starting with the installer"&amp;" who is forcing to put anything and not the equivalent ...")</f>
        <v>To flee
Home insurance and car
Even if the price is correct it does not correspond to the refund at all when you have a glitch.
My file is a novel I strongly advise against this insurance they make you run in Bourique. Starting with the installer who is forcing to put anything and not the equivalent ...</v>
      </c>
    </row>
    <row r="233" spans="1:9" ht="15.75" customHeight="1" x14ac:dyDescent="0.3">
      <c r="A233" s="2">
        <v>5</v>
      </c>
      <c r="B233" s="2" t="s">
        <v>766</v>
      </c>
      <c r="C233" s="2" t="s">
        <v>767</v>
      </c>
      <c r="D233" s="2" t="s">
        <v>28</v>
      </c>
      <c r="E233" s="2" t="s">
        <v>14</v>
      </c>
      <c r="F233" s="2" t="s">
        <v>15</v>
      </c>
      <c r="G233" s="2" t="s">
        <v>768</v>
      </c>
      <c r="H233" s="2" t="s">
        <v>57</v>
      </c>
      <c r="I233" s="2" t="str">
        <f ca="1">IFERROR(__xludf.DUMMYFUNCTION("GOOGLETRANSLATE(C233,""fr"",""en"")"),"Interesting rate for third party car insurance.
It is very simple to subscribe.
The site is very pleasant and intuitive and exchanges via the personal space are easy.")</f>
        <v>Interesting rate for third party car insurance.
It is very simple to subscribe.
The site is very pleasant and intuitive and exchanges via the personal space are easy.</v>
      </c>
    </row>
    <row r="234" spans="1:9" ht="15.75" customHeight="1" x14ac:dyDescent="0.3">
      <c r="A234" s="2">
        <v>1</v>
      </c>
      <c r="B234" s="2" t="s">
        <v>769</v>
      </c>
      <c r="C234" s="2" t="s">
        <v>770</v>
      </c>
      <c r="D234" s="2" t="s">
        <v>28</v>
      </c>
      <c r="E234" s="2" t="s">
        <v>14</v>
      </c>
      <c r="F234" s="2" t="s">
        <v>15</v>
      </c>
      <c r="G234" s="2" t="s">
        <v>771</v>
      </c>
      <c r="H234" s="2" t="s">
        <v>256</v>
      </c>
      <c r="I234" s="2" t="str">
        <f ca="1">IFERROR(__xludf.DUMMYFUNCTION("GOOGLETRANSLATE(C234,""fr"",""en"")"),"Huge lie.
Interesting call price 1 year ago (50%bonus for more than 12 years.)
This year broken with ice glasses rear. 105 euros deductible to pay.
New bonus increased by more than 60% without explanation ???? Due to sinistrality?
50% Bonus for life a"&amp;"nd not responsible ??? What exactly does that mean?")</f>
        <v>Huge lie.
Interesting call price 1 year ago (50%bonus for more than 12 years.)
This year broken with ice glasses rear. 105 euros deductible to pay.
New bonus increased by more than 60% without explanation ???? Due to sinistrality?
50% Bonus for life and not responsible ??? What exactly does that mean?</v>
      </c>
    </row>
    <row r="235" spans="1:9" ht="15.75" customHeight="1" x14ac:dyDescent="0.3">
      <c r="A235" s="2">
        <v>5</v>
      </c>
      <c r="B235" s="2" t="s">
        <v>772</v>
      </c>
      <c r="C235" s="2" t="s">
        <v>773</v>
      </c>
      <c r="D235" s="2" t="s">
        <v>28</v>
      </c>
      <c r="E235" s="2" t="s">
        <v>14</v>
      </c>
      <c r="F235" s="2" t="s">
        <v>15</v>
      </c>
      <c r="G235" s="2" t="s">
        <v>582</v>
      </c>
      <c r="H235" s="2" t="s">
        <v>17</v>
      </c>
      <c r="I235" s="2" t="str">
        <f ca="1">IFERROR(__xludf.DUMMYFUNCTION("GOOGLETRANSLATE(C235,""fr"",""en"")"),"Very satisfied with prices as well as the quality of the call, the insurer was very kind and attentive during our call and very well explained the different points of the contract")</f>
        <v>Very satisfied with prices as well as the quality of the call, the insurer was very kind and attentive during our call and very well explained the different points of the contract</v>
      </c>
    </row>
    <row r="236" spans="1:9" ht="15.75" customHeight="1" x14ac:dyDescent="0.3">
      <c r="A236" s="2">
        <v>1</v>
      </c>
      <c r="B236" s="2" t="s">
        <v>774</v>
      </c>
      <c r="C236" s="2" t="s">
        <v>775</v>
      </c>
      <c r="D236" s="2" t="s">
        <v>254</v>
      </c>
      <c r="E236" s="2" t="s">
        <v>129</v>
      </c>
      <c r="F236" s="2" t="s">
        <v>15</v>
      </c>
      <c r="G236" s="2" t="s">
        <v>776</v>
      </c>
      <c r="H236" s="2" t="s">
        <v>83</v>
      </c>
      <c r="I236" s="2" t="str">
        <f ca="1">IFERROR(__xludf.DUMMYFUNCTION("GOOGLETRANSLATE(C236,""fr"",""en"")"),"In just 20 years two claims: small leakage toilet and pair of children's glasses. 7000 euros that is expensive paid for 2 m2 of lino and a pair of glasses. I changed insurer recently and divided by 3 my subscription for exactly the same guarantees. All is"&amp;" said. The maif flee !!!!")</f>
        <v>In just 20 years two claims: small leakage toilet and pair of children's glasses. 7000 euros that is expensive paid for 2 m2 of lino and a pair of glasses. I changed insurer recently and divided by 3 my subscription for exactly the same guarantees. All is said. The maif flee !!!!</v>
      </c>
    </row>
    <row r="237" spans="1:9" ht="15.75" customHeight="1" x14ac:dyDescent="0.3">
      <c r="A237" s="2">
        <v>4</v>
      </c>
      <c r="B237" s="2" t="s">
        <v>777</v>
      </c>
      <c r="C237" s="2" t="s">
        <v>778</v>
      </c>
      <c r="D237" s="2" t="s">
        <v>13</v>
      </c>
      <c r="E237" s="2" t="s">
        <v>14</v>
      </c>
      <c r="F237" s="2" t="s">
        <v>15</v>
      </c>
      <c r="G237" s="2" t="s">
        <v>278</v>
      </c>
      <c r="H237" s="2" t="s">
        <v>71</v>
      </c>
      <c r="I237" s="2" t="str">
        <f ca="1">IFERROR(__xludf.DUMMYFUNCTION("GOOGLETRANSLATE(C237,""fr"",""en"")"),"Good telephone insurance facilitates simple and practical access availability of agents. Good service in general
Good list of contract with change option")</f>
        <v>Good telephone insurance facilitates simple and practical access availability of agents. Good service in general
Good list of contract with change option</v>
      </c>
    </row>
    <row r="238" spans="1:9" ht="15.75" customHeight="1" x14ac:dyDescent="0.3">
      <c r="A238" s="2">
        <v>5</v>
      </c>
      <c r="B238" s="2" t="s">
        <v>779</v>
      </c>
      <c r="C238" s="2" t="s">
        <v>780</v>
      </c>
      <c r="D238" s="2" t="s">
        <v>80</v>
      </c>
      <c r="E238" s="2" t="s">
        <v>81</v>
      </c>
      <c r="F238" s="2" t="s">
        <v>15</v>
      </c>
      <c r="G238" s="2" t="s">
        <v>781</v>
      </c>
      <c r="H238" s="2" t="s">
        <v>94</v>
      </c>
      <c r="I238" s="2" t="str">
        <f ca="1">IFERROR(__xludf.DUMMYFUNCTION("GOOGLETRANSLATE(C238,""fr"",""en"")"),"I am satisfied very affordable price, ultra fast registration I really recommend this insurance and above all they are really very responsive when you have a problem")</f>
        <v>I am satisfied very affordable price, ultra fast registration I really recommend this insurance and above all they are really very responsive when you have a problem</v>
      </c>
    </row>
    <row r="239" spans="1:9" ht="15.75" customHeight="1" x14ac:dyDescent="0.3">
      <c r="A239" s="2">
        <v>1</v>
      </c>
      <c r="B239" s="2" t="s">
        <v>782</v>
      </c>
      <c r="C239" s="2" t="s">
        <v>783</v>
      </c>
      <c r="D239" s="2" t="s">
        <v>28</v>
      </c>
      <c r="E239" s="2" t="s">
        <v>14</v>
      </c>
      <c r="F239" s="2" t="s">
        <v>15</v>
      </c>
      <c r="G239" s="2" t="s">
        <v>784</v>
      </c>
      <c r="H239" s="2" t="s">
        <v>275</v>
      </c>
      <c r="I239" s="2" t="str">
        <f ca="1">IFERROR(__xludf.DUMMYFUNCTION("GOOGLETRANSLATE(C239,""fr"",""en"")"),"Customer service impossible to reach by phone. 3 times that I try my luck at different times of the day, at each time 40 minutes of waiting, but in the end never advise on the phone!")</f>
        <v>Customer service impossible to reach by phone. 3 times that I try my luck at different times of the day, at each time 40 minutes of waiting, but in the end never advise on the phone!</v>
      </c>
    </row>
    <row r="240" spans="1:9" ht="15.75" customHeight="1" x14ac:dyDescent="0.3">
      <c r="A240" s="2">
        <v>3</v>
      </c>
      <c r="B240" s="2" t="s">
        <v>785</v>
      </c>
      <c r="C240" s="2" t="s">
        <v>786</v>
      </c>
      <c r="D240" s="2" t="s">
        <v>326</v>
      </c>
      <c r="E240" s="2" t="s">
        <v>14</v>
      </c>
      <c r="F240" s="2" t="s">
        <v>15</v>
      </c>
      <c r="G240" s="2" t="s">
        <v>787</v>
      </c>
      <c r="H240" s="2" t="s">
        <v>35</v>
      </c>
      <c r="I240" s="2" t="str">
        <f ca="1">IFERROR(__xludf.DUMMYFUNCTION("GOOGLETRANSLATE(C240,""fr"",""en"")"),"Little possible negotiation for contract prices
opacity of contract information
Reactivity during accidents or vehicle breakdown
Effective emergency management service")</f>
        <v>Little possible negotiation for contract prices
opacity of contract information
Reactivity during accidents or vehicle breakdown
Effective emergency management service</v>
      </c>
    </row>
    <row r="241" spans="1:9" ht="15.75" customHeight="1" x14ac:dyDescent="0.3">
      <c r="A241" s="2">
        <v>1</v>
      </c>
      <c r="B241" s="2" t="s">
        <v>788</v>
      </c>
      <c r="C241" s="2" t="s">
        <v>789</v>
      </c>
      <c r="D241" s="2" t="s">
        <v>13</v>
      </c>
      <c r="E241" s="2" t="s">
        <v>14</v>
      </c>
      <c r="F241" s="2" t="s">
        <v>15</v>
      </c>
      <c r="G241" s="2" t="s">
        <v>790</v>
      </c>
      <c r="H241" s="2" t="s">
        <v>71</v>
      </c>
      <c r="I241" s="2" t="str">
        <f ca="1">IFERROR(__xludf.DUMMYFUNCTION("GOOGLETRANSLATE(C241,""fr"",""en"")"),"I subscribe to auto insurance with direct insurance with ""steering wheel"" and then when I lend my steering wheel and there is a sinister I am taken 1500 € de franchise .. of course you are careful not to specify that it s 'Acts a ""steering wheel loan w"&amp;"ith compulsory designation"" and then you come to tell me that it is written in the contract, drowned by dozens of lines ...
So soon I say bye bye!")</f>
        <v>I subscribe to auto insurance with direct insurance with "steering wheel" and then when I lend my steering wheel and there is a sinister I am taken 1500 € de franchise .. of course you are careful not to specify that it s 'Acts a "steering wheel loan with compulsory designation" and then you come to tell me that it is written in the contract, drowned by dozens of lines ...
So soon I say bye bye!</v>
      </c>
    </row>
    <row r="242" spans="1:9" ht="15.75" customHeight="1" x14ac:dyDescent="0.3">
      <c r="A242" s="2">
        <v>4</v>
      </c>
      <c r="B242" s="2" t="s">
        <v>791</v>
      </c>
      <c r="C242" s="2" t="s">
        <v>792</v>
      </c>
      <c r="D242" s="2" t="s">
        <v>28</v>
      </c>
      <c r="E242" s="2" t="s">
        <v>14</v>
      </c>
      <c r="F242" s="2" t="s">
        <v>15</v>
      </c>
      <c r="G242" s="2" t="s">
        <v>793</v>
      </c>
      <c r="H242" s="2" t="s">
        <v>111</v>
      </c>
      <c r="I242" s="2" t="str">
        <f ca="1">IFERROR(__xludf.DUMMYFUNCTION("GOOGLETRANSLATE(C242,""fr"",""en"")"),"Satisfied with the telephone relationship with the advisor who knew how to explain to me in detail the subject of the automotive contract he offered me. The contract is reliable")</f>
        <v>Satisfied with the telephone relationship with the advisor who knew how to explain to me in detail the subject of the automotive contract he offered me. The contract is reliable</v>
      </c>
    </row>
    <row r="243" spans="1:9" ht="15.75" customHeight="1" x14ac:dyDescent="0.3">
      <c r="A243" s="2">
        <v>2</v>
      </c>
      <c r="B243" s="2" t="s">
        <v>794</v>
      </c>
      <c r="C243" s="2" t="s">
        <v>795</v>
      </c>
      <c r="D243" s="2" t="s">
        <v>28</v>
      </c>
      <c r="E243" s="2" t="s">
        <v>14</v>
      </c>
      <c r="F243" s="2" t="s">
        <v>15</v>
      </c>
      <c r="G243" s="2" t="s">
        <v>796</v>
      </c>
      <c r="H243" s="2" t="s">
        <v>576</v>
      </c>
      <c r="I243" s="2" t="str">
        <f ca="1">IFERROR(__xludf.DUMMYFUNCTION("GOOGLETRANSLATE(C243,""fr"",""en"")"),"Here I am assured at the Olivier Assurances and I had a non-managed disaster on 10/12/2019 The observation was filled signed by the 2 parties and sent the next day. I did my best to make my file taken care of (multiple calls, emails ...) in vain. Today 01"&amp;"/17/2020 status -When no response from them, my car has still not been seen by the expert and I continue to pay my deadlines, however, I moved to ""UFC what to choose ""And despite the call of the asso advisor nothing moves and I really start to lose my c"&amp;"omposure, it's a shame this insurance !! You are looking for insurance, if you are offered the olive assurances, a piece of advice: run away !!!")</f>
        <v>Here I am assured at the Olivier Assurances and I had a non-managed disaster on 10/12/2019 The observation was filled signed by the 2 parties and sent the next day. I did my best to make my file taken care of (multiple calls, emails ...) in vain. Today 01/17/2020 status -When no response from them, my car has still not been seen by the expert and I continue to pay my deadlines, however, I moved to "UFC what to choose "And despite the call of the asso advisor nothing moves and I really start to lose my composure, it's a shame this insurance !! You are looking for insurance, if you are offered the olive assurances, a piece of advice: run away !!!</v>
      </c>
    </row>
    <row r="244" spans="1:9" ht="15.75" customHeight="1" x14ac:dyDescent="0.3">
      <c r="A244" s="2">
        <v>1</v>
      </c>
      <c r="B244" s="2" t="s">
        <v>797</v>
      </c>
      <c r="C244" s="2" t="s">
        <v>798</v>
      </c>
      <c r="D244" s="2" t="s">
        <v>799</v>
      </c>
      <c r="E244" s="2" t="s">
        <v>129</v>
      </c>
      <c r="F244" s="2" t="s">
        <v>15</v>
      </c>
      <c r="G244" s="2" t="s">
        <v>800</v>
      </c>
      <c r="H244" s="2" t="s">
        <v>133</v>
      </c>
      <c r="I244" s="2" t="str">
        <f ca="1">IFERROR(__xludf.DUMMYFUNCTION("GOOGLETRANSLATE(C244,""fr"",""en"")"),"Groupama may not be very expensive but as soon as you have a problem they leave you out. Hallucating the exchanges I had with their services. They only talk about conditions. Nothing human. to flee.")</f>
        <v>Groupama may not be very expensive but as soon as you have a problem they leave you out. Hallucating the exchanges I had with their services. They only talk about conditions. Nothing human. to flee.</v>
      </c>
    </row>
    <row r="245" spans="1:9" ht="15.75" customHeight="1" x14ac:dyDescent="0.3">
      <c r="A245" s="2">
        <v>3</v>
      </c>
      <c r="B245" s="2" t="s">
        <v>801</v>
      </c>
      <c r="C245" s="2" t="s">
        <v>802</v>
      </c>
      <c r="D245" s="2" t="s">
        <v>28</v>
      </c>
      <c r="E245" s="2" t="s">
        <v>14</v>
      </c>
      <c r="F245" s="2" t="s">
        <v>15</v>
      </c>
      <c r="G245" s="2" t="s">
        <v>602</v>
      </c>
      <c r="H245" s="2" t="s">
        <v>21</v>
      </c>
      <c r="I245" s="2" t="str">
        <f ca="1">IFERROR(__xludf.DUMMYFUNCTION("GOOGLETRANSLATE(C245,""fr"",""en"")"),"Good for young driver cheap to be without worry with bonus per year of 508 euros supe thank you there is no concern for registration even very fast and without concern for")</f>
        <v>Good for young driver cheap to be without worry with bonus per year of 508 euros supe thank you there is no concern for registration even very fast and without concern for</v>
      </c>
    </row>
    <row r="246" spans="1:9" ht="15.75" customHeight="1" x14ac:dyDescent="0.3">
      <c r="A246" s="2">
        <v>4</v>
      </c>
      <c r="B246" s="2" t="s">
        <v>803</v>
      </c>
      <c r="C246" s="2" t="s">
        <v>804</v>
      </c>
      <c r="D246" s="2" t="s">
        <v>13</v>
      </c>
      <c r="E246" s="2" t="s">
        <v>14</v>
      </c>
      <c r="F246" s="2" t="s">
        <v>15</v>
      </c>
      <c r="G246" s="2" t="s">
        <v>350</v>
      </c>
      <c r="H246" s="2" t="s">
        <v>83</v>
      </c>
      <c r="I246" s="2" t="str">
        <f ca="1">IFERROR(__xludf.DUMMYFUNCTION("GOOGLETRANSLATE(C246,""fr"",""en"")"),"I am satisfied with the service, the prices are suitable and the application is easy to use, it is sometimes difficult to reach an advisor")</f>
        <v>I am satisfied with the service, the prices are suitable and the application is easy to use, it is sometimes difficult to reach an advisor</v>
      </c>
    </row>
    <row r="247" spans="1:9" ht="15.75" customHeight="1" x14ac:dyDescent="0.3">
      <c r="A247" s="2">
        <v>3</v>
      </c>
      <c r="B247" s="2" t="s">
        <v>805</v>
      </c>
      <c r="C247" s="2" t="s">
        <v>806</v>
      </c>
      <c r="D247" s="2" t="s">
        <v>80</v>
      </c>
      <c r="E247" s="2" t="s">
        <v>81</v>
      </c>
      <c r="F247" s="2" t="s">
        <v>15</v>
      </c>
      <c r="G247" s="2" t="s">
        <v>807</v>
      </c>
      <c r="H247" s="2" t="s">
        <v>46</v>
      </c>
      <c r="I247" s="2" t="str">
        <f ca="1">IFERROR(__xludf.DUMMYFUNCTION("GOOGLETRANSLATE(C247,""fr"",""en"")"),"Good for the interface for April and easy to fill the boxes. It is a simple fun. No need to ask too many questions and nothing that leaves it doubt")</f>
        <v>Good for the interface for April and easy to fill the boxes. It is a simple fun. No need to ask too many questions and nothing that leaves it doubt</v>
      </c>
    </row>
    <row r="248" spans="1:9" ht="15.75" customHeight="1" x14ac:dyDescent="0.3">
      <c r="A248" s="2">
        <v>4</v>
      </c>
      <c r="B248" s="2" t="s">
        <v>808</v>
      </c>
      <c r="C248" s="2" t="s">
        <v>809</v>
      </c>
      <c r="D248" s="2" t="s">
        <v>80</v>
      </c>
      <c r="E248" s="2" t="s">
        <v>81</v>
      </c>
      <c r="F248" s="2" t="s">
        <v>15</v>
      </c>
      <c r="G248" s="2" t="s">
        <v>810</v>
      </c>
      <c r="H248" s="2" t="s">
        <v>21</v>
      </c>
      <c r="I248" s="2" t="str">
        <f ca="1">IFERROR(__xludf.DUMMYFUNCTION("GOOGLETRANSLATE(C248,""fr"",""en"")"),"Fast, remains to be seen for use. But the internet procedures are practical and simple. Nevertheless, limited guarantees related to the price, if we are looking for a good quality/price ratio, do not hesitate!")</f>
        <v>Fast, remains to be seen for use. But the internet procedures are practical and simple. Nevertheless, limited guarantees related to the price, if we are looking for a good quality/price ratio, do not hesitate!</v>
      </c>
    </row>
    <row r="249" spans="1:9" ht="15.75" customHeight="1" x14ac:dyDescent="0.3">
      <c r="A249" s="2">
        <v>5</v>
      </c>
      <c r="B249" s="2" t="s">
        <v>811</v>
      </c>
      <c r="C249" s="2" t="s">
        <v>812</v>
      </c>
      <c r="D249" s="2" t="s">
        <v>38</v>
      </c>
      <c r="E249" s="2" t="s">
        <v>39</v>
      </c>
      <c r="F249" s="2" t="s">
        <v>15</v>
      </c>
      <c r="G249" s="2" t="s">
        <v>813</v>
      </c>
      <c r="H249" s="2" t="s">
        <v>361</v>
      </c>
      <c r="I249" s="2" t="str">
        <f ca="1">IFERROR(__xludf.DUMMYFUNCTION("GOOGLETRANSLATE(C249,""fr"",""en"")"),"I admit that I do not very well understand the negative opinions. I called upon their services in 2 years: for a quote from the teeth I had the answer by email in 2 days, the transfer of reimbursement for the invoice of my teeth was made on my account wit"&amp;"hin 48 hours. I also called on them to settle my lawyers' fees for an intervention with industrial tribunal (guarantee legal assistance) and the regulations were made very quickly to my lawyer. And the 3rd time for my surgeon's fees I have never had probl"&amp;"ems with Neoliane I highly recommend")</f>
        <v>I admit that I do not very well understand the negative opinions. I called upon their services in 2 years: for a quote from the teeth I had the answer by email in 2 days, the transfer of reimbursement for the invoice of my teeth was made on my account within 48 hours. I also called on them to settle my lawyers' fees for an intervention with industrial tribunal (guarantee legal assistance) and the regulations were made very quickly to my lawyer. And the 3rd time for my surgeon's fees I have never had problems with Neoliane I highly recommend</v>
      </c>
    </row>
    <row r="250" spans="1:9" ht="15.75" customHeight="1" x14ac:dyDescent="0.3">
      <c r="A250" s="2">
        <v>4</v>
      </c>
      <c r="B250" s="2" t="s">
        <v>814</v>
      </c>
      <c r="C250" s="2" t="s">
        <v>815</v>
      </c>
      <c r="D250" s="2" t="s">
        <v>28</v>
      </c>
      <c r="E250" s="2" t="s">
        <v>14</v>
      </c>
      <c r="F250" s="2" t="s">
        <v>15</v>
      </c>
      <c r="G250" s="2" t="s">
        <v>480</v>
      </c>
      <c r="H250" s="2" t="s">
        <v>46</v>
      </c>
      <c r="I250" s="2" t="str">
        <f ca="1">IFERROR(__xludf.DUMMYFUNCTION("GOOGLETRANSLATE(C250,""fr"",""en"")"),"I am very satisfied with my experience
All was well explained clearly
Friendly, welcoming and attentive person
Well accompanied on the phone")</f>
        <v>I am very satisfied with my experience
All was well explained clearly
Friendly, welcoming and attentive person
Well accompanied on the phone</v>
      </c>
    </row>
    <row r="251" spans="1:9" ht="15.75" customHeight="1" x14ac:dyDescent="0.3">
      <c r="A251" s="2">
        <v>1</v>
      </c>
      <c r="B251" s="2" t="s">
        <v>816</v>
      </c>
      <c r="C251" s="2" t="s">
        <v>817</v>
      </c>
      <c r="D251" s="2" t="s">
        <v>190</v>
      </c>
      <c r="E251" s="2" t="s">
        <v>14</v>
      </c>
      <c r="F251" s="2" t="s">
        <v>15</v>
      </c>
      <c r="G251" s="2" t="s">
        <v>818</v>
      </c>
      <c r="H251" s="2" t="s">
        <v>328</v>
      </c>
      <c r="I251" s="2" t="str">
        <f ca="1">IFERROR(__xludf.DUMMYFUNCTION("GOOGLETRANSLATE(C251,""fr"",""en"")"),"In the event of a claim even if we are not responsible they use the law very well with them and they compensate after 2 years so that we can not return against them")</f>
        <v>In the event of a claim even if we are not responsible they use the law very well with them and they compensate after 2 years so that we can not return against them</v>
      </c>
    </row>
    <row r="252" spans="1:9" ht="15.75" customHeight="1" x14ac:dyDescent="0.3">
      <c r="A252" s="2">
        <v>5</v>
      </c>
      <c r="B252" s="2" t="s">
        <v>819</v>
      </c>
      <c r="C252" s="2" t="s">
        <v>820</v>
      </c>
      <c r="D252" s="2" t="s">
        <v>80</v>
      </c>
      <c r="E252" s="2" t="s">
        <v>81</v>
      </c>
      <c r="F252" s="2" t="s">
        <v>15</v>
      </c>
      <c r="G252" s="2" t="s">
        <v>821</v>
      </c>
      <c r="H252" s="2" t="s">
        <v>71</v>
      </c>
      <c r="I252" s="2" t="str">
        <f ca="1">IFERROR(__xludf.DUMMYFUNCTION("GOOGLETRANSLATE(C252,""fr"",""en"")"),"Impeccable price for young driver, thank you for your confidence and speed! The perfect solution to start the confidence contract. Very well done site.")</f>
        <v>Impeccable price for young driver, thank you for your confidence and speed! The perfect solution to start the confidence contract. Very well done site.</v>
      </c>
    </row>
    <row r="253" spans="1:9" ht="15.75" customHeight="1" x14ac:dyDescent="0.3">
      <c r="A253" s="2">
        <v>3</v>
      </c>
      <c r="B253" s="2" t="s">
        <v>822</v>
      </c>
      <c r="C253" s="2" t="s">
        <v>823</v>
      </c>
      <c r="D253" s="2" t="s">
        <v>89</v>
      </c>
      <c r="E253" s="2" t="s">
        <v>39</v>
      </c>
      <c r="F253" s="2" t="s">
        <v>15</v>
      </c>
      <c r="G253" s="2" t="s">
        <v>30</v>
      </c>
      <c r="H253" s="2" t="s">
        <v>30</v>
      </c>
      <c r="I253" s="2" t="str">
        <f ca="1">IFERROR(__xludf.DUMMYFUNCTION("GOOGLETRANSLATE(C253,""fr"",""en"")"),"A hospital care requested on April 10 for an urgent operation of April 14 is still not taken care of today and it is impossible to join them!")</f>
        <v>A hospital care requested on April 10 for an urgent operation of April 14 is still not taken care of today and it is impossible to join them!</v>
      </c>
    </row>
    <row r="254" spans="1:9" ht="15.75" customHeight="1" x14ac:dyDescent="0.3">
      <c r="A254" s="2">
        <v>4</v>
      </c>
      <c r="B254" s="2" t="s">
        <v>824</v>
      </c>
      <c r="C254" s="2" t="s">
        <v>825</v>
      </c>
      <c r="D254" s="2" t="s">
        <v>13</v>
      </c>
      <c r="E254" s="2" t="s">
        <v>14</v>
      </c>
      <c r="F254" s="2" t="s">
        <v>15</v>
      </c>
      <c r="G254" s="2" t="s">
        <v>826</v>
      </c>
      <c r="H254" s="2" t="s">
        <v>25</v>
      </c>
      <c r="I254" s="2" t="str">
        <f ca="1">IFERROR(__xludf.DUMMYFUNCTION("GOOGLETRANSLATE(C254,""fr"",""en"")"),"The prices are attractive and the guarantee also very uninteresting
For the vehicles anyway for the house it was not more interesting than what I currently have")</f>
        <v>The prices are attractive and the guarantee also very uninteresting
For the vehicles anyway for the house it was not more interesting than what I currently have</v>
      </c>
    </row>
    <row r="255" spans="1:9" ht="15.75" customHeight="1" x14ac:dyDescent="0.3">
      <c r="A255" s="2">
        <v>2</v>
      </c>
      <c r="B255" s="2" t="s">
        <v>827</v>
      </c>
      <c r="C255" s="2" t="s">
        <v>828</v>
      </c>
      <c r="D255" s="2" t="s">
        <v>303</v>
      </c>
      <c r="E255" s="2" t="s">
        <v>14</v>
      </c>
      <c r="F255" s="2" t="s">
        <v>15</v>
      </c>
      <c r="G255" s="2" t="s">
        <v>829</v>
      </c>
      <c r="H255" s="2" t="s">
        <v>286</v>
      </c>
      <c r="I255" s="2" t="str">
        <f ca="1">IFERROR(__xludf.DUMMYFUNCTION("GOOGLETRANSLATE(C255,""fr"",""en"")"),"December 2018 Water damage to my commercial premises An advance my summer made 2 months ago after phone calls and visits to the agency regularly. Still not compensated over the entire 17 months after very angry after the Macif. To run away absolutely")</f>
        <v>December 2018 Water damage to my commercial premises An advance my summer made 2 months ago after phone calls and visits to the agency regularly. Still not compensated over the entire 17 months after very angry after the Macif. To run away absolutely</v>
      </c>
    </row>
    <row r="256" spans="1:9" ht="15.75" customHeight="1" x14ac:dyDescent="0.3">
      <c r="A256" s="2">
        <v>1</v>
      </c>
      <c r="B256" s="2" t="s">
        <v>830</v>
      </c>
      <c r="C256" s="2" t="s">
        <v>831</v>
      </c>
      <c r="D256" s="2" t="s">
        <v>322</v>
      </c>
      <c r="E256" s="2" t="s">
        <v>14</v>
      </c>
      <c r="F256" s="2" t="s">
        <v>15</v>
      </c>
      <c r="G256" s="2" t="s">
        <v>832</v>
      </c>
      <c r="H256" s="2" t="s">
        <v>41</v>
      </c>
      <c r="I256" s="2" t="str">
        <f ca="1">IFERROR(__xludf.DUMMYFUNCTION("GOOGLETRANSLATE(C256,""fr"",""en"")"),"Customer 289411. Very disappointed with customer service, close to the nonexistent. Constitute the file was extremely complex, before constant additional document request. Sends many quotes that increased each time by relying on information from document "&amp;"provided from the start. No response to the various emails, the number of such provides for the customer gives no info and returns us to the surcharged number to have a possible response. After 15 minutes of communication or more than € 12, the file is fi"&amp;"nally finalized and above all they found the sums already paid. The last payment requested. We must have an email giving us the code to validate the file and receive the Green card .... and since access to the customer account is no longer possible, and s"&amp;"till no email .... as for the info by phone .... they do not know, maybe tomorrow It will work .... Top as an answer ... on the other hand no one is capable despite the settlement of all the sums requested and the sending by email of the quote to send me "&amp;"my green card.
Inadmissible! This absolutely does not give confidence and to be honest, one wonders if we have to do a real insurance company.
How to ride without green card
")</f>
        <v xml:space="preserve">Customer 289411. Very disappointed with customer service, close to the nonexistent. Constitute the file was extremely complex, before constant additional document request. Sends many quotes that increased each time by relying on information from document provided from the start. No response to the various emails, the number of such provides for the customer gives no info and returns us to the surcharged number to have a possible response. After 15 minutes of communication or more than € 12, the file is finally finalized and above all they found the sums already paid. The last payment requested. We must have an email giving us the code to validate the file and receive the Green card .... and since access to the customer account is no longer possible, and still no email .... as for the info by phone .... they do not know, maybe tomorrow It will work .... Top as an answer ... on the other hand no one is capable despite the settlement of all the sums requested and the sending by email of the quote to send me my green card.
Inadmissible! This absolutely does not give confidence and to be honest, one wonders if we have to do a real insurance company.
How to ride without green card
</v>
      </c>
    </row>
    <row r="257" spans="1:9" ht="15.75" customHeight="1" x14ac:dyDescent="0.3">
      <c r="A257" s="2">
        <v>3</v>
      </c>
      <c r="B257" s="2" t="s">
        <v>833</v>
      </c>
      <c r="C257" s="2" t="s">
        <v>834</v>
      </c>
      <c r="D257" s="2" t="s">
        <v>281</v>
      </c>
      <c r="E257" s="2" t="s">
        <v>39</v>
      </c>
      <c r="F257" s="2" t="s">
        <v>15</v>
      </c>
      <c r="G257" s="2" t="s">
        <v>835</v>
      </c>
      <c r="H257" s="2" t="s">
        <v>374</v>
      </c>
      <c r="I257" s="2" t="str">
        <f ca="1">IFERROR(__xludf.DUMMYFUNCTION("GOOGLETRANSLATE(C257,""fr"",""en"")"),"Lamentable!
No scanned exchange: a missing piece: it sends you a paper mail to ask you !!!!!
(Crazy, in 2018 !!!!!)
 You return this piece immediately in PDF but the file does not advance!
 The only answer: ""We need 3 weeks to process your requ"&amp;"est ...""
You are not kept informed of the advancement of the file !!!!!
Result of the races: 3 months that I am with them and I am still waiting for my first refund!
")</f>
        <v xml:space="preserve">Lamentable!
No scanned exchange: a missing piece: it sends you a paper mail to ask you !!!!!
(Crazy, in 2018 !!!!!)
 You return this piece immediately in PDF but the file does not advance!
 The only answer: "We need 3 weeks to process your request ..."
You are not kept informed of the advancement of the file !!!!!
Result of the races: 3 months that I am with them and I am still waiting for my first refund!
</v>
      </c>
    </row>
    <row r="258" spans="1:9" ht="15.75" customHeight="1" x14ac:dyDescent="0.3">
      <c r="A258" s="2">
        <v>3</v>
      </c>
      <c r="B258" s="2" t="s">
        <v>836</v>
      </c>
      <c r="C258" s="2" t="s">
        <v>837</v>
      </c>
      <c r="D258" s="2" t="s">
        <v>695</v>
      </c>
      <c r="E258" s="2" t="s">
        <v>50</v>
      </c>
      <c r="F258" s="2" t="s">
        <v>15</v>
      </c>
      <c r="G258" s="2" t="s">
        <v>838</v>
      </c>
      <c r="H258" s="2" t="s">
        <v>442</v>
      </c>
      <c r="I258" s="2" t="str">
        <f ca="1">IFERROR(__xludf.DUMMYFUNCTION("GOOGLETRANSLATE(C258,""fr"",""en"")"),"Hello, Why does ECA not reimburse consultations or fees as stipulated on the contract? When we request it and relaunch by email, we knowingly receive a response to side speaking of the costs that have been covered, as if the question was not understood .."&amp;". just like the famous free months promised during membership ?????")</f>
        <v>Hello, Why does ECA not reimburse consultations or fees as stipulated on the contract? When we request it and relaunch by email, we knowingly receive a response to side speaking of the costs that have been covered, as if the question was not understood ... just like the famous free months promised during membership ?????</v>
      </c>
    </row>
    <row r="259" spans="1:9" ht="15.75" customHeight="1" x14ac:dyDescent="0.3">
      <c r="A259" s="2">
        <v>1</v>
      </c>
      <c r="B259" s="2" t="s">
        <v>839</v>
      </c>
      <c r="C259" s="2" t="s">
        <v>840</v>
      </c>
      <c r="D259" s="2" t="s">
        <v>13</v>
      </c>
      <c r="E259" s="2" t="s">
        <v>14</v>
      </c>
      <c r="F259" s="2" t="s">
        <v>15</v>
      </c>
      <c r="G259" s="2" t="s">
        <v>841</v>
      </c>
      <c r="H259" s="2" t="s">
        <v>275</v>
      </c>
      <c r="I259" s="2" t="str">
        <f ca="1">IFERROR(__xludf.DUMMYFUNCTION("GOOGLETRANSLATE(C259,""fr"",""en"")"),"- Difficult to reachable, a galley! Because lack of organization in call transfer.
- Their price level is higher than the market contrary to what they announce in advertising.")</f>
        <v>- Difficult to reachable, a galley! Because lack of organization in call transfer.
- Their price level is higher than the market contrary to what they announce in advertising.</v>
      </c>
    </row>
    <row r="260" spans="1:9" ht="15.75" customHeight="1" x14ac:dyDescent="0.3">
      <c r="A260" s="2">
        <v>2</v>
      </c>
      <c r="B260" s="2" t="s">
        <v>842</v>
      </c>
      <c r="C260" s="2" t="s">
        <v>843</v>
      </c>
      <c r="D260" s="2" t="s">
        <v>120</v>
      </c>
      <c r="E260" s="2" t="s">
        <v>61</v>
      </c>
      <c r="F260" s="2" t="s">
        <v>15</v>
      </c>
      <c r="G260" s="2" t="s">
        <v>844</v>
      </c>
      <c r="H260" s="2" t="s">
        <v>576</v>
      </c>
      <c r="I260" s="2" t="str">
        <f ca="1">IFERROR(__xludf.DUMMYFUNCTION("GOOGLETRANSLATE(C260,""fr"",""en"")"),"Everyone is unreachable, I await the transfer of my grandmother's succession but nothing happens, the transfer of money is not done, nobody answers emails or on the phone.
Is there someone at AFER who could explain to me what's going on?")</f>
        <v>Everyone is unreachable, I await the transfer of my grandmother's succession but nothing happens, the transfer of money is not done, nobody answers emails or on the phone.
Is there someone at AFER who could explain to me what's going on?</v>
      </c>
    </row>
    <row r="261" spans="1:9" ht="15.75" customHeight="1" x14ac:dyDescent="0.3">
      <c r="A261" s="2">
        <v>1</v>
      </c>
      <c r="B261" s="2" t="s">
        <v>845</v>
      </c>
      <c r="C261" s="2" t="s">
        <v>846</v>
      </c>
      <c r="D261" s="2" t="s">
        <v>28</v>
      </c>
      <c r="E261" s="2" t="s">
        <v>14</v>
      </c>
      <c r="F261" s="2" t="s">
        <v>15</v>
      </c>
      <c r="G261" s="2" t="s">
        <v>847</v>
      </c>
      <c r="H261" s="2" t="s">
        <v>612</v>
      </c>
      <c r="I261" s="2" t="str">
        <f ca="1">IFERROR(__xludf.DUMMYFUNCTION("GOOGLETRANSLATE(C261,""fr"",""en"")"),"Excessively long processing time: they put 3 to 4 days to respond to a simple email. The operations you do in a few clicks with others at the olive tree it can take months.")</f>
        <v>Excessively long processing time: they put 3 to 4 days to respond to a simple email. The operations you do in a few clicks with others at the olive tree it can take months.</v>
      </c>
    </row>
    <row r="262" spans="1:9" ht="15.75" customHeight="1" x14ac:dyDescent="0.3">
      <c r="A262" s="2">
        <v>5</v>
      </c>
      <c r="B262" s="2" t="s">
        <v>848</v>
      </c>
      <c r="C262" s="2" t="s">
        <v>849</v>
      </c>
      <c r="D262" s="2" t="s">
        <v>13</v>
      </c>
      <c r="E262" s="2" t="s">
        <v>14</v>
      </c>
      <c r="F262" s="2" t="s">
        <v>15</v>
      </c>
      <c r="G262" s="2" t="s">
        <v>850</v>
      </c>
      <c r="H262" s="2" t="s">
        <v>111</v>
      </c>
      <c r="I262" s="2" t="str">
        <f ca="1">IFERROR(__xludf.DUMMYFUNCTION("GOOGLETRANSLATE(C262,""fr"",""en"")"),"I am satisfied with the service. The prices suit me, the fast and serious air service. I highly recommend this insurance. The price level is really affordable.
")</f>
        <v xml:space="preserve">I am satisfied with the service. The prices suit me, the fast and serious air service. I highly recommend this insurance. The price level is really affordable.
</v>
      </c>
    </row>
    <row r="263" spans="1:9" ht="15.75" customHeight="1" x14ac:dyDescent="0.3">
      <c r="A263" s="2">
        <v>4</v>
      </c>
      <c r="B263" s="2" t="s">
        <v>851</v>
      </c>
      <c r="C263" s="2" t="s">
        <v>852</v>
      </c>
      <c r="D263" s="2" t="s">
        <v>13</v>
      </c>
      <c r="E263" s="2" t="s">
        <v>14</v>
      </c>
      <c r="F263" s="2" t="s">
        <v>15</v>
      </c>
      <c r="G263" s="2" t="s">
        <v>25</v>
      </c>
      <c r="H263" s="2" t="s">
        <v>25</v>
      </c>
      <c r="I263" s="2" t="str">
        <f ca="1">IFERROR(__xludf.DUMMYFUNCTION("GOOGLETRANSLATE(C263,""fr"",""en"")"),"The prices offered remain a little high even if they are significantly lower than those that competitors can offer for the same guarantees. Overall satisfied")</f>
        <v>The prices offered remain a little high even if they are significantly lower than those that competitors can offer for the same guarantees. Overall satisfied</v>
      </c>
    </row>
    <row r="264" spans="1:9" ht="15.75" customHeight="1" x14ac:dyDescent="0.3">
      <c r="A264" s="2">
        <v>1</v>
      </c>
      <c r="B264" s="2" t="s">
        <v>853</v>
      </c>
      <c r="C264" s="2" t="s">
        <v>854</v>
      </c>
      <c r="D264" s="2" t="s">
        <v>120</v>
      </c>
      <c r="E264" s="2" t="s">
        <v>61</v>
      </c>
      <c r="F264" s="2" t="s">
        <v>15</v>
      </c>
      <c r="G264" s="2" t="s">
        <v>855</v>
      </c>
      <c r="H264" s="2" t="s">
        <v>216</v>
      </c>
      <c r="I264" s="2" t="str">
        <f ca="1">IFERROR(__xludf.DUMMYFUNCTION("GOOGLETRANSLATE(C264,""fr"",""en"")"),"AFER Société to flee. No file follow -up No answer to the questions, time not possible to recover your money. They are spikes under no more no less. A member since October I only had problems with AFER. I do not recommend this company at all")</f>
        <v>AFER Société to flee. No file follow -up No answer to the questions, time not possible to recover your money. They are spikes under no more no less. A member since October I only had problems with AFER. I do not recommend this company at all</v>
      </c>
    </row>
    <row r="265" spans="1:9" ht="15.75" customHeight="1" x14ac:dyDescent="0.3">
      <c r="A265" s="2">
        <v>1</v>
      </c>
      <c r="B265" s="2" t="s">
        <v>856</v>
      </c>
      <c r="C265" s="2" t="s">
        <v>857</v>
      </c>
      <c r="D265" s="2" t="s">
        <v>190</v>
      </c>
      <c r="E265" s="2" t="s">
        <v>129</v>
      </c>
      <c r="F265" s="2" t="s">
        <v>15</v>
      </c>
      <c r="G265" s="2" t="s">
        <v>858</v>
      </c>
      <c r="H265" s="2" t="s">
        <v>35</v>
      </c>
      <c r="I265" s="2" t="str">
        <f ca="1">IFERROR(__xludf.DUMMYFUNCTION("GOOGLETRANSLATE(C265,""fr"",""en"")"),"Untreated sinister (broken door after break -in) after two and a half months no processing letter from GMF even after my recovery. Proproposition after the passage of an expert to drop the door for a day to repair it in the workshop ( Without replacing it"&amp;") with an outside temperature of -5 and two children at home! Clearly shameful and in complete contradiction with the country's certain human countryside ....")</f>
        <v>Untreated sinister (broken door after break -in) after two and a half months no processing letter from GMF even after my recovery. Proproposition after the passage of an expert to drop the door for a day to repair it in the workshop ( Without replacing it) with an outside temperature of -5 and two children at home! Clearly shameful and in complete contradiction with the country's certain human countryside ....</v>
      </c>
    </row>
    <row r="266" spans="1:9" ht="15.75" customHeight="1" x14ac:dyDescent="0.3">
      <c r="A266" s="2">
        <v>1</v>
      </c>
      <c r="B266" s="2" t="s">
        <v>859</v>
      </c>
      <c r="C266" s="2" t="s">
        <v>860</v>
      </c>
      <c r="D266" s="2" t="s">
        <v>44</v>
      </c>
      <c r="E266" s="2" t="s">
        <v>101</v>
      </c>
      <c r="F266" s="2" t="s">
        <v>15</v>
      </c>
      <c r="G266" s="2" t="s">
        <v>861</v>
      </c>
      <c r="H266" s="2" t="s">
        <v>35</v>
      </c>
      <c r="I266" s="2" t="str">
        <f ca="1">IFERROR(__xludf.DUMMYFUNCTION("GOOGLETRANSLATE(C266,""fr"",""en"")"),"I find customer service very poor because for 1 month, I still have not managed to have an interlocutor who can answer my questions about the repurchase of my credit by another bank !!!
For several weeks, I have been trying to have someone able to bring "&amp;"me answers.
These are the actions carried out since the end of December:
- Sending of email to have information 10/26/2016
- Response to my request on January 04, 2017
By orienting myself towards 04 72 36 75 01
- Call on 04 72 36 75 01 January 11, Ja"&amp;"nuary 17, January 18, January 20, January 23
Impossible to have a person (duration of attendance at least 15 minutes)! Being a working person, I cannot spend my life listening to your answering machine ...
- Call of 04 72 36 75 01 January 30
I am asked"&amp;" to contact 04 72 36 75 01 again and request a specific person (without knowing why)
- So I ask this person, this time I am asked to call 09 74 50 20 20
I call this number and PAF! Nobody!! I am asked to move towards the assured space !!!! Incomprehensi"&amp;"ble organization.
- Suddenly, I contact 04 26 29 36 48
I am asked to recall because no advisor available !!!
Simply incredible! For almost 1 month, I have not been able to have someone able to answer my questions ???
If this continues like this, i"&amp;"t is very simple for me, I stop paying my loan assistance contract and I will see elsewhere!
I'm seriously starting to lose patience.
It is unacceptable to provide such poor service (not to mention the lost time) !!
If you do not want to serve me, in"&amp;" this case just say it! It is not complicated to go elsewhere ....")</f>
        <v>I find customer service very poor because for 1 month, I still have not managed to have an interlocutor who can answer my questions about the repurchase of my credit by another bank !!!
For several weeks, I have been trying to have someone able to bring me answers.
These are the actions carried out since the end of December:
- Sending of email to have information 10/26/2016
- Response to my request on January 04, 2017
By orienting myself towards 04 72 36 75 01
- Call on 04 72 36 75 01 January 11, January 17, January 18, January 20, January 23
Impossible to have a person (duration of attendance at least 15 minutes)! Being a working person, I cannot spend my life listening to your answering machine ...
- Call of 04 72 36 75 01 January 30
I am asked to contact 04 72 36 75 01 again and request a specific person (without knowing why)
- So I ask this person, this time I am asked to call 09 74 50 20 20
I call this number and PAF! Nobody!! I am asked to move towards the assured space !!!! Incomprehensible organization.
- Suddenly, I contact 04 26 29 36 48
I am asked to recall because no advisor available !!!
Simply incredible! For almost 1 month, I have not been able to have someone able to answer my questions ???
If this continues like this, it is very simple for me, I stop paying my loan assistance contract and I will see elsewhere!
I'm seriously starting to lose patience.
It is unacceptable to provide such poor service (not to mention the lost time) !!
If you do not want to serve me, in this case just say it! It is not complicated to go elsewhere ....</v>
      </c>
    </row>
    <row r="267" spans="1:9" ht="15.75" customHeight="1" x14ac:dyDescent="0.3">
      <c r="A267" s="2">
        <v>2</v>
      </c>
      <c r="B267" s="2" t="s">
        <v>862</v>
      </c>
      <c r="C267" s="2" t="s">
        <v>863</v>
      </c>
      <c r="D267" s="2" t="s">
        <v>38</v>
      </c>
      <c r="E267" s="2" t="s">
        <v>39</v>
      </c>
      <c r="F267" s="2" t="s">
        <v>15</v>
      </c>
      <c r="G267" s="2" t="s">
        <v>864</v>
      </c>
      <c r="H267" s="2" t="s">
        <v>248</v>
      </c>
      <c r="I267" s="2" t="str">
        <f ca="1">IFERROR(__xludf.DUMMYFUNCTION("GOOGLETRANSLATE(C267,""fr"",""en"")"),"Little competent mutual, late reimbursements, little infido on reimbursements, the interlocutors are little competent, barely know the files, what to trust this kind of mutual.")</f>
        <v>Little competent mutual, late reimbursements, little infido on reimbursements, the interlocutors are little competent, barely know the files, what to trust this kind of mutual.</v>
      </c>
    </row>
    <row r="268" spans="1:9" ht="15.75" customHeight="1" x14ac:dyDescent="0.3">
      <c r="A268" s="2">
        <v>2</v>
      </c>
      <c r="B268" s="2" t="s">
        <v>865</v>
      </c>
      <c r="C268" s="2" t="s">
        <v>866</v>
      </c>
      <c r="D268" s="2" t="s">
        <v>281</v>
      </c>
      <c r="E268" s="2" t="s">
        <v>39</v>
      </c>
      <c r="F268" s="2" t="s">
        <v>15</v>
      </c>
      <c r="G268" s="2" t="s">
        <v>867</v>
      </c>
      <c r="H268" s="2" t="s">
        <v>557</v>
      </c>
      <c r="I268" s="2" t="str">
        <f ca="1">IFERROR(__xludf.DUMMYFUNCTION("GOOGLETRANSLATE(C268,""fr"",""en"")"),"Following a very important change of view, I ask if there will be care (given the fact that I have changed my glasses for less than 24 months)
8 weeks later, no answer, if not an email and a phone call to tell me that we have received my request. Classic"&amp;" attitude in this type of structures (bank, insurance etc ...)
Advice for young people who are starting their professional career. Do not join a health mutual, but place the amount of the subscription on a special account each month. You will find that t"&amp;"his very quickly represents a large sum which will allow you to cover the costs not reimbursed by the security.")</f>
        <v>Following a very important change of view, I ask if there will be care (given the fact that I have changed my glasses for less than 24 months)
8 weeks later, no answer, if not an email and a phone call to tell me that we have received my request. Classic attitude in this type of structures (bank, insurance etc ...)
Advice for young people who are starting their professional career. Do not join a health mutual, but place the amount of the subscription on a special account each month. You will find that this very quickly represents a large sum which will allow you to cover the costs not reimbursed by the security.</v>
      </c>
    </row>
    <row r="269" spans="1:9" ht="15.75" customHeight="1" x14ac:dyDescent="0.3">
      <c r="A269" s="2">
        <v>3</v>
      </c>
      <c r="B269" s="2" t="s">
        <v>868</v>
      </c>
      <c r="C269" s="2" t="s">
        <v>869</v>
      </c>
      <c r="D269" s="2" t="s">
        <v>28</v>
      </c>
      <c r="E269" s="2" t="s">
        <v>14</v>
      </c>
      <c r="F269" s="2" t="s">
        <v>15</v>
      </c>
      <c r="G269" s="2" t="s">
        <v>268</v>
      </c>
      <c r="H269" s="2" t="s">
        <v>111</v>
      </c>
      <c r="I269" s="2" t="str">
        <f ca="1">IFERROR(__xludf.DUMMYFUNCTION("GOOGLETRANSLATE(C269,""fr"",""en"")"),"I find it strange to request an opinion even before the start of the contract.
The subscription is impeccable, for the rest, give me time to see what it is.
Thanks")</f>
        <v>I find it strange to request an opinion even before the start of the contract.
The subscription is impeccable, for the rest, give me time to see what it is.
Thanks</v>
      </c>
    </row>
    <row r="270" spans="1:9" ht="15.75" customHeight="1" x14ac:dyDescent="0.3">
      <c r="A270" s="2">
        <v>2</v>
      </c>
      <c r="B270" s="2" t="s">
        <v>870</v>
      </c>
      <c r="C270" s="2" t="s">
        <v>871</v>
      </c>
      <c r="D270" s="2" t="s">
        <v>254</v>
      </c>
      <c r="E270" s="2" t="s">
        <v>129</v>
      </c>
      <c r="F270" s="2" t="s">
        <v>15</v>
      </c>
      <c r="G270" s="2" t="s">
        <v>872</v>
      </c>
      <c r="H270" s="2" t="s">
        <v>347</v>
      </c>
      <c r="I270" s="2" t="str">
        <f ca="1">IFERROR(__xludf.DUMMYFUNCTION("GOOGLETRANSLATE(C270,""fr"",""en"")"),"Victim of a water damage to the entrance ceiling and the show in 2014 (explosion of a radiator on the upper floor) I point out in 2016 that the repair made after long drying time, did not hold in the entrance. The approved repairer returns to the fall and"&amp;" tells me that he will see this with the MAIF; I point out to him that the result at the show is as very ugly. Without any news, I contact the MAIF (in June 2017) which tells me that the file is closed; What I am surprised; In October, after insisting, th"&amp;"e MAIF confirms to me that the repaire would have told me that it was structural and that there was nothing to do. My next mail in October reminds the MAIF that I was assured militant and (well) contributing for half a century, without major concern; And,"&amp;" that the authorized repairer was paid for ineffective work. In November, I was written that my file will be re -examined. Since silence. In summary: I have been assured (!?) For 50 years, I have been a victim, the approved agent has been paid and the pla"&amp;"ster of my ceiling is smashed. My situation is therefore that of an uninsured. There is a real problem ... as for my activism as insured Maifien, it will not go very far !!!")</f>
        <v>Victim of a water damage to the entrance ceiling and the show in 2014 (explosion of a radiator on the upper floor) I point out in 2016 that the repair made after long drying time, did not hold in the entrance. The approved repairer returns to the fall and tells me that he will see this with the MAIF; I point out to him that the result at the show is as very ugly. Without any news, I contact the MAIF (in June 2017) which tells me that the file is closed; What I am surprised; In October, after insisting, the MAIF confirms to me that the repaire would have told me that it was structural and that there was nothing to do. My next mail in October reminds the MAIF that I was assured militant and (well) contributing for half a century, without major concern; And, that the authorized repairer was paid for ineffective work. In November, I was written that my file will be re -examined. Since silence. In summary: I have been assured (!?) For 50 years, I have been a victim, the approved agent has been paid and the plaster of my ceiling is smashed. My situation is therefore that of an uninsured. There is a real problem ... as for my activism as insured Maifien, it will not go very far !!!</v>
      </c>
    </row>
    <row r="271" spans="1:9" ht="15.75" customHeight="1" x14ac:dyDescent="0.3">
      <c r="A271" s="2">
        <v>3</v>
      </c>
      <c r="B271" s="2" t="s">
        <v>873</v>
      </c>
      <c r="C271" s="2" t="s">
        <v>874</v>
      </c>
      <c r="D271" s="2" t="s">
        <v>875</v>
      </c>
      <c r="E271" s="2" t="s">
        <v>50</v>
      </c>
      <c r="F271" s="2" t="s">
        <v>15</v>
      </c>
      <c r="G271" s="2" t="s">
        <v>876</v>
      </c>
      <c r="H271" s="2" t="s">
        <v>343</v>
      </c>
      <c r="I271" s="2" t="str">
        <f ca="1">IFERROR(__xludf.DUMMYFUNCTION("GOOGLETRANSLATE(C271,""fr"",""en"")"),"Lack of clarity in the exclusions of which my chie was part of a congenital illness spends 2000 euros reimbursement 0.j will have better placed the monthly payments on an account this would have been largely more advantageous. I try another insurance that"&amp;" offers a GPS The Chow Chow breed is running away")</f>
        <v>Lack of clarity in the exclusions of which my chie was part of a congenital illness spends 2000 euros reimbursement 0.j will have better placed the monthly payments on an account this would have been largely more advantageous. I try another insurance that offers a GPS The Chow Chow breed is running away</v>
      </c>
    </row>
    <row r="272" spans="1:9" ht="15.75" customHeight="1" x14ac:dyDescent="0.3">
      <c r="A272" s="2">
        <v>5</v>
      </c>
      <c r="B272" s="2" t="s">
        <v>877</v>
      </c>
      <c r="C272" s="2" t="s">
        <v>878</v>
      </c>
      <c r="D272" s="2" t="s">
        <v>190</v>
      </c>
      <c r="E272" s="2" t="s">
        <v>14</v>
      </c>
      <c r="F272" s="2" t="s">
        <v>15</v>
      </c>
      <c r="G272" s="2" t="s">
        <v>879</v>
      </c>
      <c r="H272" s="2" t="s">
        <v>71</v>
      </c>
      <c r="I272" s="2" t="str">
        <f ca="1">IFERROR(__xludf.DUMMYFUNCTION("GOOGLETRANSLATE(C272,""fr"",""en"")"),"Everything is perfect. Just the conditions for a replacement vehicle not suitable for the type of failure and immobilization of the vehicle.
The range of approved rental companies is low in rural areas.")</f>
        <v>Everything is perfect. Just the conditions for a replacement vehicle not suitable for the type of failure and immobilization of the vehicle.
The range of approved rental companies is low in rural areas.</v>
      </c>
    </row>
    <row r="273" spans="1:9" ht="15.75" customHeight="1" x14ac:dyDescent="0.3">
      <c r="A273" s="2">
        <v>4</v>
      </c>
      <c r="B273" s="2" t="s">
        <v>880</v>
      </c>
      <c r="C273" s="2" t="s">
        <v>881</v>
      </c>
      <c r="D273" s="2" t="s">
        <v>80</v>
      </c>
      <c r="E273" s="2" t="s">
        <v>81</v>
      </c>
      <c r="F273" s="2" t="s">
        <v>15</v>
      </c>
      <c r="G273" s="2" t="s">
        <v>487</v>
      </c>
      <c r="H273" s="2" t="s">
        <v>30</v>
      </c>
      <c r="I273" s="2" t="str">
        <f ca="1">IFERROR(__xludf.DUMMYFUNCTION("GOOGLETRANSLATE(C273,""fr"",""en"")"),"Beautiful competitive options and prices
Changes in appreciable options to adapt to our needs
10%AIPP also appreciated
The argus value reimbursement guarantee +15% can be appreciable
")</f>
        <v xml:space="preserve">Beautiful competitive options and prices
Changes in appreciable options to adapt to our needs
10%AIPP also appreciated
The argus value reimbursement guarantee +15% can be appreciable
</v>
      </c>
    </row>
    <row r="274" spans="1:9" ht="15.75" customHeight="1" x14ac:dyDescent="0.3">
      <c r="A274" s="2">
        <v>1</v>
      </c>
      <c r="B274" s="2" t="s">
        <v>882</v>
      </c>
      <c r="C274" s="2" t="s">
        <v>883</v>
      </c>
      <c r="D274" s="2" t="s">
        <v>136</v>
      </c>
      <c r="E274" s="2" t="s">
        <v>137</v>
      </c>
      <c r="F274" s="2" t="s">
        <v>15</v>
      </c>
      <c r="G274" s="2" t="s">
        <v>884</v>
      </c>
      <c r="H274" s="2" t="s">
        <v>67</v>
      </c>
      <c r="I274" s="2" t="str">
        <f ca="1">IFERROR(__xludf.DUMMYFUNCTION("GOOGLETRANSLATE(C274,""fr"",""en"")"),"Provident not paid since March 8, 2020, they are excused for not having the documents relating to my judgment including a COVVID paper which does not have to be because I have stopped since 30/12/20. All the documents were sent both by me and my employer "&amp;"but of course their site send you no accused and leaves no trace that arranges them well. It will end in the next court LRAR.")</f>
        <v>Provident not paid since March 8, 2020, they are excused for not having the documents relating to my judgment including a COVVID paper which does not have to be because I have stopped since 30/12/20. All the documents were sent both by me and my employer but of course their site send you no accused and leaves no trace that arranges them well. It will end in the next court LRAR.</v>
      </c>
    </row>
    <row r="275" spans="1:9" ht="15.75" customHeight="1" x14ac:dyDescent="0.3">
      <c r="A275" s="2">
        <v>5</v>
      </c>
      <c r="B275" s="2" t="s">
        <v>885</v>
      </c>
      <c r="C275" s="2" t="s">
        <v>886</v>
      </c>
      <c r="D275" s="2" t="s">
        <v>38</v>
      </c>
      <c r="E275" s="2" t="s">
        <v>39</v>
      </c>
      <c r="F275" s="2" t="s">
        <v>15</v>
      </c>
      <c r="G275" s="2" t="s">
        <v>738</v>
      </c>
      <c r="H275" s="2" t="s">
        <v>46</v>
      </c>
      <c r="I275" s="2" t="str">
        <f ca="1">IFERROR(__xludf.DUMMYFUNCTION("GOOGLETRANSLATE(C275,""fr"",""en"")"),"I had a adviser who is named Widad very kind who has informed me with great kindness and very good clear and precise explanations.")</f>
        <v>I had a adviser who is named Widad very kind who has informed me with great kindness and very good clear and precise explanations.</v>
      </c>
    </row>
    <row r="276" spans="1:9" ht="15.75" customHeight="1" x14ac:dyDescent="0.3">
      <c r="A276" s="2">
        <v>1</v>
      </c>
      <c r="B276" s="2" t="s">
        <v>887</v>
      </c>
      <c r="C276" s="2" t="s">
        <v>888</v>
      </c>
      <c r="D276" s="2" t="s">
        <v>394</v>
      </c>
      <c r="E276" s="2" t="s">
        <v>129</v>
      </c>
      <c r="F276" s="2" t="s">
        <v>15</v>
      </c>
      <c r="G276" s="2" t="s">
        <v>889</v>
      </c>
      <c r="H276" s="2" t="s">
        <v>181</v>
      </c>
      <c r="I276" s="2" t="str">
        <f ca="1">IFERROR(__xludf.DUMMYFUNCTION("GOOGLETRANSLATE(C276,""fr"",""en"")"),"Does not keep its commitments or legal reimbursement deadlines. I am in conflict with them and I use a lawyer specializing in insurance law with undoubtedly a procedure at the key so significant costs")</f>
        <v>Does not keep its commitments or legal reimbursement deadlines. I am in conflict with them and I use a lawyer specializing in insurance law with undoubtedly a procedure at the key so significant costs</v>
      </c>
    </row>
    <row r="277" spans="1:9" ht="15.75" customHeight="1" x14ac:dyDescent="0.3">
      <c r="A277" s="2">
        <v>4</v>
      </c>
      <c r="B277" s="2" t="s">
        <v>890</v>
      </c>
      <c r="C277" s="2" t="s">
        <v>891</v>
      </c>
      <c r="D277" s="2" t="s">
        <v>28</v>
      </c>
      <c r="E277" s="2" t="s">
        <v>14</v>
      </c>
      <c r="F277" s="2" t="s">
        <v>15</v>
      </c>
      <c r="G277" s="2" t="s">
        <v>892</v>
      </c>
      <c r="H277" s="2" t="s">
        <v>46</v>
      </c>
      <c r="I277" s="2" t="str">
        <f ca="1">IFERROR(__xludf.DUMMYFUNCTION("GOOGLETRANSLATE(C277,""fr"",""en"")"),"I am more or less satisfied but a little expensive level rate customer service nothing to say perfect we will see at the accident level if the service is competent")</f>
        <v>I am more or less satisfied but a little expensive level rate customer service nothing to say perfect we will see at the accident level if the service is competent</v>
      </c>
    </row>
    <row r="278" spans="1:9" ht="15.75" customHeight="1" x14ac:dyDescent="0.3">
      <c r="A278" s="2">
        <v>2</v>
      </c>
      <c r="B278" s="2" t="s">
        <v>893</v>
      </c>
      <c r="C278" s="2" t="s">
        <v>894</v>
      </c>
      <c r="D278" s="2" t="s">
        <v>145</v>
      </c>
      <c r="E278" s="2" t="s">
        <v>81</v>
      </c>
      <c r="F278" s="2" t="s">
        <v>15</v>
      </c>
      <c r="G278" s="2" t="s">
        <v>895</v>
      </c>
      <c r="H278" s="2" t="s">
        <v>83</v>
      </c>
      <c r="I278" s="2" t="str">
        <f ca="1">IFERROR(__xludf.DUMMYFUNCTION("GOOGLETRANSLATE(C278,""fr"",""en"")"),"I was insured at the MAAF 11 years without claims, I sold my motorcycle and therefore terminate my insurance 3 years and 2 months ago.
Last week I contact them for a quote.
Following this quote, Jeréserve my motorcycle and contacted them to contract ins"&amp;"urance, this the day before recovering my motorcycle.
I come across an interlocutor who lets me understand that the first person made a mistake and that he can no longer make sure.
That my bonus is kept for 3 years and that since the 3 years are sold th"&amp;"ey tip over my car bonus and as it is at 1.08, they cannot offer me something.
I couldn't buy my motorcycle because of their error and I lost my deposit.
What a lack of seriousness, very disappointing.")</f>
        <v>I was insured at the MAAF 11 years without claims, I sold my motorcycle and therefore terminate my insurance 3 years and 2 months ago.
Last week I contact them for a quote.
Following this quote, Jeréserve my motorcycle and contacted them to contract insurance, this the day before recovering my motorcycle.
I come across an interlocutor who lets me understand that the first person made a mistake and that he can no longer make sure.
That my bonus is kept for 3 years and that since the 3 years are sold they tip over my car bonus and as it is at 1.08, they cannot offer me something.
I couldn't buy my motorcycle because of their error and I lost my deposit.
What a lack of seriousness, very disappointing.</v>
      </c>
    </row>
    <row r="279" spans="1:9" ht="15.75" customHeight="1" x14ac:dyDescent="0.3">
      <c r="A279" s="2">
        <v>3</v>
      </c>
      <c r="B279" s="2" t="s">
        <v>896</v>
      </c>
      <c r="C279" s="2" t="s">
        <v>897</v>
      </c>
      <c r="D279" s="2" t="s">
        <v>38</v>
      </c>
      <c r="E279" s="2" t="s">
        <v>39</v>
      </c>
      <c r="F279" s="2" t="s">
        <v>15</v>
      </c>
      <c r="G279" s="2" t="s">
        <v>898</v>
      </c>
      <c r="H279" s="2" t="s">
        <v>899</v>
      </c>
      <c r="I279" s="2" t="str">
        <f ca="1">IFERROR(__xludf.DUMMYFUNCTION("GOOGLETRANSLATE(C279,""fr"",""en"")"),"Following my post of November 27 at 2:11 a.m. Bibi3008 I point out to you that I won the case confirmed by Santiane's email the broker who cancels contract and reimburses me with sums paid for June 2017. Thanks to Opinion Assurances which Helped in my dis"&amp;"pute")</f>
        <v>Following my post of November 27 at 2:11 a.m. Bibi3008 I point out to you that I won the case confirmed by Santiane's email the broker who cancels contract and reimburses me with sums paid for June 2017. Thanks to Opinion Assurances which Helped in my dispute</v>
      </c>
    </row>
    <row r="280" spans="1:9" ht="15.75" customHeight="1" x14ac:dyDescent="0.3">
      <c r="A280" s="2">
        <v>1</v>
      </c>
      <c r="B280" s="2" t="s">
        <v>900</v>
      </c>
      <c r="C280" s="2" t="s">
        <v>901</v>
      </c>
      <c r="D280" s="2" t="s">
        <v>60</v>
      </c>
      <c r="E280" s="2" t="s">
        <v>61</v>
      </c>
      <c r="F280" s="2" t="s">
        <v>15</v>
      </c>
      <c r="G280" s="2" t="s">
        <v>902</v>
      </c>
      <c r="H280" s="2" t="s">
        <v>576</v>
      </c>
      <c r="I280" s="2" t="str">
        <f ca="1">IFERROR(__xludf.DUMMYFUNCTION("GOOGLETRANSLATE(C280,""fr"",""en"")"),"With 7 contracts, 6 are and were seriously tainted - non -integral reimbursement, forgotten legal interest, open and closed contract we still do not know why, advanced rate of return not kept (beginning 4.25 end 1.25), spoliated capital of 50%")</f>
        <v>With 7 contracts, 6 are and were seriously tainted - non -integral reimbursement, forgotten legal interest, open and closed contract we still do not know why, advanced rate of return not kept (beginning 4.25 end 1.25), spoliated capital of 50%</v>
      </c>
    </row>
    <row r="281" spans="1:9" ht="15.75" customHeight="1" x14ac:dyDescent="0.3">
      <c r="A281" s="2">
        <v>1</v>
      </c>
      <c r="B281" s="2" t="s">
        <v>903</v>
      </c>
      <c r="C281" s="2" t="s">
        <v>904</v>
      </c>
      <c r="D281" s="2" t="s">
        <v>145</v>
      </c>
      <c r="E281" s="2" t="s">
        <v>14</v>
      </c>
      <c r="F281" s="2" t="s">
        <v>15</v>
      </c>
      <c r="G281" s="2" t="s">
        <v>627</v>
      </c>
      <c r="H281" s="2" t="s">
        <v>57</v>
      </c>
      <c r="I281" s="2" t="str">
        <f ca="1">IFERROR(__xludf.DUMMYFUNCTION("GOOGLETRANSLATE(C281,""fr"",""en"")"),"Insurer to flee absolutely, no responsiveness ....
Everything is fine until the claim ???? Non -responsible sinister. Garage door access house broken by a responsible third party. 1 month after expert still not passed !!!! And my home access is not prote"&amp;"cted. They are very good at invoicing and not at all professional to fulfill their mission
Lamentable !!! ??????????
???????? AFTER      ????????
We have been fighting for 3 months to have total reimbursement of the quote for the replacement of our"&amp;" garage door. After several reminders on our part we are ignored, they make ""deaf ears"" !!!!!! Lamentable the consideration that the maaf towards its victims !!!! ????
Will they finally resolve our situation ... to follow")</f>
        <v>Insurer to flee absolutely, no responsiveness ....
Everything is fine until the claim ???? Non -responsible sinister. Garage door access house broken by a responsible third party. 1 month after expert still not passed !!!! And my home access is not protected. They are very good at invoicing and not at all professional to fulfill their mission
Lamentable !!! ??????????
???????? AFTER      ????????
We have been fighting for 3 months to have total reimbursement of the quote for the replacement of our garage door. After several reminders on our part we are ignored, they make "deaf ears" !!!!!! Lamentable the consideration that the maaf towards its victims !!!! ????
Will they finally resolve our situation ... to follow</v>
      </c>
    </row>
    <row r="282" spans="1:9" ht="15.75" customHeight="1" x14ac:dyDescent="0.3">
      <c r="A282" s="2">
        <v>1</v>
      </c>
      <c r="B282" s="2" t="s">
        <v>905</v>
      </c>
      <c r="C282" s="2" t="s">
        <v>906</v>
      </c>
      <c r="D282" s="2" t="s">
        <v>13</v>
      </c>
      <c r="E282" s="2" t="s">
        <v>14</v>
      </c>
      <c r="F282" s="2" t="s">
        <v>15</v>
      </c>
      <c r="G282" s="2" t="s">
        <v>510</v>
      </c>
      <c r="H282" s="2" t="s">
        <v>25</v>
      </c>
      <c r="I282" s="2" t="str">
        <f ca="1">IFERROR(__xludf.DUMMYFUNCTION("GOOGLETRANSLATE(C282,""fr"",""en"")"),"Direct insurance very disappointing in terms of claims management. Effective enough to make you subscribe a contract, but to forget in the event of a claim. I've been waiting for a response for a month, no loan car so it's a contract clause, expertise mad"&amp;"e by their designed expert but impossible to join the expert (despite a dozen calls) and his opinion is supposedly under study by the dedicated service of direct insurance which asks me to wait (after a dozen calls too). So it's been 28 days since I wait "&amp;"without a car. The prices seem attractive but in the end very expensive for a service nonexistent if necessary. To specify, I have been at home since 2014, never an accident before this claim.")</f>
        <v>Direct insurance very disappointing in terms of claims management. Effective enough to make you subscribe a contract, but to forget in the event of a claim. I've been waiting for a response for a month, no loan car so it's a contract clause, expertise made by their designed expert but impossible to join the expert (despite a dozen calls) and his opinion is supposedly under study by the dedicated service of direct insurance which asks me to wait (after a dozen calls too). So it's been 28 days since I wait without a car. The prices seem attractive but in the end very expensive for a service nonexistent if necessary. To specify, I have been at home since 2014, never an accident before this claim.</v>
      </c>
    </row>
    <row r="283" spans="1:9" ht="15.75" customHeight="1" x14ac:dyDescent="0.3">
      <c r="A283" s="2">
        <v>1</v>
      </c>
      <c r="B283" s="2" t="s">
        <v>907</v>
      </c>
      <c r="C283" s="2" t="s">
        <v>908</v>
      </c>
      <c r="D283" s="2" t="s">
        <v>909</v>
      </c>
      <c r="E283" s="2" t="s">
        <v>910</v>
      </c>
      <c r="F283" s="2" t="s">
        <v>15</v>
      </c>
      <c r="G283" s="2" t="s">
        <v>307</v>
      </c>
      <c r="H283" s="2" t="s">
        <v>71</v>
      </c>
      <c r="I283" s="2" t="str">
        <f ca="1">IFERROR(__xludf.DUMMYFUNCTION("GOOGLETRANSLATE(C283,""fr"",""en"")"),"I had a claim with a professional, recognized and proven sinister and MMA tells me to assign this professional to the court and of course refuse to take care of the claim with fanciful arguments. This insurance is useless, since she tells me to send her i"&amp;"nsured to the court and she does not respect the contract. Tasty detail, the professional is ""insured"" but in reality it is the customer who pays for a service not rendered: this insurance is to be flee, yet it is imposed on us. I recently had an expert"&amp;"ise for the sale of a house and the expert is still assured at this fake insurance and I have not had the choice! I have a vehicle insured with them and I will be happy to turn them. PS: I rest my opinion because I do not see it (I had not identified myse"&amp;"lf)")</f>
        <v>I had a claim with a professional, recognized and proven sinister and MMA tells me to assign this professional to the court and of course refuse to take care of the claim with fanciful arguments. This insurance is useless, since she tells me to send her insured to the court and she does not respect the contract. Tasty detail, the professional is "insured" but in reality it is the customer who pays for a service not rendered: this insurance is to be flee, yet it is imposed on us. I recently had an expertise for the sale of a house and the expert is still assured at this fake insurance and I have not had the choice! I have a vehicle insured with them and I will be happy to turn them. PS: I rest my opinion because I do not see it (I had not identified myself)</v>
      </c>
    </row>
    <row r="284" spans="1:9" ht="15.75" customHeight="1" x14ac:dyDescent="0.3">
      <c r="A284" s="2">
        <v>3</v>
      </c>
      <c r="B284" s="2" t="s">
        <v>911</v>
      </c>
      <c r="C284" s="2" t="s">
        <v>912</v>
      </c>
      <c r="D284" s="2" t="s">
        <v>530</v>
      </c>
      <c r="E284" s="2" t="s">
        <v>39</v>
      </c>
      <c r="F284" s="2" t="s">
        <v>15</v>
      </c>
      <c r="G284" s="2" t="s">
        <v>913</v>
      </c>
      <c r="H284" s="2" t="s">
        <v>248</v>
      </c>
      <c r="I284" s="2" t="str">
        <f ca="1">IFERROR(__xludf.DUMMYFUNCTION("GOOGLETRANSLATE(C284,""fr"",""en"")"),"A member for over 30 years, I am satisfied with the services of this mutual and reimbursements. Recently, I have been given to contact the mutual by phone, I was offered to be recalled because the waiting time was too long, I was recalled within 10 minute"&amp;"s by a very professional advisor who met my expectations.")</f>
        <v>A member for over 30 years, I am satisfied with the services of this mutual and reimbursements. Recently, I have been given to contact the mutual by phone, I was offered to be recalled because the waiting time was too long, I was recalled within 10 minutes by a very professional advisor who met my expectations.</v>
      </c>
    </row>
    <row r="285" spans="1:9" ht="15.75" customHeight="1" x14ac:dyDescent="0.3">
      <c r="A285" s="2">
        <v>2</v>
      </c>
      <c r="B285" s="2" t="s">
        <v>914</v>
      </c>
      <c r="C285" s="2" t="s">
        <v>915</v>
      </c>
      <c r="D285" s="2" t="s">
        <v>326</v>
      </c>
      <c r="E285" s="2" t="s">
        <v>129</v>
      </c>
      <c r="F285" s="2" t="s">
        <v>15</v>
      </c>
      <c r="G285" s="2" t="s">
        <v>569</v>
      </c>
      <c r="H285" s="2" t="s">
        <v>557</v>
      </c>
      <c r="I285" s="2" t="str">
        <f ca="1">IFERROR(__xludf.DUMMYFUNCTION("GOOGLETRANSLATE(C285,""fr"",""en"")"),"Unstoppated maturity notice, no recall May a recommended sent with formal notice increased by a tax. After contact with an interlocutor no possible arrangement this one being visibly customary of this kind of complaint and affirming making that he cannot "&amp;"prove that no proof in his possession.")</f>
        <v>Unstoppated maturity notice, no recall May a recommended sent with formal notice increased by a tax. After contact with an interlocutor no possible arrangement this one being visibly customary of this kind of complaint and affirming making that he cannot prove that no proof in his possession.</v>
      </c>
    </row>
    <row r="286" spans="1:9" ht="15.75" customHeight="1" x14ac:dyDescent="0.3">
      <c r="A286" s="2">
        <v>5</v>
      </c>
      <c r="B286" s="2" t="s">
        <v>916</v>
      </c>
      <c r="C286" s="2" t="s">
        <v>917</v>
      </c>
      <c r="D286" s="2" t="s">
        <v>13</v>
      </c>
      <c r="E286" s="2" t="s">
        <v>14</v>
      </c>
      <c r="F286" s="2" t="s">
        <v>15</v>
      </c>
      <c r="G286" s="2" t="s">
        <v>918</v>
      </c>
      <c r="H286" s="2" t="s">
        <v>17</v>
      </c>
      <c r="I286" s="2" t="str">
        <f ca="1">IFERROR(__xludf.DUMMYFUNCTION("GOOGLETRANSLATE(C286,""fr"",""en"")"),"The prices suit me and I had positive feedback from those around me who recommended me direct insurance.
In addition I found the showroom promotions")</f>
        <v>The prices suit me and I had positive feedback from those around me who recommended me direct insurance.
In addition I found the showroom promotions</v>
      </c>
    </row>
    <row r="287" spans="1:9" ht="15.75" customHeight="1" x14ac:dyDescent="0.3">
      <c r="A287" s="2">
        <v>3</v>
      </c>
      <c r="B287" s="2" t="s">
        <v>919</v>
      </c>
      <c r="C287" s="2" t="s">
        <v>920</v>
      </c>
      <c r="D287" s="2" t="s">
        <v>530</v>
      </c>
      <c r="E287" s="2" t="s">
        <v>39</v>
      </c>
      <c r="F287" s="2" t="s">
        <v>15</v>
      </c>
      <c r="G287" s="2" t="s">
        <v>522</v>
      </c>
      <c r="H287" s="2" t="s">
        <v>108</v>
      </c>
      <c r="I287" s="2" t="str">
        <f ca="1">IFERROR(__xludf.DUMMYFUNCTION("GOOGLETRANSLATE(C287,""fr"",""en"")"),"Even if the mutual rate is still quite substantial if you want a satisfactory refund, the quality of service of the interlocutors is satisfactory and the services correct.")</f>
        <v>Even if the mutual rate is still quite substantial if you want a satisfactory refund, the quality of service of the interlocutors is satisfactory and the services correct.</v>
      </c>
    </row>
    <row r="288" spans="1:9" ht="15.75" customHeight="1" x14ac:dyDescent="0.3">
      <c r="A288" s="2">
        <v>2</v>
      </c>
      <c r="B288" s="2" t="s">
        <v>921</v>
      </c>
      <c r="C288" s="2" t="s">
        <v>922</v>
      </c>
      <c r="D288" s="2" t="s">
        <v>197</v>
      </c>
      <c r="E288" s="2" t="s">
        <v>81</v>
      </c>
      <c r="F288" s="2" t="s">
        <v>15</v>
      </c>
      <c r="G288" s="2" t="s">
        <v>395</v>
      </c>
      <c r="H288" s="2" t="s">
        <v>83</v>
      </c>
      <c r="I288" s="2" t="str">
        <f ca="1">IFERROR(__xludf.DUMMYFUNCTION("GOOGLETRANSLATE(C288,""fr"",""en"")"),"AMV insurance that is not aware on driving a 3 -wheel scooter.
Training exemption:
Have obtained the B license with equivalence A1 before March 80.
This is funny this is my case and I came across a lady who apparently is not aware.
It is time to train"&amp;" insurance agents of this Cie")</f>
        <v>AMV insurance that is not aware on driving a 3 -wheel scooter.
Training exemption:
Have obtained the B license with equivalence A1 before March 80.
This is funny this is my case and I came across a lady who apparently is not aware.
It is time to train insurance agents of this Cie</v>
      </c>
    </row>
    <row r="289" spans="1:9" ht="15.75" customHeight="1" x14ac:dyDescent="0.3">
      <c r="A289" s="2">
        <v>1</v>
      </c>
      <c r="B289" s="2" t="s">
        <v>923</v>
      </c>
      <c r="C289" s="2" t="s">
        <v>924</v>
      </c>
      <c r="D289" s="2" t="s">
        <v>38</v>
      </c>
      <c r="E289" s="2" t="s">
        <v>39</v>
      </c>
      <c r="F289" s="2" t="s">
        <v>15</v>
      </c>
      <c r="G289" s="2" t="s">
        <v>328</v>
      </c>
      <c r="H289" s="2" t="s">
        <v>328</v>
      </c>
      <c r="I289" s="2" t="str">
        <f ca="1">IFERROR(__xludf.DUMMYFUNCTION("GOOGLETRANSLATE(C289,""fr"",""en"")"),"Letters that are lost, lost file, document not received. Obliged to send letters and files with LRAR. Treatment of long and difficult payments.")</f>
        <v>Letters that are lost, lost file, document not received. Obliged to send letters and files with LRAR. Treatment of long and difficult payments.</v>
      </c>
    </row>
    <row r="290" spans="1:9" ht="15.75" customHeight="1" x14ac:dyDescent="0.3">
      <c r="A290" s="2">
        <v>3</v>
      </c>
      <c r="B290" s="2" t="s">
        <v>925</v>
      </c>
      <c r="C290" s="2" t="s">
        <v>926</v>
      </c>
      <c r="D290" s="2" t="s">
        <v>13</v>
      </c>
      <c r="E290" s="2" t="s">
        <v>129</v>
      </c>
      <c r="F290" s="2" t="s">
        <v>15</v>
      </c>
      <c r="G290" s="2" t="s">
        <v>927</v>
      </c>
      <c r="H290" s="2" t="s">
        <v>46</v>
      </c>
      <c r="I290" s="2" t="str">
        <f ca="1">IFERROR(__xludf.DUMMYFUNCTION("GOOGLETRANSLATE(C290,""fr"",""en"")"),"I have all my insurance contracts at DA for several years. I never had anything to complain about ... until today. I just bought a house in Las Yvelines, and there an operator announces to me that they cannot ensure this geographic area ... The only thing"&amp;" she could answer me is like that, See someone else. She released me the written list of natural and technological disasters ... First person, notary included, to estimate that this area presents a risk!")</f>
        <v>I have all my insurance contracts at DA for several years. I never had anything to complain about ... until today. I just bought a house in Las Yvelines, and there an operator announces to me that they cannot ensure this geographic area ... The only thing she could answer me is like that, See someone else. She released me the written list of natural and technological disasters ... First person, notary included, to estimate that this area presents a risk!</v>
      </c>
    </row>
    <row r="291" spans="1:9" ht="15.75" customHeight="1" x14ac:dyDescent="0.3">
      <c r="A291" s="2">
        <v>4</v>
      </c>
      <c r="B291" s="2" t="s">
        <v>928</v>
      </c>
      <c r="C291" s="2" t="s">
        <v>929</v>
      </c>
      <c r="D291" s="2" t="s">
        <v>33</v>
      </c>
      <c r="E291" s="2" t="s">
        <v>14</v>
      </c>
      <c r="F291" s="2" t="s">
        <v>15</v>
      </c>
      <c r="G291" s="2" t="s">
        <v>354</v>
      </c>
      <c r="H291" s="2" t="s">
        <v>354</v>
      </c>
      <c r="I291" s="2" t="str">
        <f ca="1">IFERROR(__xludf.DUMMYFUNCTION("GOOGLETRANSLATE(C291,""fr"",""en"")"),"For us, thanks to the Matmut:
We had a claim by car with damaged body and pillar of a wall destroyed in part.
La Matmut gave us the vehicle franchise: 405 euros and only counted the pillar franchise 150 euros.
We had never had a claim by car for 15 yea"&amp;"rs, but we were very happy !!! The Courbevoie agency supported us.")</f>
        <v>For us, thanks to the Matmut:
We had a claim by car with damaged body and pillar of a wall destroyed in part.
La Matmut gave us the vehicle franchise: 405 euros and only counted the pillar franchise 150 euros.
We had never had a claim by car for 15 years, but we were very happy !!! The Courbevoie agency supported us.</v>
      </c>
    </row>
    <row r="292" spans="1:9" ht="15.75" customHeight="1" x14ac:dyDescent="0.3">
      <c r="A292" s="2">
        <v>1</v>
      </c>
      <c r="B292" s="2" t="s">
        <v>930</v>
      </c>
      <c r="C292" s="2" t="s">
        <v>931</v>
      </c>
      <c r="D292" s="2" t="s">
        <v>13</v>
      </c>
      <c r="E292" s="2" t="s">
        <v>14</v>
      </c>
      <c r="F292" s="2" t="s">
        <v>15</v>
      </c>
      <c r="G292" s="2" t="s">
        <v>932</v>
      </c>
      <c r="H292" s="2" t="s">
        <v>576</v>
      </c>
      <c r="I292" s="2" t="str">
        <f ca="1">IFERROR(__xludf.DUMMYFUNCTION("GOOGLETRANSLATE(C292,""fr"",""en"")"),"Without preventing significant increase in the subscription and no possibility of discussing. Disastrous customer service, and if you have the slightest concern, be sure that it will not be taken into account.")</f>
        <v>Without preventing significant increase in the subscription and no possibility of discussing. Disastrous customer service, and if you have the slightest concern, be sure that it will not be taken into account.</v>
      </c>
    </row>
    <row r="293" spans="1:9" ht="15.75" customHeight="1" x14ac:dyDescent="0.3">
      <c r="A293" s="2">
        <v>2</v>
      </c>
      <c r="B293" s="2" t="s">
        <v>933</v>
      </c>
      <c r="C293" s="2" t="s">
        <v>934</v>
      </c>
      <c r="D293" s="2" t="s">
        <v>254</v>
      </c>
      <c r="E293" s="2" t="s">
        <v>14</v>
      </c>
      <c r="F293" s="2" t="s">
        <v>15</v>
      </c>
      <c r="G293" s="2" t="s">
        <v>935</v>
      </c>
      <c r="H293" s="2" t="s">
        <v>354</v>
      </c>
      <c r="I293" s="2" t="str">
        <f ca="1">IFERROR(__xludf.DUMMYFUNCTION("GOOGLETRANSLATE(C293,""fr"",""en"")"),"I bought a vehicle at 4780 euros a year ago with which I go to work every day. I had a non -responsible accident on September 8, 2020 with a motorcycle that struck me 90 kilometers /h from the back while I was stopped on a fireplace on a highway exit. Fir"&amp;"stly the insurance expert estimated my vehicle at 3,500 euros which is low seen how much I paid it not so long ago but hey I was forced to accept hoping that it would go faster if I do not ask for a counter expertise. Secondly, I had to wait more than a m"&amp;"onth for the verbal trial of the accident to be sent to my insurance. Between this time of time I had to make decisions like yielding my vehicle in vei to the Macif for destruction for a miserable sum of just over 400 euros (residual value). Thirdly this "&amp;"vehicle was my means of transport to go to work for a year and I continue to pay the credit that allowed me to buy it. Fourth, I have to wait until third -party insurance Allianz responds to the request to take care of my material damage made by the Macif"&amp;" for a month. Honestly the so -called compensation made in 2 days after receipt of the documents is false. I try to hire a lawyer to request additional compensation due to my current situation. Good luck to all those who are victims of accident and who fi"&amp;"nd themselves waiting for several months before being compensated. When it comes to paying they take us on precise dates but when we have to take care of victims it clearly hits.")</f>
        <v>I bought a vehicle at 4780 euros a year ago with which I go to work every day. I had a non -responsible accident on September 8, 2020 with a motorcycle that struck me 90 kilometers /h from the back while I was stopped on a fireplace on a highway exit. Firstly the insurance expert estimated my vehicle at 3,500 euros which is low seen how much I paid it not so long ago but hey I was forced to accept hoping that it would go faster if I do not ask for a counter expertise. Secondly, I had to wait more than a month for the verbal trial of the accident to be sent to my insurance. Between this time of time I had to make decisions like yielding my vehicle in vei to the Macif for destruction for a miserable sum of just over 400 euros (residual value). Thirdly this vehicle was my means of transport to go to work for a year and I continue to pay the credit that allowed me to buy it. Fourth, I have to wait until third -party insurance Allianz responds to the request to take care of my material damage made by the Macif for a month. Honestly the so -called compensation made in 2 days after receipt of the documents is false. I try to hire a lawyer to request additional compensation due to my current situation. Good luck to all those who are victims of accident and who find themselves waiting for several months before being compensated. When it comes to paying they take us on precise dates but when we have to take care of victims it clearly hits.</v>
      </c>
    </row>
    <row r="294" spans="1:9" ht="15.75" customHeight="1" x14ac:dyDescent="0.3">
      <c r="A294" s="2">
        <v>2</v>
      </c>
      <c r="B294" s="2" t="s">
        <v>936</v>
      </c>
      <c r="C294" s="2" t="s">
        <v>937</v>
      </c>
      <c r="D294" s="2" t="s">
        <v>326</v>
      </c>
      <c r="E294" s="2" t="s">
        <v>61</v>
      </c>
      <c r="F294" s="2" t="s">
        <v>15</v>
      </c>
      <c r="G294" s="2" t="s">
        <v>938</v>
      </c>
      <c r="H294" s="2" t="s">
        <v>139</v>
      </c>
      <c r="I294" s="2" t="str">
        <f ca="1">IFERROR(__xludf.DUMMYFUNCTION("GOOGLETRANSLATE(C294,""fr"",""en"")"),"Hello,
I subscribed to an Allegro Arpeges contract a year ago in the Villiers sur Marne agency. Disstabrication of the rate of return and the savings profile which did not respond to my profile in terms of risk, I demanded that we arbitrate all of my mon"&amp;"ey to a fund in euros (by mail with AR). This has never been taken into account, despite my active reminders. So I demanded a total repurchase of this life insurance by mail with AR. Almost two months ago in a few days and my money has still not been paid"&amp;" to me. If the legal deadlines are not respected I will be forced to give legal consequences. I do not recommend this agency at all if you want to open life insurance. Too bad because we are well received for other products!")</f>
        <v>Hello,
I subscribed to an Allegro Arpeges contract a year ago in the Villiers sur Marne agency. Disstabrication of the rate of return and the savings profile which did not respond to my profile in terms of risk, I demanded that we arbitrate all of my money to a fund in euros (by mail with AR). This has never been taken into account, despite my active reminders. So I demanded a total repurchase of this life insurance by mail with AR. Almost two months ago in a few days and my money has still not been paid to me. If the legal deadlines are not respected I will be forced to give legal consequences. I do not recommend this agency at all if you want to open life insurance. Too bad because we are well received for other products!</v>
      </c>
    </row>
    <row r="295" spans="1:9" ht="15.75" customHeight="1" x14ac:dyDescent="0.3">
      <c r="A295" s="2">
        <v>5</v>
      </c>
      <c r="B295" s="2" t="s">
        <v>939</v>
      </c>
      <c r="C295" s="2" t="s">
        <v>940</v>
      </c>
      <c r="D295" s="2" t="s">
        <v>28</v>
      </c>
      <c r="E295" s="2" t="s">
        <v>14</v>
      </c>
      <c r="F295" s="2" t="s">
        <v>15</v>
      </c>
      <c r="G295" s="2" t="s">
        <v>480</v>
      </c>
      <c r="H295" s="2" t="s">
        <v>46</v>
      </c>
      <c r="I295" s="2" t="str">
        <f ca="1">IFERROR(__xludf.DUMMYFUNCTION("GOOGLETRANSLATE(C295,""fr"",""en"")"),"I am satisfied by the price thank you very much I remain at your disposal for any additional information concerning the sending of the gray card. Sincerely, Cilluffo Domenico.")</f>
        <v>I am satisfied by the price thank you very much I remain at your disposal for any additional information concerning the sending of the gray card. Sincerely, Cilluffo Domenico.</v>
      </c>
    </row>
    <row r="296" spans="1:9" ht="15.75" customHeight="1" x14ac:dyDescent="0.3">
      <c r="A296" s="2">
        <v>1</v>
      </c>
      <c r="B296" s="2" t="s">
        <v>941</v>
      </c>
      <c r="C296" s="2" t="s">
        <v>942</v>
      </c>
      <c r="D296" s="2" t="s">
        <v>33</v>
      </c>
      <c r="E296" s="2" t="s">
        <v>14</v>
      </c>
      <c r="F296" s="2" t="s">
        <v>15</v>
      </c>
      <c r="G296" s="2" t="s">
        <v>943</v>
      </c>
      <c r="H296" s="2" t="s">
        <v>30</v>
      </c>
      <c r="I296" s="2" t="str">
        <f ca="1">IFERROR(__xludf.DUMMYFUNCTION("GOOGLETRANSLATE(C296,""fr"",""en"")"),"Following 1 accident or I was absolutely not wrongly the matmut to refuse to compensate my vehicle to compensate me because they judged it too old and with too much kms. 3 children. Magne its age and KMS it allowed me to go to work and bring my children t"&amp;"o the School.
Do not go to the matmut they are that good to take up after no follow -up and no defense of their insured")</f>
        <v>Following 1 accident or I was absolutely not wrongly the matmut to refuse to compensate my vehicle to compensate me because they judged it too old and with too much kms. 3 children. Magne its age and KMS it allowed me to go to work and bring my children to the School.
Do not go to the matmut they are that good to take up after no follow -up and no defense of their insured</v>
      </c>
    </row>
    <row r="297" spans="1:9" ht="15.75" customHeight="1" x14ac:dyDescent="0.3">
      <c r="A297" s="2">
        <v>3</v>
      </c>
      <c r="B297" s="2" t="s">
        <v>944</v>
      </c>
      <c r="C297" s="2" t="s">
        <v>945</v>
      </c>
      <c r="D297" s="2" t="s">
        <v>38</v>
      </c>
      <c r="E297" s="2" t="s">
        <v>39</v>
      </c>
      <c r="F297" s="2" t="s">
        <v>15</v>
      </c>
      <c r="G297" s="2" t="s">
        <v>385</v>
      </c>
      <c r="H297" s="2" t="s">
        <v>385</v>
      </c>
      <c r="I297" s="2" t="str">
        <f ca="1">IFERROR(__xludf.DUMMYFUNCTION("GOOGLETRANSLATE(C297,""fr"",""en"")"),"Constable by a council, clear explanations")</f>
        <v>Constable by a council, clear explanations</v>
      </c>
    </row>
    <row r="298" spans="1:9" ht="15.75" customHeight="1" x14ac:dyDescent="0.3">
      <c r="A298" s="2">
        <v>1</v>
      </c>
      <c r="B298" s="2" t="s">
        <v>946</v>
      </c>
      <c r="C298" s="2" t="s">
        <v>947</v>
      </c>
      <c r="D298" s="2" t="s">
        <v>13</v>
      </c>
      <c r="E298" s="2" t="s">
        <v>14</v>
      </c>
      <c r="F298" s="2" t="s">
        <v>15</v>
      </c>
      <c r="G298" s="2" t="s">
        <v>948</v>
      </c>
      <c r="H298" s="2" t="s">
        <v>25</v>
      </c>
      <c r="I298" s="2" t="str">
        <f ca="1">IFERROR(__xludf.DUMMYFUNCTION("GOOGLETRANSLATE(C298,""fr"",""en"")"),"Anything in terms of price (190 €/month). In addition, I am put on a penalty on 1.12 without really understanding the situation .... of the big one ... I change the insurer very quickly")</f>
        <v>Anything in terms of price (190 €/month). In addition, I am put on a penalty on 1.12 without really understanding the situation .... of the big one ... I change the insurer very quickly</v>
      </c>
    </row>
    <row r="299" spans="1:9" ht="15.75" customHeight="1" x14ac:dyDescent="0.3">
      <c r="A299" s="2">
        <v>4</v>
      </c>
      <c r="B299" s="2" t="s">
        <v>949</v>
      </c>
      <c r="C299" s="2" t="s">
        <v>950</v>
      </c>
      <c r="D299" s="2" t="s">
        <v>326</v>
      </c>
      <c r="E299" s="2" t="s">
        <v>14</v>
      </c>
      <c r="F299" s="2" t="s">
        <v>15</v>
      </c>
      <c r="G299" s="2" t="s">
        <v>951</v>
      </c>
      <c r="H299" s="2" t="s">
        <v>207</v>
      </c>
      <c r="I299" s="2" t="str">
        <f ca="1">IFERROR(__xludf.DUMMYFUNCTION("GOOGLETRANSLATE(C299,""fr"",""en"")"),"For troubleshooting km 0, I don't see what could be better. My car did not want to start, I called the AXA troubleshooting and in 48 hours everything was set: careless care, deposit at the garage, taxi and loan of a vehicle.")</f>
        <v>For troubleshooting km 0, I don't see what could be better. My car did not want to start, I called the AXA troubleshooting and in 48 hours everything was set: careless care, deposit at the garage, taxi and loan of a vehicle.</v>
      </c>
    </row>
    <row r="300" spans="1:9" ht="15.75" customHeight="1" x14ac:dyDescent="0.3">
      <c r="A300" s="2">
        <v>1</v>
      </c>
      <c r="B300" s="2" t="s">
        <v>952</v>
      </c>
      <c r="C300" s="2" t="s">
        <v>953</v>
      </c>
      <c r="D300" s="2" t="s">
        <v>190</v>
      </c>
      <c r="E300" s="2" t="s">
        <v>14</v>
      </c>
      <c r="F300" s="2" t="s">
        <v>15</v>
      </c>
      <c r="G300" s="2" t="s">
        <v>954</v>
      </c>
      <c r="H300" s="2" t="s">
        <v>354</v>
      </c>
      <c r="I300" s="2" t="str">
        <f ca="1">IFERROR(__xludf.DUMMYFUNCTION("GOOGLETRANSLATE(C300,""fr"",""en"")"),"Hello,
This insurance has terminated all my contracts without warning me for a delay in payment of 15 days, I was insured with them since April 1, 2014. No claim for 10 years
As a result I was no longer insured without knowing it from 21/10 to 20/11 o"&amp;"r a month during which
He could have happened to me a disaster, I am completely in shock and I do not recommend this company. M bubble")</f>
        <v>Hello,
This insurance has terminated all my contracts without warning me for a delay in payment of 15 days, I was insured with them since April 1, 2014. No claim for 10 years
As a result I was no longer insured without knowing it from 21/10 to 20/11 or a month during which
He could have happened to me a disaster, I am completely in shock and I do not recommend this company. M bubble</v>
      </c>
    </row>
    <row r="301" spans="1:9" ht="15.75" customHeight="1" x14ac:dyDescent="0.3">
      <c r="A301" s="2">
        <v>1</v>
      </c>
      <c r="B301" s="2" t="s">
        <v>955</v>
      </c>
      <c r="C301" s="2" t="s">
        <v>956</v>
      </c>
      <c r="D301" s="2" t="s">
        <v>55</v>
      </c>
      <c r="E301" s="2" t="s">
        <v>39</v>
      </c>
      <c r="F301" s="2" t="s">
        <v>15</v>
      </c>
      <c r="G301" s="2" t="s">
        <v>957</v>
      </c>
      <c r="H301" s="2" t="s">
        <v>108</v>
      </c>
      <c r="I301" s="2" t="str">
        <f ca="1">IFERROR(__xludf.DUMMYFUNCTION("GOOGLETRANSLATE(C301,""fr"",""en"")"),"This mutual has large dysfunctions. Its employees ask you several times the same supporting documents. To believe that they do not want to reimburse you. It took several months, when I was unemployed and I was entitled to portability, so that it was recog"&amp;"nized. Then, I have refusal of reimbursements for one of my assigns, services to which he is entitled and who have been waiting for months. It is a complementary health at the discount. It is an American group that does not know what health coverage means"&amp;". Before we had generation who was much better but we were forced to change without being asked for our opinion.")</f>
        <v>This mutual has large dysfunctions. Its employees ask you several times the same supporting documents. To believe that they do not want to reimburse you. It took several months, when I was unemployed and I was entitled to portability, so that it was recognized. Then, I have refusal of reimbursements for one of my assigns, services to which he is entitled and who have been waiting for months. It is a complementary health at the discount. It is an American group that does not know what health coverage means. Before we had generation who was much better but we were forced to change without being asked for our opinion.</v>
      </c>
    </row>
    <row r="302" spans="1:9" ht="15.75" customHeight="1" x14ac:dyDescent="0.3">
      <c r="A302" s="2">
        <v>1</v>
      </c>
      <c r="B302" s="2" t="s">
        <v>958</v>
      </c>
      <c r="C302" s="2" t="s">
        <v>959</v>
      </c>
      <c r="D302" s="2" t="s">
        <v>28</v>
      </c>
      <c r="E302" s="2" t="s">
        <v>14</v>
      </c>
      <c r="F302" s="2" t="s">
        <v>15</v>
      </c>
      <c r="G302" s="2" t="s">
        <v>114</v>
      </c>
      <c r="H302" s="2" t="s">
        <v>46</v>
      </c>
      <c r="I302" s="2" t="str">
        <f ca="1">IFERROR(__xludf.DUMMYFUNCTION("GOOGLETRANSLATE(C302,""fr"",""en"")"),"Victim of a lack of information, I had no other choice but to resign with you € 72 of the fees of cases + 10% increase in insurance costs")</f>
        <v>Victim of a lack of information, I had no other choice but to resign with you € 72 of the fees of cases + 10% increase in insurance costs</v>
      </c>
    </row>
    <row r="303" spans="1:9" ht="15.75" customHeight="1" x14ac:dyDescent="0.3">
      <c r="A303" s="2">
        <v>4</v>
      </c>
      <c r="B303" s="2" t="s">
        <v>960</v>
      </c>
      <c r="C303" s="2" t="s">
        <v>961</v>
      </c>
      <c r="D303" s="2" t="s">
        <v>13</v>
      </c>
      <c r="E303" s="2" t="s">
        <v>14</v>
      </c>
      <c r="F303" s="2" t="s">
        <v>15</v>
      </c>
      <c r="G303" s="2" t="s">
        <v>161</v>
      </c>
      <c r="H303" s="2" t="s">
        <v>83</v>
      </c>
      <c r="I303" s="2" t="str">
        <f ca="1">IFERROR(__xludf.DUMMYFUNCTION("GOOGLETRANSLATE(C303,""fr"",""en"")"),"very intuitive site, at the top
Very fast system, the price is unbeatable (for the same guarantees I paid almost 900eur ...)
more than waiting to be well confirmed at home")</f>
        <v>very intuitive site, at the top
Very fast system, the price is unbeatable (for the same guarantees I paid almost 900eur ...)
more than waiting to be well confirmed at home</v>
      </c>
    </row>
    <row r="304" spans="1:9" ht="15.75" customHeight="1" x14ac:dyDescent="0.3">
      <c r="A304" s="2">
        <v>4</v>
      </c>
      <c r="B304" s="2" t="s">
        <v>962</v>
      </c>
      <c r="C304" s="2" t="s">
        <v>963</v>
      </c>
      <c r="D304" s="2" t="s">
        <v>254</v>
      </c>
      <c r="E304" s="2" t="s">
        <v>14</v>
      </c>
      <c r="F304" s="2" t="s">
        <v>15</v>
      </c>
      <c r="G304" s="2" t="s">
        <v>964</v>
      </c>
      <c r="H304" s="2" t="s">
        <v>448</v>
      </c>
      <c r="I304" s="2" t="str">
        <f ca="1">IFERROR(__xludf.DUMMYFUNCTION("GOOGLETRANSLATE(C304,""fr"",""en"")"),"Reception, availability, very ""pros"" explanations, price level not more expensive than elsewhere ....!")</f>
        <v>Reception, availability, very "pros" explanations, price level not more expensive than elsewhere ....!</v>
      </c>
    </row>
    <row r="305" spans="1:9" ht="15.75" customHeight="1" x14ac:dyDescent="0.3">
      <c r="A305" s="2">
        <v>2</v>
      </c>
      <c r="B305" s="2" t="s">
        <v>965</v>
      </c>
      <c r="C305" s="2" t="s">
        <v>966</v>
      </c>
      <c r="D305" s="2" t="s">
        <v>28</v>
      </c>
      <c r="E305" s="2" t="s">
        <v>14</v>
      </c>
      <c r="F305" s="2" t="s">
        <v>15</v>
      </c>
      <c r="G305" s="2" t="s">
        <v>967</v>
      </c>
      <c r="H305" s="2" t="s">
        <v>46</v>
      </c>
      <c r="I305" s="2" t="str">
        <f ca="1">IFERROR(__xludf.DUMMYFUNCTION("GOOGLETRANSLATE(C305,""fr"",""en"")"),"A bit of nearly 168 euros part months for a young driver's insurance for 120cheveau I find its really expensive for the most not (tier) not even assurely for the stea ...")</f>
        <v>A bit of nearly 168 euros part months for a young driver's insurance for 120cheveau I find its really expensive for the most not (tier) not even assurely for the stea ...</v>
      </c>
    </row>
    <row r="306" spans="1:9" ht="15.75" customHeight="1" x14ac:dyDescent="0.3">
      <c r="A306" s="2">
        <v>5</v>
      </c>
      <c r="B306" s="2" t="s">
        <v>968</v>
      </c>
      <c r="C306" s="2" t="s">
        <v>969</v>
      </c>
      <c r="D306" s="2" t="s">
        <v>493</v>
      </c>
      <c r="E306" s="2" t="s">
        <v>101</v>
      </c>
      <c r="F306" s="2" t="s">
        <v>15</v>
      </c>
      <c r="G306" s="2" t="s">
        <v>970</v>
      </c>
      <c r="H306" s="2" t="s">
        <v>21</v>
      </c>
      <c r="I306" s="2" t="str">
        <f ca="1">IFERROR(__xludf.DUMMYFUNCTION("GOOGLETRANSLATE(C306,""fr"",""en"")"),"I am satisfied with the rapidity of the service
Very professional and efficient advisor
I recommend 100 %
Really competitive rates with Equivalent cover")</f>
        <v>I am satisfied with the rapidity of the service
Very professional and efficient advisor
I recommend 100 %
Really competitive rates with Equivalent cover</v>
      </c>
    </row>
    <row r="307" spans="1:9" ht="15.75" customHeight="1" x14ac:dyDescent="0.3">
      <c r="A307" s="2">
        <v>5</v>
      </c>
      <c r="B307" s="2" t="s">
        <v>971</v>
      </c>
      <c r="C307" s="2" t="s">
        <v>972</v>
      </c>
      <c r="D307" s="2" t="s">
        <v>13</v>
      </c>
      <c r="E307" s="2" t="s">
        <v>14</v>
      </c>
      <c r="F307" s="2" t="s">
        <v>15</v>
      </c>
      <c r="G307" s="2" t="s">
        <v>699</v>
      </c>
      <c r="H307" s="2" t="s">
        <v>83</v>
      </c>
      <c r="I307" s="2" t="str">
        <f ca="1">IFERROR(__xludf.DUMMYFUNCTION("GOOGLETRANSLATE(C307,""fr"",""en"")"),"Excellent effective well thought I really appreciate it is an assurance that I recommend to all the world the prices are the best the excellent guarantee I will advise it to my family")</f>
        <v>Excellent effective well thought I really appreciate it is an assurance that I recommend to all the world the prices are the best the excellent guarantee I will advise it to my family</v>
      </c>
    </row>
    <row r="308" spans="1:9" ht="15.75" customHeight="1" x14ac:dyDescent="0.3">
      <c r="A308" s="2">
        <v>2</v>
      </c>
      <c r="B308" s="2" t="s">
        <v>973</v>
      </c>
      <c r="C308" s="2" t="s">
        <v>974</v>
      </c>
      <c r="D308" s="2" t="s">
        <v>197</v>
      </c>
      <c r="E308" s="2" t="s">
        <v>81</v>
      </c>
      <c r="F308" s="2" t="s">
        <v>15</v>
      </c>
      <c r="G308" s="2" t="s">
        <v>975</v>
      </c>
      <c r="H308" s="2" t="s">
        <v>343</v>
      </c>
      <c r="I308" s="2" t="str">
        <f ca="1">IFERROR(__xludf.DUMMYFUNCTION("GOOGLETRANSLATE(C308,""fr"",""en"")"),"When you have two -wheeled bonuses the prices are less attractive and it is complicated to terminate.")</f>
        <v>When you have two -wheeled bonuses the prices are less attractive and it is complicated to terminate.</v>
      </c>
    </row>
    <row r="309" spans="1:9" ht="15.75" customHeight="1" x14ac:dyDescent="0.3">
      <c r="A309" s="2">
        <v>4</v>
      </c>
      <c r="B309" s="2" t="s">
        <v>976</v>
      </c>
      <c r="C309" s="2" t="s">
        <v>977</v>
      </c>
      <c r="D309" s="2" t="s">
        <v>28</v>
      </c>
      <c r="E309" s="2" t="s">
        <v>14</v>
      </c>
      <c r="F309" s="2" t="s">
        <v>15</v>
      </c>
      <c r="G309" s="2" t="s">
        <v>978</v>
      </c>
      <c r="H309" s="2" t="s">
        <v>17</v>
      </c>
      <c r="I309" s="2" t="str">
        <f ca="1">IFERROR(__xludf.DUMMYFUNCTION("GOOGLETRANSLATE(C309,""fr"",""en"")"),"I am satisfied listening to and patient, he advises us very well compared to the site which is a little more complicated. Very satisfactory price. I recommend this insurance.")</f>
        <v>I am satisfied listening to and patient, he advises us very well compared to the site which is a little more complicated. Very satisfactory price. I recommend this insurance.</v>
      </c>
    </row>
    <row r="310" spans="1:9" ht="15.75" customHeight="1" x14ac:dyDescent="0.3">
      <c r="A310" s="2">
        <v>4</v>
      </c>
      <c r="B310" s="2" t="s">
        <v>979</v>
      </c>
      <c r="C310" s="2" t="s">
        <v>980</v>
      </c>
      <c r="D310" s="2" t="s">
        <v>13</v>
      </c>
      <c r="E310" s="2" t="s">
        <v>14</v>
      </c>
      <c r="F310" s="2" t="s">
        <v>15</v>
      </c>
      <c r="G310" s="2" t="s">
        <v>879</v>
      </c>
      <c r="H310" s="2" t="s">
        <v>71</v>
      </c>
      <c r="I310" s="2" t="str">
        <f ca="1">IFERROR(__xludf.DUMMYFUNCTION("GOOGLETRANSLATE(C310,""fr"",""en"")"),"satisfied ?? For the speed on your part and pending the latest documents to finalize this car insurance.
See you soon")</f>
        <v>satisfied ?? For the speed on your part and pending the latest documents to finalize this car insurance.
See you soon</v>
      </c>
    </row>
    <row r="311" spans="1:9" ht="15.75" customHeight="1" x14ac:dyDescent="0.3">
      <c r="A311" s="2">
        <v>4</v>
      </c>
      <c r="B311" s="2" t="s">
        <v>981</v>
      </c>
      <c r="C311" s="2" t="s">
        <v>982</v>
      </c>
      <c r="D311" s="2" t="s">
        <v>28</v>
      </c>
      <c r="E311" s="2" t="s">
        <v>14</v>
      </c>
      <c r="F311" s="2" t="s">
        <v>15</v>
      </c>
      <c r="G311" s="2" t="s">
        <v>725</v>
      </c>
      <c r="H311" s="2" t="s">
        <v>21</v>
      </c>
      <c r="I311" s="2" t="str">
        <f ca="1">IFERROR(__xludf.DUMMYFUNCTION("GOOGLETRANSLATE(C311,""fr"",""en"")"),"No opinion at the moment. I just ensured my new vehicle. To see not the continuation and especially the day when there is a problem. But correct price compared to others.")</f>
        <v>No opinion at the moment. I just ensured my new vehicle. To see not the continuation and especially the day when there is a problem. But correct price compared to others.</v>
      </c>
    </row>
    <row r="312" spans="1:9" ht="15.75" customHeight="1" x14ac:dyDescent="0.3">
      <c r="A312" s="2">
        <v>1</v>
      </c>
      <c r="B312" s="2" t="s">
        <v>983</v>
      </c>
      <c r="C312" s="2" t="s">
        <v>984</v>
      </c>
      <c r="D312" s="2" t="s">
        <v>623</v>
      </c>
      <c r="E312" s="2" t="s">
        <v>61</v>
      </c>
      <c r="F312" s="2" t="s">
        <v>15</v>
      </c>
      <c r="G312" s="2" t="s">
        <v>985</v>
      </c>
      <c r="H312" s="2" t="s">
        <v>21</v>
      </c>
      <c r="I312" s="2" t="str">
        <f ca="1">IFERROR(__xludf.DUMMYFUNCTION("GOOGLETRANSLATE(C312,""fr"",""en"")"),"Cardif opened a life insurance for me through the BNP 3 months after this placement has still not been credited with the subscription sum so for the moment the sum is blocked and does not bring me anything.
I read the opinions 1.2 out of 5 !!!
On the ph"&amp;"one it's anything: ""Yes yes we take care of your case"" case !!! It is scary
And my BNP advisor is better")</f>
        <v>Cardif opened a life insurance for me through the BNP 3 months after this placement has still not been credited with the subscription sum so for the moment the sum is blocked and does not bring me anything.
I read the opinions 1.2 out of 5 !!!
On the phone it's anything: "Yes yes we take care of your case" case !!! It is scary
And my BNP advisor is better</v>
      </c>
    </row>
    <row r="313" spans="1:9" ht="15.75" customHeight="1" x14ac:dyDescent="0.3">
      <c r="A313" s="2">
        <v>1</v>
      </c>
      <c r="B313" s="2" t="s">
        <v>986</v>
      </c>
      <c r="C313" s="2" t="s">
        <v>987</v>
      </c>
      <c r="D313" s="2" t="s">
        <v>44</v>
      </c>
      <c r="E313" s="2" t="s">
        <v>39</v>
      </c>
      <c r="F313" s="2" t="s">
        <v>15</v>
      </c>
      <c r="G313" s="2" t="s">
        <v>988</v>
      </c>
      <c r="H313" s="2" t="s">
        <v>612</v>
      </c>
      <c r="I313" s="2" t="str">
        <f ca="1">IFERROR(__xludf.DUMMYFUNCTION("GOOGLETRANSLATE(C313,""fr"",""en"")"),"I am at April Entrevoyance I had myopia operating on January 12, 2017. To date, despite several recommended letters and emails, I have not received any refund or responses.")</f>
        <v>I am at April Entrevoyance I had myopia operating on January 12, 2017. To date, despite several recommended letters and emails, I have not received any refund or responses.</v>
      </c>
    </row>
    <row r="314" spans="1:9" ht="15.75" customHeight="1" x14ac:dyDescent="0.3">
      <c r="A314" s="2">
        <v>4</v>
      </c>
      <c r="B314" s="2" t="s">
        <v>989</v>
      </c>
      <c r="C314" s="2" t="s">
        <v>990</v>
      </c>
      <c r="D314" s="2" t="s">
        <v>80</v>
      </c>
      <c r="E314" s="2" t="s">
        <v>81</v>
      </c>
      <c r="F314" s="2" t="s">
        <v>15</v>
      </c>
      <c r="G314" s="2" t="s">
        <v>826</v>
      </c>
      <c r="H314" s="2" t="s">
        <v>25</v>
      </c>
      <c r="I314" s="2" t="str">
        <f ca="1">IFERROR(__xludf.DUMMYFUNCTION("GOOGLETRANSLATE(C314,""fr"",""en"")"),"Attractive price and all termination procedures are taken for you with the former insurer, to see now in the event of a claim if it is so effective.")</f>
        <v>Attractive price and all termination procedures are taken for you with the former insurer, to see now in the event of a claim if it is so effective.</v>
      </c>
    </row>
    <row r="315" spans="1:9" ht="15.75" customHeight="1" x14ac:dyDescent="0.3">
      <c r="A315" s="2">
        <v>1</v>
      </c>
      <c r="B315" s="2" t="s">
        <v>991</v>
      </c>
      <c r="C315" s="2" t="s">
        <v>992</v>
      </c>
      <c r="D315" s="2" t="s">
        <v>799</v>
      </c>
      <c r="E315" s="2" t="s">
        <v>129</v>
      </c>
      <c r="F315" s="2" t="s">
        <v>15</v>
      </c>
      <c r="G315" s="2" t="s">
        <v>993</v>
      </c>
      <c r="H315" s="2" t="s">
        <v>994</v>
      </c>
      <c r="I315" s="2" t="str">
        <f ca="1">IFERROR(__xludf.DUMMYFUNCTION("GOOGLETRANSLATE(C315,""fr"",""en"")"),"Following a dispute with a craftsman, an expert was mandated by my insurance and he made fun of me throughout the expertise. This expert really took me for a fool! I have been with them for 20 years but I change insurance!")</f>
        <v>Following a dispute with a craftsman, an expert was mandated by my insurance and he made fun of me throughout the expertise. This expert really took me for a fool! I have been with them for 20 years but I change insurance!</v>
      </c>
    </row>
    <row r="316" spans="1:9" ht="15.75" customHeight="1" x14ac:dyDescent="0.3">
      <c r="A316" s="2">
        <v>3</v>
      </c>
      <c r="B316" s="2" t="s">
        <v>995</v>
      </c>
      <c r="C316" s="2" t="s">
        <v>996</v>
      </c>
      <c r="D316" s="2" t="s">
        <v>38</v>
      </c>
      <c r="E316" s="2" t="s">
        <v>39</v>
      </c>
      <c r="F316" s="2" t="s">
        <v>15</v>
      </c>
      <c r="G316" s="2" t="s">
        <v>997</v>
      </c>
      <c r="H316" s="2" t="s">
        <v>389</v>
      </c>
      <c r="I316" s="2" t="str">
        <f ca="1">IFERROR(__xludf.DUMMYFUNCTION("GOOGLETRANSLATE(C316,""fr"",""en"")"),"Following a quote, I did not opt ​​for your mutual and I do not regret it because I do not appreciate that your employees hang up on people's noses, simply because we do not agree with them. I find this principle intolerable and disrespectful towards the "&amp;"customer")</f>
        <v>Following a quote, I did not opt ​​for your mutual and I do not regret it because I do not appreciate that your employees hang up on people's noses, simply because we do not agree with them. I find this principle intolerable and disrespectful towards the customer</v>
      </c>
    </row>
    <row r="317" spans="1:9" ht="15.75" customHeight="1" x14ac:dyDescent="0.3">
      <c r="A317" s="2">
        <v>4</v>
      </c>
      <c r="B317" s="2" t="s">
        <v>998</v>
      </c>
      <c r="C317" s="2" t="s">
        <v>999</v>
      </c>
      <c r="D317" s="2" t="s">
        <v>13</v>
      </c>
      <c r="E317" s="2" t="s">
        <v>14</v>
      </c>
      <c r="F317" s="2" t="s">
        <v>15</v>
      </c>
      <c r="G317" s="2" t="s">
        <v>494</v>
      </c>
      <c r="H317" s="2" t="s">
        <v>83</v>
      </c>
      <c r="I317" s="2" t="str">
        <f ca="1">IFERROR(__xludf.DUMMYFUNCTION("GOOGLETRANSLATE(C317,""fr"",""en"")"),"I am satisfied with the speed of management. Regarding the prices there is less difference than before. You do not go out systematically first in comparators")</f>
        <v>I am satisfied with the speed of management. Regarding the prices there is less difference than before. You do not go out systematically first in comparators</v>
      </c>
    </row>
    <row r="318" spans="1:9" ht="15.75" customHeight="1" x14ac:dyDescent="0.3">
      <c r="A318" s="2">
        <v>1</v>
      </c>
      <c r="B318" s="2" t="s">
        <v>1000</v>
      </c>
      <c r="C318" s="2" t="s">
        <v>1001</v>
      </c>
      <c r="D318" s="2" t="s">
        <v>623</v>
      </c>
      <c r="E318" s="2" t="s">
        <v>101</v>
      </c>
      <c r="F318" s="2" t="s">
        <v>15</v>
      </c>
      <c r="G318" s="2" t="s">
        <v>1002</v>
      </c>
      <c r="H318" s="2" t="s">
        <v>381</v>
      </c>
      <c r="I318" s="2" t="str">
        <f ca="1">IFERROR(__xludf.DUMMYFUNCTION("GOOGLETRANSLATE(C318,""fr"",""en"")"),"Take your money but above all have no problem, you throw your money out the window with this insurance better your not ensure the result will be the same and you will earn money")</f>
        <v>Take your money but above all have no problem, you throw your money out the window with this insurance better your not ensure the result will be the same and you will earn money</v>
      </c>
    </row>
    <row r="319" spans="1:9" ht="15.75" customHeight="1" x14ac:dyDescent="0.3">
      <c r="A319" s="2">
        <v>1</v>
      </c>
      <c r="B319" s="2" t="s">
        <v>1003</v>
      </c>
      <c r="C319" s="2" t="s">
        <v>1004</v>
      </c>
      <c r="D319" s="2" t="s">
        <v>13</v>
      </c>
      <c r="E319" s="2" t="s">
        <v>14</v>
      </c>
      <c r="F319" s="2" t="s">
        <v>15</v>
      </c>
      <c r="G319" s="2" t="s">
        <v>1005</v>
      </c>
      <c r="H319" s="2" t="s">
        <v>21</v>
      </c>
      <c r="I319" s="2" t="str">
        <f ca="1">IFERROR(__xludf.DUMMYFUNCTION("GOOGLETRANSLATE(C319,""fr"",""en"")"),"Very efficient telephone customer support
non -existent commercial gesture with increasing contributions despite the good behavior of faithful drivers")</f>
        <v>Very efficient telephone customer support
non -existent commercial gesture with increasing contributions despite the good behavior of faithful drivers</v>
      </c>
    </row>
    <row r="320" spans="1:9" ht="15.75" customHeight="1" x14ac:dyDescent="0.3">
      <c r="A320" s="2">
        <v>1</v>
      </c>
      <c r="B320" s="2" t="s">
        <v>1006</v>
      </c>
      <c r="C320" s="2" t="s">
        <v>1007</v>
      </c>
      <c r="D320" s="2" t="s">
        <v>1008</v>
      </c>
      <c r="E320" s="2" t="s">
        <v>101</v>
      </c>
      <c r="F320" s="2" t="s">
        <v>15</v>
      </c>
      <c r="G320" s="2" t="s">
        <v>111</v>
      </c>
      <c r="H320" s="2" t="s">
        <v>111</v>
      </c>
      <c r="I320" s="2" t="str">
        <f ca="1">IFERROR(__xludf.DUMMYFUNCTION("GOOGLETRANSLATE(C320,""fr"",""en"")"),"Since April 21, I am in vain to change the bank account bank account, and to obtain a copy of my contract.
- I had 8 telephone exchanges with operators. Their promises are never followed up.
- I sent 6 letters, including two recommended. I obtained a "&amp;"return, absolutely not answer the questions asked.
Metlife does not listen to its customers!")</f>
        <v>Since April 21, I am in vain to change the bank account bank account, and to obtain a copy of my contract.
- I had 8 telephone exchanges with operators. Their promises are never followed up.
- I sent 6 letters, including two recommended. I obtained a return, absolutely not answer the questions asked.
Metlife does not listen to its customers!</v>
      </c>
    </row>
    <row r="321" spans="1:9" ht="15.75" customHeight="1" x14ac:dyDescent="0.3">
      <c r="A321" s="2">
        <v>5</v>
      </c>
      <c r="B321" s="2" t="s">
        <v>1009</v>
      </c>
      <c r="C321" s="2" t="s">
        <v>1010</v>
      </c>
      <c r="D321" s="2" t="s">
        <v>28</v>
      </c>
      <c r="E321" s="2" t="s">
        <v>14</v>
      </c>
      <c r="F321" s="2" t="s">
        <v>15</v>
      </c>
      <c r="G321" s="2" t="s">
        <v>1011</v>
      </c>
      <c r="H321" s="2" t="s">
        <v>111</v>
      </c>
      <c r="I321" s="2" t="str">
        <f ca="1">IFERROR(__xludf.DUMMYFUNCTION("GOOGLETRANSLATE(C321,""fr"",""en"")"),"Hello It is for you informed that I am satisfied with your services and also satisfied with your prices suits me thank you cordially thank you.")</f>
        <v>Hello It is for you informed that I am satisfied with your services and also satisfied with your prices suits me thank you cordially thank you.</v>
      </c>
    </row>
    <row r="322" spans="1:9" ht="15.75" customHeight="1" x14ac:dyDescent="0.3">
      <c r="A322" s="2">
        <v>2</v>
      </c>
      <c r="B322" s="2" t="s">
        <v>1012</v>
      </c>
      <c r="C322" s="2" t="s">
        <v>1013</v>
      </c>
      <c r="D322" s="2" t="s">
        <v>28</v>
      </c>
      <c r="E322" s="2" t="s">
        <v>14</v>
      </c>
      <c r="F322" s="2" t="s">
        <v>15</v>
      </c>
      <c r="G322" s="2" t="s">
        <v>722</v>
      </c>
      <c r="H322" s="2" t="s">
        <v>21</v>
      </c>
      <c r="I322" s="2" t="str">
        <f ca="1">IFERROR(__xludf.DUMMYFUNCTION("GOOGLETRANSLATE(C322,""fr"",""en"")"),"Disappointed by my experience at the Insurance Olivier, at the start of very attractive tariff, on the other hand the following years ... Significant increase (without any declared claims), moreover I made two requests for quotes for the same car with inf"&amp;"ormation Identical and the prices are different overnight and with large differences, it looks like it on the stock market and we have to make it have, each time you make a small transformation is 15 euros in fees of costs 'Writing, really not serious. Th"&amp;"is is the first year but afterwards we have to change otherwise we fall at the same price as the competition ... not interesting.")</f>
        <v>Disappointed by my experience at the Insurance Olivier, at the start of very attractive tariff, on the other hand the following years ... Significant increase (without any declared claims), moreover I made two requests for quotes for the same car with information Identical and the prices are different overnight and with large differences, it looks like it on the stock market and we have to make it have, each time you make a small transformation is 15 euros in fees of costs 'Writing, really not serious. This is the first year but afterwards we have to change otherwise we fall at the same price as the competition ... not interesting.</v>
      </c>
    </row>
    <row r="323" spans="1:9" ht="15.75" customHeight="1" x14ac:dyDescent="0.3">
      <c r="A323" s="2">
        <v>4</v>
      </c>
      <c r="B323" s="2" t="s">
        <v>1014</v>
      </c>
      <c r="C323" s="2" t="s">
        <v>1015</v>
      </c>
      <c r="D323" s="2" t="s">
        <v>80</v>
      </c>
      <c r="E323" s="2" t="s">
        <v>81</v>
      </c>
      <c r="F323" s="2" t="s">
        <v>15</v>
      </c>
      <c r="G323" s="2" t="s">
        <v>1016</v>
      </c>
      <c r="H323" s="2" t="s">
        <v>30</v>
      </c>
      <c r="I323" s="2" t="str">
        <f ca="1">IFERROR(__xludf.DUMMYFUNCTION("GOOGLETRANSLATE(C323,""fr"",""en"")"),"Simple and practical to see in terms of suspension during the next winter or during termination if it is as simple as to make sure, I would see")</f>
        <v>Simple and practical to see in terms of suspension during the next winter or during termination if it is as simple as to make sure, I would see</v>
      </c>
    </row>
    <row r="324" spans="1:9" ht="15.75" customHeight="1" x14ac:dyDescent="0.3">
      <c r="A324" s="2">
        <v>4</v>
      </c>
      <c r="B324" s="2" t="s">
        <v>1017</v>
      </c>
      <c r="C324" s="2" t="s">
        <v>1018</v>
      </c>
      <c r="D324" s="2" t="s">
        <v>80</v>
      </c>
      <c r="E324" s="2" t="s">
        <v>81</v>
      </c>
      <c r="F324" s="2" t="s">
        <v>15</v>
      </c>
      <c r="G324" s="2" t="s">
        <v>453</v>
      </c>
      <c r="H324" s="2" t="s">
        <v>46</v>
      </c>
      <c r="I324" s="2" t="str">
        <f ca="1">IFERROR(__xludf.DUMMYFUNCTION("GOOGLETRANSLATE(C324,""fr"",""en"")"),"I am satisfied with the service, the options offered are adapted to what I wanted, the steps are easy, I will recommend this insurance")</f>
        <v>I am satisfied with the service, the options offered are adapted to what I wanted, the steps are easy, I will recommend this insurance</v>
      </c>
    </row>
    <row r="325" spans="1:9" ht="15.75" customHeight="1" x14ac:dyDescent="0.3">
      <c r="A325" s="2">
        <v>1</v>
      </c>
      <c r="B325" s="2" t="s">
        <v>1019</v>
      </c>
      <c r="C325" s="2" t="s">
        <v>1020</v>
      </c>
      <c r="D325" s="2" t="s">
        <v>326</v>
      </c>
      <c r="E325" s="2" t="s">
        <v>81</v>
      </c>
      <c r="F325" s="2" t="s">
        <v>15</v>
      </c>
      <c r="G325" s="2" t="s">
        <v>1021</v>
      </c>
      <c r="H325" s="2" t="s">
        <v>1022</v>
      </c>
      <c r="I325" s="2" t="str">
        <f ca="1">IFERROR(__xludf.DUMMYFUNCTION("GOOGLETRANSLATE(C325,""fr"",""en"")"),"AXA AXA method has transmitted my personal email to a recovery company since it is a continuous and repetitive harassment from Effico Mandate by AXA to recover monthly payments on a contract terminated by A.R. I say bravo !!")</f>
        <v>AXA AXA method has transmitted my personal email to a recovery company since it is a continuous and repetitive harassment from Effico Mandate by AXA to recover monthly payments on a contract terminated by A.R. I say bravo !!</v>
      </c>
    </row>
    <row r="326" spans="1:9" ht="15.75" customHeight="1" x14ac:dyDescent="0.3">
      <c r="A326" s="2">
        <v>1</v>
      </c>
      <c r="B326" s="2" t="s">
        <v>1023</v>
      </c>
      <c r="C326" s="2" t="s">
        <v>1024</v>
      </c>
      <c r="D326" s="2" t="s">
        <v>13</v>
      </c>
      <c r="E326" s="2" t="s">
        <v>14</v>
      </c>
      <c r="F326" s="2" t="s">
        <v>15</v>
      </c>
      <c r="G326" s="2" t="s">
        <v>1025</v>
      </c>
      <c r="H326" s="2" t="s">
        <v>17</v>
      </c>
      <c r="I326" s="2" t="str">
        <f ca="1">IFERROR(__xludf.DUMMYFUNCTION("GOOGLETRANSLATE(C326,""fr"",""en"")"),"Simple and practical a bit expensive for a first driver
To see later the full services
Moderately satisfied the approach is still fast")</f>
        <v>Simple and practical a bit expensive for a first driver
To see later the full services
Moderately satisfied the approach is still fast</v>
      </c>
    </row>
    <row r="327" spans="1:9" ht="15.75" customHeight="1" x14ac:dyDescent="0.3">
      <c r="A327" s="2">
        <v>1</v>
      </c>
      <c r="B327" s="2" t="s">
        <v>1026</v>
      </c>
      <c r="C327" s="2" t="s">
        <v>1027</v>
      </c>
      <c r="D327" s="2" t="s">
        <v>13</v>
      </c>
      <c r="E327" s="2" t="s">
        <v>129</v>
      </c>
      <c r="F327" s="2" t="s">
        <v>15</v>
      </c>
      <c r="G327" s="2" t="s">
        <v>1028</v>
      </c>
      <c r="H327" s="2" t="s">
        <v>275</v>
      </c>
      <c r="I327" s="2" t="str">
        <f ca="1">IFERROR(__xludf.DUMMYFUNCTION("GOOGLETRANSLATE(C327,""fr"",""en"")"),"It is best to pay a little more expensive and have competent people online and above all avoid unpleasant surprises whether for car and home insurance (1/2 hour on the phone for no result, 3 different invoices For the same file, no one reminds you ;; in s"&amp;"hort, incompetent and disrespectful!)")</f>
        <v>It is best to pay a little more expensive and have competent people online and above all avoid unpleasant surprises whether for car and home insurance (1/2 hour on the phone for no result, 3 different invoices For the same file, no one reminds you ;; in short, incompetent and disrespectful!)</v>
      </c>
    </row>
    <row r="328" spans="1:9" ht="15.75" customHeight="1" x14ac:dyDescent="0.3">
      <c r="A328" s="2">
        <v>3</v>
      </c>
      <c r="B328" s="2" t="s">
        <v>1029</v>
      </c>
      <c r="C328" s="2" t="s">
        <v>1030</v>
      </c>
      <c r="D328" s="2" t="s">
        <v>28</v>
      </c>
      <c r="E328" s="2" t="s">
        <v>14</v>
      </c>
      <c r="F328" s="2" t="s">
        <v>15</v>
      </c>
      <c r="G328" s="2" t="s">
        <v>121</v>
      </c>
      <c r="H328" s="2" t="s">
        <v>21</v>
      </c>
      <c r="I328" s="2" t="str">
        <f ca="1">IFERROR(__xludf.DUMMYFUNCTION("GOOGLETRANSLATE(C328,""fr"",""en"")"),"I am satisfied but very high as a price for third -party comfort insurance but its real and real pass pass thank you for the reception very well too")</f>
        <v>I am satisfied but very high as a price for third -party comfort insurance but its real and real pass pass thank you for the reception very well too</v>
      </c>
    </row>
    <row r="329" spans="1:9" ht="15.75" customHeight="1" x14ac:dyDescent="0.3">
      <c r="A329" s="2">
        <v>1</v>
      </c>
      <c r="B329" s="2" t="s">
        <v>1031</v>
      </c>
      <c r="C329" s="2" t="s">
        <v>1032</v>
      </c>
      <c r="D329" s="2" t="s">
        <v>412</v>
      </c>
      <c r="E329" s="2" t="s">
        <v>39</v>
      </c>
      <c r="F329" s="2" t="s">
        <v>15</v>
      </c>
      <c r="G329" s="2" t="s">
        <v>1033</v>
      </c>
      <c r="H329" s="2" t="s">
        <v>1034</v>
      </c>
      <c r="I329" s="2" t="str">
        <f ca="1">IFERROR(__xludf.DUMMYFUNCTION("GOOGLETRANSLATE(C329,""fr"",""en"")"),"I am covered in mutual health by the comfort level. A few days ago I submit a quote for a dental prosthesis. Thinking to be well covered on a 250% basis I thought I would receive a correct refund. But .... after two telephone calls I realize that the advi"&amp;"sers are not damn to explain a refund calculation to you. The third person arrives with difficulty deciphering the calculation system. He therefore points out to me that, writes very small at the top of the ""summary of the guarantees"" that the indicated"&amp;" ceilings include the reimbursement of the SS. What changes everything. A prosthesis is reimbursed 70 % of the SS database. This means that the rate chosen is not 250 % but 250 % minus 70 %, that is to say 170 %. So the pretty table makes you believe in a"&amp;" correct refund while it is significantly lower. I think I will report this fact to the DGCCRF to report this abuse and why not initiate a group action if other users are willing to join me.")</f>
        <v>I am covered in mutual health by the comfort level. A few days ago I submit a quote for a dental prosthesis. Thinking to be well covered on a 250% basis I thought I would receive a correct refund. But .... after two telephone calls I realize that the advisers are not damn to explain a refund calculation to you. The third person arrives with difficulty deciphering the calculation system. He therefore points out to me that, writes very small at the top of the "summary of the guarantees" that the indicated ceilings include the reimbursement of the SS. What changes everything. A prosthesis is reimbursed 70 % of the SS database. This means that the rate chosen is not 250 % but 250 % minus 70 %, that is to say 170 %. So the pretty table makes you believe in a correct refund while it is significantly lower. I think I will report this fact to the DGCCRF to report this abuse and why not initiate a group action if other users are willing to join me.</v>
      </c>
    </row>
    <row r="330" spans="1:9" ht="15.75" customHeight="1" x14ac:dyDescent="0.3">
      <c r="A330" s="2">
        <v>1</v>
      </c>
      <c r="B330" s="2" t="s">
        <v>1035</v>
      </c>
      <c r="C330" s="2" t="s">
        <v>1036</v>
      </c>
      <c r="D330" s="2" t="s">
        <v>13</v>
      </c>
      <c r="E330" s="2" t="s">
        <v>14</v>
      </c>
      <c r="F330" s="2" t="s">
        <v>15</v>
      </c>
      <c r="G330" s="2" t="s">
        <v>1037</v>
      </c>
      <c r="H330" s="2" t="s">
        <v>347</v>
      </c>
      <c r="I330" s="2" t="str">
        <f ca="1">IFERROR(__xludf.DUMMYFUNCTION("GOOGLETRANSLATE(C330,""fr"",""en"")"),"Above all, do not assure yourself to direct insurance !!!! he insure any risk more, they do not want to reimburse me following a flight, while advising them to stipulate that I was going to be reimbursed he had the copy of complaints attached, They had to"&amp;" that the certificate of non -pledge and according to them within the following week I receive the reimbursement check. Reception of this document I sent them ETV1? week later by simple letter I receive a refusal. really not professional And sailor care I"&amp;" recommend this insurer, Fuy ...")</f>
        <v>Above all, do not assure yourself to direct insurance !!!! he insure any risk more, they do not want to reimburse me following a flight, while advising them to stipulate that I was going to be reimbursed he had the copy of complaints attached, They had to that the certificate of non -pledge and according to them within the following week I receive the reimbursement check. Reception of this document I sent them ETV1? week later by simple letter I receive a refusal. really not professional And sailor care I recommend this insurer, Fuy ...</v>
      </c>
    </row>
    <row r="331" spans="1:9" ht="15.75" customHeight="1" x14ac:dyDescent="0.3">
      <c r="A331" s="2">
        <v>5</v>
      </c>
      <c r="B331" s="2" t="s">
        <v>1038</v>
      </c>
      <c r="C331" s="2" t="s">
        <v>1039</v>
      </c>
      <c r="D331" s="2" t="s">
        <v>13</v>
      </c>
      <c r="E331" s="2" t="s">
        <v>14</v>
      </c>
      <c r="F331" s="2" t="s">
        <v>15</v>
      </c>
      <c r="G331" s="2" t="s">
        <v>17</v>
      </c>
      <c r="H331" s="2" t="s">
        <v>17</v>
      </c>
      <c r="I331" s="2" t="str">
        <f ca="1">IFERROR(__xludf.DUMMYFUNCTION("GOOGLETRANSLATE(C331,""fr"",""en"")"),"Simple and practical
Efficient fast registration, fun and professional website.
Attractive price, the documents are transmitted quickly
Perfect")</f>
        <v>Simple and practical
Efficient fast registration, fun and professional website.
Attractive price, the documents are transmitted quickly
Perfect</v>
      </c>
    </row>
    <row r="332" spans="1:9" ht="15.75" customHeight="1" x14ac:dyDescent="0.3">
      <c r="A332" s="2">
        <v>1</v>
      </c>
      <c r="B332" s="2" t="s">
        <v>1040</v>
      </c>
      <c r="C332" s="2" t="s">
        <v>1041</v>
      </c>
      <c r="D332" s="2" t="s">
        <v>145</v>
      </c>
      <c r="E332" s="2" t="s">
        <v>129</v>
      </c>
      <c r="F332" s="2" t="s">
        <v>15</v>
      </c>
      <c r="G332" s="2" t="s">
        <v>1042</v>
      </c>
      <c r="H332" s="2" t="s">
        <v>354</v>
      </c>
      <c r="I332" s="2" t="str">
        <f ca="1">IFERROR(__xludf.DUMMYFUNCTION("GOOGLETRANSLATE(C332,""fr"",""en"")"),"In bad faith when you ask to understand such an increase. And when we call for a possible termination, the latter do not seek to listen to you and hang up on the nose. Pricing = zero. Customer service = Zero. Unlike the customer in your TV spot, we will n"&amp;"ot have me. Ciao Les Robadores.")</f>
        <v>In bad faith when you ask to understand such an increase. And when we call for a possible termination, the latter do not seek to listen to you and hang up on the nose. Pricing = zero. Customer service = Zero. Unlike the customer in your TV spot, we will not have me. Ciao Les Robadores.</v>
      </c>
    </row>
    <row r="333" spans="1:9" ht="15.75" customHeight="1" x14ac:dyDescent="0.3">
      <c r="A333" s="2">
        <v>1</v>
      </c>
      <c r="B333" s="2" t="s">
        <v>1043</v>
      </c>
      <c r="C333" s="2" t="s">
        <v>1044</v>
      </c>
      <c r="D333" s="2" t="s">
        <v>128</v>
      </c>
      <c r="E333" s="2" t="s">
        <v>14</v>
      </c>
      <c r="F333" s="2" t="s">
        <v>15</v>
      </c>
      <c r="G333" s="2" t="s">
        <v>1045</v>
      </c>
      <c r="H333" s="2" t="s">
        <v>248</v>
      </c>
      <c r="I333" s="2" t="str">
        <f ca="1">IFERROR(__xludf.DUMMYFUNCTION("GOOGLETRANSLATE(C333,""fr"",""en"")"),"This insurer has struck me because they never received my endorsements, result I cannot make sure anywhere apart from them because they are unable to add the pattern on my termination. How are taken hostage !!! Lamentable!")</f>
        <v>This insurer has struck me because they never received my endorsements, result I cannot make sure anywhere apart from them because they are unable to add the pattern on my termination. How are taken hostage !!! Lamentable!</v>
      </c>
    </row>
    <row r="334" spans="1:9" ht="15.75" customHeight="1" x14ac:dyDescent="0.3">
      <c r="A334" s="2">
        <v>1</v>
      </c>
      <c r="B334" s="2" t="s">
        <v>1046</v>
      </c>
      <c r="C334" s="2" t="s">
        <v>1047</v>
      </c>
      <c r="D334" s="2" t="s">
        <v>28</v>
      </c>
      <c r="E334" s="2" t="s">
        <v>14</v>
      </c>
      <c r="F334" s="2" t="s">
        <v>15</v>
      </c>
      <c r="G334" s="2" t="s">
        <v>696</v>
      </c>
      <c r="H334" s="2" t="s">
        <v>111</v>
      </c>
      <c r="I334" s="2" t="str">
        <f ca="1">IFERROR(__xludf.DUMMYFUNCTION("GOOGLETRANSLATE(C334,""fr"",""en"")"),"Not nice with the customer. Price increasing for no valid reason in view of my contract ... has false practices. An employee of this box lied to me on the phone. Despite the calls for calls (therefore supporting proof), I abandoned the prosecution to gain"&amp;" their case with them, because nothing was moving ... very unhappy!")</f>
        <v>Not nice with the customer. Price increasing for no valid reason in view of my contract ... has false practices. An employee of this box lied to me on the phone. Despite the calls for calls (therefore supporting proof), I abandoned the prosecution to gain their case with them, because nothing was moving ... very unhappy!</v>
      </c>
    </row>
    <row r="335" spans="1:9" ht="15.75" customHeight="1" x14ac:dyDescent="0.3">
      <c r="A335" s="2">
        <v>5</v>
      </c>
      <c r="B335" s="2" t="s">
        <v>1048</v>
      </c>
      <c r="C335" s="2" t="s">
        <v>1049</v>
      </c>
      <c r="D335" s="2" t="s">
        <v>13</v>
      </c>
      <c r="E335" s="2" t="s">
        <v>14</v>
      </c>
      <c r="F335" s="2" t="s">
        <v>15</v>
      </c>
      <c r="G335" s="2" t="s">
        <v>167</v>
      </c>
      <c r="H335" s="2" t="s">
        <v>17</v>
      </c>
      <c r="I335" s="2" t="str">
        <f ca="1">IFERROR(__xludf.DUMMYFUNCTION("GOOGLETRANSLATE(C335,""fr"",""en"")"),"I am satisfied with the price, the speed, the contract. I had advised it to me and I did not regret it. I recommend this insurance.
Lots of cheap pack")</f>
        <v>I am satisfied with the price, the speed, the contract. I had advised it to me and I did not regret it. I recommend this insurance.
Lots of cheap pack</v>
      </c>
    </row>
    <row r="336" spans="1:9" ht="15.75" customHeight="1" x14ac:dyDescent="0.3">
      <c r="A336" s="2">
        <v>2</v>
      </c>
      <c r="B336" s="2" t="s">
        <v>1050</v>
      </c>
      <c r="C336" s="2" t="s">
        <v>1051</v>
      </c>
      <c r="D336" s="2" t="s">
        <v>281</v>
      </c>
      <c r="E336" s="2" t="s">
        <v>39</v>
      </c>
      <c r="F336" s="2" t="s">
        <v>15</v>
      </c>
      <c r="G336" s="2" t="s">
        <v>1052</v>
      </c>
      <c r="H336" s="2" t="s">
        <v>361</v>
      </c>
      <c r="I336" s="2" t="str">
        <f ca="1">IFERROR(__xludf.DUMMYFUNCTION("GOOGLETRANSLATE(C336,""fr"",""en"")"),"I am a dentist. I put an emergency tooth on the dentures of an 81 -year -old patient. I specify 81 years. The price is € 80. Thanks to the third -party third party I was settled 15 € directly by the security. The patient sent a mutual harmony 3 times the "&amp;"certifying invoice that I had been paid by the € 15 security with my signature and my stamp. Harmonie demands the Société regulation slip. I called Harmonie who tells me that the procedure is the procedure. So if you are looking for a mutual listening to "&amp;"members, you have understood.")</f>
        <v>I am a dentist. I put an emergency tooth on the dentures of an 81 -year -old patient. I specify 81 years. The price is € 80. Thanks to the third -party third party I was settled 15 € directly by the security. The patient sent a mutual harmony 3 times the certifying invoice that I had been paid by the € 15 security with my signature and my stamp. Harmonie demands the Société regulation slip. I called Harmonie who tells me that the procedure is the procedure. So if you are looking for a mutual listening to members, you have understood.</v>
      </c>
    </row>
    <row r="337" spans="1:9" ht="15.75" customHeight="1" x14ac:dyDescent="0.3">
      <c r="A337" s="2">
        <v>4</v>
      </c>
      <c r="B337" s="2" t="s">
        <v>1053</v>
      </c>
      <c r="C337" s="2" t="s">
        <v>1054</v>
      </c>
      <c r="D337" s="2" t="s">
        <v>80</v>
      </c>
      <c r="E337" s="2" t="s">
        <v>81</v>
      </c>
      <c r="F337" s="2" t="s">
        <v>15</v>
      </c>
      <c r="G337" s="2" t="s">
        <v>850</v>
      </c>
      <c r="H337" s="2" t="s">
        <v>111</v>
      </c>
      <c r="I337" s="2" t="str">
        <f ca="1">IFERROR(__xludf.DUMMYFUNCTION("GOOGLETRANSLATE(C337,""fr"",""en"")"),"The prices correct the choice of options is clear and we see the price of the contribution increased in real time. In a few minutes we have a temporary green card of one month it is top")</f>
        <v>The prices correct the choice of options is clear and we see the price of the contribution increased in real time. In a few minutes we have a temporary green card of one month it is top</v>
      </c>
    </row>
    <row r="338" spans="1:9" ht="15.75" customHeight="1" x14ac:dyDescent="0.3">
      <c r="A338" s="2">
        <v>1</v>
      </c>
      <c r="B338" s="2" t="s">
        <v>1055</v>
      </c>
      <c r="C338" s="2" t="s">
        <v>1056</v>
      </c>
      <c r="D338" s="2" t="s">
        <v>80</v>
      </c>
      <c r="E338" s="2" t="s">
        <v>81</v>
      </c>
      <c r="F338" s="2" t="s">
        <v>15</v>
      </c>
      <c r="G338" s="2" t="s">
        <v>1057</v>
      </c>
      <c r="H338" s="2" t="s">
        <v>1058</v>
      </c>
      <c r="I338" s="2" t="str">
        <f ca="1">IFERROR(__xludf.DUMMYFUNCTION("GOOGLETRANSLATE(C338,""fr"",""en"")"),"Request for reimbursement by email and TPH because they took me for the whole year. Deadline given from 24 to 72 hours now it's 10 days still not reimbursed! I recalled and they are unable to tell me when I will be reimbursed! More than to do with less th"&amp;"an 430 e on the salary this month! This insurance begins well.")</f>
        <v>Request for reimbursement by email and TPH because they took me for the whole year. Deadline given from 24 to 72 hours now it's 10 days still not reimbursed! I recalled and they are unable to tell me when I will be reimbursed! More than to do with less than 430 e on the salary this month! This insurance begins well.</v>
      </c>
    </row>
    <row r="339" spans="1:9" ht="15.75" customHeight="1" x14ac:dyDescent="0.3">
      <c r="A339" s="2">
        <v>3</v>
      </c>
      <c r="B339" s="2" t="s">
        <v>1059</v>
      </c>
      <c r="C339" s="2" t="s">
        <v>1060</v>
      </c>
      <c r="D339" s="2" t="s">
        <v>28</v>
      </c>
      <c r="E339" s="2" t="s">
        <v>14</v>
      </c>
      <c r="F339" s="2" t="s">
        <v>15</v>
      </c>
      <c r="G339" s="2" t="s">
        <v>754</v>
      </c>
      <c r="H339" s="2" t="s">
        <v>30</v>
      </c>
      <c r="I339" s="2" t="str">
        <f ca="1">IFERROR(__xludf.DUMMYFUNCTION("GOOGLETRANSLATE(C339,""fr"",""en"")"),"I just subscribed .. the taken are correct ... I can't say something else for the moment. I have no problem, I don't know how the olive tree manages problems.
Cordially")</f>
        <v>I just subscribed .. the taken are correct ... I can't say something else for the moment. I have no problem, I don't know how the olive tree manages problems.
Cordially</v>
      </c>
    </row>
    <row r="340" spans="1:9" ht="15.75" customHeight="1" x14ac:dyDescent="0.3">
      <c r="A340" s="2">
        <v>1</v>
      </c>
      <c r="B340" s="2" t="s">
        <v>1061</v>
      </c>
      <c r="C340" s="2" t="s">
        <v>1062</v>
      </c>
      <c r="D340" s="2" t="s">
        <v>128</v>
      </c>
      <c r="E340" s="2" t="s">
        <v>14</v>
      </c>
      <c r="F340" s="2" t="s">
        <v>15</v>
      </c>
      <c r="G340" s="2" t="s">
        <v>1063</v>
      </c>
      <c r="H340" s="2" t="s">
        <v>381</v>
      </c>
      <c r="I340" s="2" t="str">
        <f ca="1">IFERROR(__xludf.DUMMYFUNCTION("GOOGLETRANSLATE(C340,""fr"",""en"")"),"My car contract was terminated due to a period of sending documents. Even after a confirmation of an advisor for documents, I was terminated. Not cool and is not nice knowing that it is really difficult to find a new insurer after a company termination or"&amp;" an insurer who offers an offer with a very expensive price for terminated customers !!")</f>
        <v>My car contract was terminated due to a period of sending documents. Even after a confirmation of an advisor for documents, I was terminated. Not cool and is not nice knowing that it is really difficult to find a new insurer after a company termination or an insurer who offers an offer with a very expensive price for terminated customers !!</v>
      </c>
    </row>
    <row r="341" spans="1:9" ht="15.75" customHeight="1" x14ac:dyDescent="0.3">
      <c r="A341" s="2">
        <v>1</v>
      </c>
      <c r="B341" s="2" t="s">
        <v>1064</v>
      </c>
      <c r="C341" s="2" t="s">
        <v>1065</v>
      </c>
      <c r="D341" s="2" t="s">
        <v>136</v>
      </c>
      <c r="E341" s="2" t="s">
        <v>61</v>
      </c>
      <c r="F341" s="2" t="s">
        <v>15</v>
      </c>
      <c r="G341" s="2" t="s">
        <v>1066</v>
      </c>
      <c r="H341" s="2" t="s">
        <v>17</v>
      </c>
      <c r="I341" s="2" t="str">
        <f ca="1">IFERROR(__xludf.DUMMYFUNCTION("GOOGLETRANSLATE(C341,""fr"",""en"")"),"Beneficiaries of a desecration of death in disrepair since 1997, we were contacted in June 2020 by Swisslife. In 2021, after all the parts of the beneficiaries were provided, we each received € 37.64 ... Since then, impossible to obtain the documents just"&amp;"ifying this sum, the amount of capital, the interests of the disheared, the number of beneficiaries (not their identities ...).
Our many requests remained unanswered. Following a report to the repression of the fraud (08/23/21) we received the next day a"&amp;" Swisslife commitment to obtain an answer in the days that follow .... nothing ... then a commitment to answer us in The 2 months .... October 23 still nothing .... Following our insistence, we receive an email from:
swisslife
Life and networks Customer"&amp;" Manager
Life customer service - Life and compliance complaints
Subscribing (again) to send us the requested documents before 10/27/2021 .... still no news ....
In short we find more than strange that Swisslife can not provide documents from a file tha"&amp;"t normally is ended .. ???
It seems completely abnormal to not justify the amounts paid.
Swisslife does not respond and never keeps his commitments ... lamentable.
The filing of a complaint seems to us to be the only solution .....")</f>
        <v>Beneficiaries of a desecration of death in disrepair since 1997, we were contacted in June 2020 by Swisslife. In 2021, after all the parts of the beneficiaries were provided, we each received € 37.64 ... Since then, impossible to obtain the documents justifying this sum, the amount of capital, the interests of the disheared, the number of beneficiaries (not their identities ...).
Our many requests remained unanswered. Following a report to the repression of the fraud (08/23/21) we received the next day a Swisslife commitment to obtain an answer in the days that follow .... nothing ... then a commitment to answer us in The 2 months .... October 23 still nothing .... Following our insistence, we receive an email from:
swisslife
Life and networks Customer Manager
Life customer service - Life and compliance complaints
Subscribing (again) to send us the requested documents before 10/27/2021 .... still no news ....
In short we find more than strange that Swisslife can not provide documents from a file that normally is ended .. ???
It seems completely abnormal to not justify the amounts paid.
Swisslife does not respond and never keeps his commitments ... lamentable.
The filing of a complaint seems to us to be the only solution .....</v>
      </c>
    </row>
    <row r="342" spans="1:9" ht="15.75" customHeight="1" x14ac:dyDescent="0.3">
      <c r="A342" s="2">
        <v>3</v>
      </c>
      <c r="B342" s="2" t="s">
        <v>1067</v>
      </c>
      <c r="C342" s="2" t="s">
        <v>1068</v>
      </c>
      <c r="D342" s="2" t="s">
        <v>326</v>
      </c>
      <c r="E342" s="2" t="s">
        <v>14</v>
      </c>
      <c r="F342" s="2" t="s">
        <v>15</v>
      </c>
      <c r="G342" s="2" t="s">
        <v>1069</v>
      </c>
      <c r="H342" s="2" t="s">
        <v>557</v>
      </c>
      <c r="I342" s="2" t="str">
        <f ca="1">IFERROR(__xludf.DUMMYFUNCTION("GOOGLETRANSLATE(C342,""fr"",""en"")"),"Lack of responses to requests during assistance.
Unnecessary and poorly placed expenses that could be more effective for the insured and less expensive for AXA.
The operators are not in France comprehension problems that bring considerable time loss and"&amp;" appointments canceled for the insured.")</f>
        <v>Lack of responses to requests during assistance.
Unnecessary and poorly placed expenses that could be more effective for the insured and less expensive for AXA.
The operators are not in France comprehension problems that bring considerable time loss and appointments canceled for the insured.</v>
      </c>
    </row>
    <row r="343" spans="1:9" ht="15.75" customHeight="1" x14ac:dyDescent="0.3">
      <c r="A343" s="2">
        <v>5</v>
      </c>
      <c r="B343" s="2" t="s">
        <v>1070</v>
      </c>
      <c r="C343" s="2" t="s">
        <v>1071</v>
      </c>
      <c r="D343" s="2" t="s">
        <v>13</v>
      </c>
      <c r="E343" s="2" t="s">
        <v>14</v>
      </c>
      <c r="F343" s="2" t="s">
        <v>15</v>
      </c>
      <c r="G343" s="2" t="s">
        <v>1072</v>
      </c>
      <c r="H343" s="2" t="s">
        <v>17</v>
      </c>
      <c r="I343" s="2" t="str">
        <f ca="1">IFERROR(__xludf.DUMMYFUNCTION("GOOGLETRANSLATE(C343,""fr"",""en"")"),"The price is attractive
The site is intuitive, very easy to inform, quote in 5 min on the internet.
It remains to be seen, efficiency customer service in the event of a glitch ...")</f>
        <v>The price is attractive
The site is intuitive, very easy to inform, quote in 5 min on the internet.
It remains to be seen, efficiency customer service in the event of a glitch ...</v>
      </c>
    </row>
    <row r="344" spans="1:9" ht="15.75" customHeight="1" x14ac:dyDescent="0.3">
      <c r="A344" s="2">
        <v>5</v>
      </c>
      <c r="B344" s="2" t="s">
        <v>1073</v>
      </c>
      <c r="C344" s="2" t="s">
        <v>1074</v>
      </c>
      <c r="D344" s="2" t="s">
        <v>493</v>
      </c>
      <c r="E344" s="2" t="s">
        <v>101</v>
      </c>
      <c r="F344" s="2" t="s">
        <v>15</v>
      </c>
      <c r="G344" s="2" t="s">
        <v>1075</v>
      </c>
      <c r="H344" s="2" t="s">
        <v>71</v>
      </c>
      <c r="I344" s="2" t="str">
        <f ca="1">IFERROR(__xludf.DUMMYFUNCTION("GOOGLETRANSLATE(C344,""fr"",""en"")"),"Good exchange with the advisor available on direct line. Speed ​​of management of the file even with some technical points to be resolved on the health questionnaire.")</f>
        <v>Good exchange with the advisor available on direct line. Speed ​​of management of the file even with some technical points to be resolved on the health questionnaire.</v>
      </c>
    </row>
    <row r="345" spans="1:9" ht="15.75" customHeight="1" x14ac:dyDescent="0.3">
      <c r="A345" s="2">
        <v>1</v>
      </c>
      <c r="B345" s="2" t="s">
        <v>1076</v>
      </c>
      <c r="C345" s="2" t="s">
        <v>1077</v>
      </c>
      <c r="D345" s="2" t="s">
        <v>281</v>
      </c>
      <c r="E345" s="2" t="s">
        <v>39</v>
      </c>
      <c r="F345" s="2" t="s">
        <v>15</v>
      </c>
      <c r="G345" s="2" t="s">
        <v>1078</v>
      </c>
      <c r="H345" s="2" t="s">
        <v>125</v>
      </c>
      <c r="I345" s="2" t="str">
        <f ca="1">IFERROR(__xludf.DUMMYFUNCTION("GOOGLETRANSLATE(C345,""fr"",""en"")"),"I joined it for more than 5 years until the end of 2020, and I clearly saw the service deteriorate little by little ...
It has become a disaster ... not clear letters, response to emails 1 time out of 5, no reminders of advisers, responses next to the pl"&amp;"ate ...
Dark reimbursements, in short, I flee!")</f>
        <v>I joined it for more than 5 years until the end of 2020, and I clearly saw the service deteriorate little by little ...
It has become a disaster ... not clear letters, response to emails 1 time out of 5, no reminders of advisers, responses next to the plate ...
Dark reimbursements, in short, I flee!</v>
      </c>
    </row>
    <row r="346" spans="1:9" ht="15.75" customHeight="1" x14ac:dyDescent="0.3">
      <c r="A346" s="2">
        <v>2</v>
      </c>
      <c r="B346" s="2" t="s">
        <v>1079</v>
      </c>
      <c r="C346" s="2" t="s">
        <v>1080</v>
      </c>
      <c r="D346" s="2" t="s">
        <v>33</v>
      </c>
      <c r="E346" s="2" t="s">
        <v>14</v>
      </c>
      <c r="F346" s="2" t="s">
        <v>15</v>
      </c>
      <c r="G346" s="2" t="s">
        <v>1081</v>
      </c>
      <c r="H346" s="2" t="s">
        <v>256</v>
      </c>
      <c r="I346" s="2" t="str">
        <f ca="1">IFERROR(__xludf.DUMMYFUNCTION("GOOGLETRANSLATE(C346,""fr"",""en"")"),"51 years old at the Matmut and for what?")</f>
        <v>51 years old at the Matmut and for what?</v>
      </c>
    </row>
    <row r="347" spans="1:9" ht="15.75" customHeight="1" x14ac:dyDescent="0.3">
      <c r="A347" s="2">
        <v>5</v>
      </c>
      <c r="B347" s="2" t="s">
        <v>1082</v>
      </c>
      <c r="C347" s="2" t="s">
        <v>1083</v>
      </c>
      <c r="D347" s="2" t="s">
        <v>28</v>
      </c>
      <c r="E347" s="2" t="s">
        <v>14</v>
      </c>
      <c r="F347" s="2" t="s">
        <v>15</v>
      </c>
      <c r="G347" s="2" t="s">
        <v>244</v>
      </c>
      <c r="H347" s="2" t="s">
        <v>111</v>
      </c>
      <c r="I347" s="2" t="str">
        <f ca="1">IFERROR(__xludf.DUMMYFUNCTION("GOOGLETRANSLATE(C347,""fr"",""en"")"),"I am satisfied with the services, the prices suit me, it is simple and fast compared to the competition which offers more expensive prices like the Matmut.")</f>
        <v>I am satisfied with the services, the prices suit me, it is simple and fast compared to the competition which offers more expensive prices like the Matmut.</v>
      </c>
    </row>
    <row r="348" spans="1:9" ht="15.75" customHeight="1" x14ac:dyDescent="0.3">
      <c r="A348" s="2">
        <v>4</v>
      </c>
      <c r="B348" s="2" t="s">
        <v>1084</v>
      </c>
      <c r="C348" s="2" t="s">
        <v>1085</v>
      </c>
      <c r="D348" s="2" t="s">
        <v>197</v>
      </c>
      <c r="E348" s="2" t="s">
        <v>81</v>
      </c>
      <c r="F348" s="2" t="s">
        <v>15</v>
      </c>
      <c r="G348" s="2" t="s">
        <v>56</v>
      </c>
      <c r="H348" s="2" t="s">
        <v>57</v>
      </c>
      <c r="I348" s="2" t="str">
        <f ca="1">IFERROR(__xludf.DUMMYFUNCTION("GOOGLETRANSLATE(C348,""fr"",""en"")"),"Ensure dynamic, effective with good value for money, I recommend, to ensure a two -wheeled, fairly available and listening customer service, easy and quick procedures")</f>
        <v>Ensure dynamic, effective with good value for money, I recommend, to ensure a two -wheeled, fairly available and listening customer service, easy and quick procedures</v>
      </c>
    </row>
    <row r="349" spans="1:9" ht="15.75" customHeight="1" x14ac:dyDescent="0.3">
      <c r="A349" s="2">
        <v>2</v>
      </c>
      <c r="B349" s="2" t="s">
        <v>1086</v>
      </c>
      <c r="C349" s="2" t="s">
        <v>1087</v>
      </c>
      <c r="D349" s="2" t="s">
        <v>412</v>
      </c>
      <c r="E349" s="2" t="s">
        <v>137</v>
      </c>
      <c r="F349" s="2" t="s">
        <v>15</v>
      </c>
      <c r="G349" s="2" t="s">
        <v>1088</v>
      </c>
      <c r="H349" s="2" t="s">
        <v>347</v>
      </c>
      <c r="I349" s="2" t="str">
        <f ca="1">IFERROR(__xludf.DUMMYFUNCTION("GOOGLETRANSLATE(C349,""fr"",""en"")"),"Hello from 25/10/2015 to 30/06/2016 I am on sick leave for an AOMI of Category 4 Then I resumed the work because not having a salary supplement pay by the AG2R to my employer, however having difficulties for Walking I resumed the work and in the September"&amp;" me I received my salary supplement viewing my state of health. Maggnated the stens my femoral artery is still butcher and on 10/18/2016 I have relapsed and can no longer work and am Go into disability of category 2 to 04/01/2017 The documents were sent t"&amp;"o my company which transmitted them to the gan because on 01/01/2016 my company to change their pension. Insurance to take care of (AG2R) because this is a relapse L AG2R does not come to charge because the work stoppage is from 18/10/2016 and that I am n"&amp;"o longer ensuring at home since 01/01/2016 at them after informing article 7 of the Evin law of 1989 if we can prove that this is indeed a Reset it's up to the AG2R to take care of I was able to prove thanks to the medical certificate made by my doctor an"&amp;"d moreover a health questionnaire fulfilled for the gan who said that it was a relapse despite this ag2r to send or even an expert doctor why Because the security my mi in category disability 2. Being in precarious state I would like to know if I have the"&amp;" right to receive my salary supplement and when")</f>
        <v>Hello from 25/10/2015 to 30/06/2016 I am on sick leave for an AOMI of Category 4 Then I resumed the work because not having a salary supplement pay by the AG2R to my employer, however having difficulties for Walking I resumed the work and in the September me I received my salary supplement viewing my state of health. Maggnated the stens my femoral artery is still butcher and on 10/18/2016 I have relapsed and can no longer work and am Go into disability of category 2 to 04/01/2017 The documents were sent to my company which transmitted them to the gan because on 01/01/2016 my company to change their pension. Insurance to take care of (AG2R) because this is a relapse L AG2R does not come to charge because the work stoppage is from 18/10/2016 and that I am no longer ensuring at home since 01/01/2016 at them after informing article 7 of the Evin law of 1989 if we can prove that this is indeed a Reset it's up to the AG2R to take care of I was able to prove thanks to the medical certificate made by my doctor and moreover a health questionnaire fulfilled for the gan who said that it was a relapse despite this ag2r to send or even an expert doctor why Because the security my mi in category disability 2. Being in precarious state I would like to know if I have the right to receive my salary supplement and when</v>
      </c>
    </row>
    <row r="350" spans="1:9" ht="15.75" customHeight="1" x14ac:dyDescent="0.3">
      <c r="A350" s="2">
        <v>1</v>
      </c>
      <c r="B350" s="2" t="s">
        <v>1089</v>
      </c>
      <c r="C350" s="2" t="s">
        <v>1090</v>
      </c>
      <c r="D350" s="2" t="s">
        <v>28</v>
      </c>
      <c r="E350" s="2" t="s">
        <v>14</v>
      </c>
      <c r="F350" s="2" t="s">
        <v>15</v>
      </c>
      <c r="G350" s="2" t="s">
        <v>1091</v>
      </c>
      <c r="H350" s="2" t="s">
        <v>414</v>
      </c>
      <c r="I350" s="2" t="str">
        <f ca="1">IFERROR(__xludf.DUMMYFUNCTION("GOOGLETRANSLATE(C350,""fr"",""en"")"),"I had an accident with a responsible third party who fled all the repairs of my vehicle are at my expense while I am in all risk in the end as much not to be ensured")</f>
        <v>I had an accident with a responsible third party who fled all the repairs of my vehicle are at my expense while I am in all risk in the end as much not to be ensured</v>
      </c>
    </row>
    <row r="351" spans="1:9" ht="15.75" customHeight="1" x14ac:dyDescent="0.3">
      <c r="A351" s="2">
        <v>1</v>
      </c>
      <c r="B351" s="2" t="s">
        <v>1092</v>
      </c>
      <c r="C351" s="2" t="s">
        <v>1093</v>
      </c>
      <c r="D351" s="2" t="s">
        <v>65</v>
      </c>
      <c r="E351" s="2" t="s">
        <v>14</v>
      </c>
      <c r="F351" s="2" t="s">
        <v>15</v>
      </c>
      <c r="G351" s="2" t="s">
        <v>1094</v>
      </c>
      <c r="H351" s="2" t="s">
        <v>467</v>
      </c>
      <c r="I351" s="2" t="str">
        <f ca="1">IFERROR(__xludf.DUMMYFUNCTION("GOOGLETRANSLATE(C351,""fr"",""en"")"),"Looking at the other opinions I will have to be wary, but this insurer draws the profession down with its contemptuous insulting and liar staff .... never seen that in my life. I bitterly regret having subscribed, go your way.")</f>
        <v>Looking at the other opinions I will have to be wary, but this insurer draws the profession down with its contemptuous insulting and liar staff .... never seen that in my life. I bitterly regret having subscribed, go your way.</v>
      </c>
    </row>
    <row r="352" spans="1:9" ht="15.75" customHeight="1" x14ac:dyDescent="0.3">
      <c r="A352" s="2">
        <v>5</v>
      </c>
      <c r="B352" s="2" t="s">
        <v>1095</v>
      </c>
      <c r="C352" s="2" t="s">
        <v>1096</v>
      </c>
      <c r="D352" s="2" t="s">
        <v>13</v>
      </c>
      <c r="E352" s="2" t="s">
        <v>14</v>
      </c>
      <c r="F352" s="2" t="s">
        <v>15</v>
      </c>
      <c r="G352" s="2" t="s">
        <v>142</v>
      </c>
      <c r="H352" s="2" t="s">
        <v>111</v>
      </c>
      <c r="I352" s="2" t="str">
        <f ca="1">IFERROR(__xludf.DUMMYFUNCTION("GOOGLETRANSLATE(C352,""fr"",""en"")"),"I am satisfied with prices as well as services. I leave my old insurance because of the high prices as well as for mediocre benefits.")</f>
        <v>I am satisfied with prices as well as services. I leave my old insurance because of the high prices as well as for mediocre benefits.</v>
      </c>
    </row>
    <row r="353" spans="1:9" ht="15.75" customHeight="1" x14ac:dyDescent="0.3">
      <c r="A353" s="2">
        <v>4</v>
      </c>
      <c r="B353" s="2" t="s">
        <v>1097</v>
      </c>
      <c r="C353" s="2" t="s">
        <v>1098</v>
      </c>
      <c r="D353" s="2" t="s">
        <v>310</v>
      </c>
      <c r="E353" s="2" t="s">
        <v>14</v>
      </c>
      <c r="F353" s="2" t="s">
        <v>15</v>
      </c>
      <c r="G353" s="2" t="s">
        <v>1099</v>
      </c>
      <c r="H353" s="2" t="s">
        <v>52</v>
      </c>
      <c r="I353" s="2" t="str">
        <f ca="1">IFERROR(__xludf.DUMMYFUNCTION("GOOGLETRANSLATE(C353,""fr"",""en"")"),"Too bad that cannot make sure for a vehicle of 9CV tax with 2 years of insurance or 10% bonus otherwise yes good overall I highly recommend.
Cdt")</f>
        <v>Too bad that cannot make sure for a vehicle of 9CV tax with 2 years of insurance or 10% bonus otherwise yes good overall I highly recommend.
Cdt</v>
      </c>
    </row>
    <row r="354" spans="1:9" ht="15.75" customHeight="1" x14ac:dyDescent="0.3">
      <c r="A354" s="2">
        <v>1</v>
      </c>
      <c r="B354" s="2" t="s">
        <v>1100</v>
      </c>
      <c r="C354" s="2" t="s">
        <v>1101</v>
      </c>
      <c r="D354" s="2" t="s">
        <v>303</v>
      </c>
      <c r="E354" s="2" t="s">
        <v>129</v>
      </c>
      <c r="F354" s="2" t="s">
        <v>15</v>
      </c>
      <c r="G354" s="2" t="s">
        <v>1102</v>
      </c>
      <c r="H354" s="2" t="s">
        <v>448</v>
      </c>
      <c r="I354" s="2" t="str">
        <f ca="1">IFERROR(__xludf.DUMMYFUNCTION("GOOGLETRANSLATE(C354,""fr"",""en"")"),"I am very disappointed with the Macif. S You read my opinion so do not make sure you do not. Sinister since October 2018 and expert in March 2019, forget half of the expertise! I have to beg the advisers every day to have a full report. In May he deigns t"&amp;"o move and the height is that he leaves the expertise without completing it because I shot this poor young man who thought that I did not know the conditions of my contract. Today on August 18 Always await the transmission of its second report. After seiz"&amp;"ing the unlikely mediator, the Macif replied that I had to do a counter expertise! I am preparing my file for the courts because I intend to be compensated for my damage. Flee the Macif and flee their experts from Elex.")</f>
        <v>I am very disappointed with the Macif. S You read my opinion so do not make sure you do not. Sinister since October 2018 and expert in March 2019, forget half of the expertise! I have to beg the advisers every day to have a full report. In May he deigns to move and the height is that he leaves the expertise without completing it because I shot this poor young man who thought that I did not know the conditions of my contract. Today on August 18 Always await the transmission of its second report. After seizing the unlikely mediator, the Macif replied that I had to do a counter expertise! I am preparing my file for the courts because I intend to be compensated for my damage. Flee the Macif and flee their experts from Elex.</v>
      </c>
    </row>
    <row r="355" spans="1:9" ht="15.75" customHeight="1" x14ac:dyDescent="0.3">
      <c r="A355" s="2">
        <v>5</v>
      </c>
      <c r="B355" s="2" t="s">
        <v>1103</v>
      </c>
      <c r="C355" s="2" t="s">
        <v>1104</v>
      </c>
      <c r="D355" s="2" t="s">
        <v>197</v>
      </c>
      <c r="E355" s="2" t="s">
        <v>81</v>
      </c>
      <c r="F355" s="2" t="s">
        <v>15</v>
      </c>
      <c r="G355" s="2" t="s">
        <v>730</v>
      </c>
      <c r="H355" s="2" t="s">
        <v>111</v>
      </c>
      <c r="I355" s="2" t="str">
        <f ca="1">IFERROR(__xludf.DUMMYFUNCTION("GOOGLETRANSLATE(C355,""fr"",""en"")"),"I am delighted with the price and the speed I had to make sure during the day on a Saturday to go get my motorcycle and it took me 10 minutes thank you perfect I recommend")</f>
        <v>I am delighted with the price and the speed I had to make sure during the day on a Saturday to go get my motorcycle and it took me 10 minutes thank you perfect I recommend</v>
      </c>
    </row>
    <row r="356" spans="1:9" ht="15.75" customHeight="1" x14ac:dyDescent="0.3">
      <c r="A356" s="2">
        <v>4</v>
      </c>
      <c r="B356" s="2" t="s">
        <v>1105</v>
      </c>
      <c r="C356" s="2" t="s">
        <v>1106</v>
      </c>
      <c r="D356" s="2" t="s">
        <v>13</v>
      </c>
      <c r="E356" s="2" t="s">
        <v>14</v>
      </c>
      <c r="F356" s="2" t="s">
        <v>15</v>
      </c>
      <c r="G356" s="2" t="s">
        <v>608</v>
      </c>
      <c r="H356" s="2" t="s">
        <v>71</v>
      </c>
      <c r="I356" s="2" t="str">
        <f ca="1">IFERROR(__xludf.DUMMYFUNCTION("GOOGLETRANSLATE(C356,""fr"",""en"")"),"satisfaction of the services offered, prices, responsiveness and processing of files
Welcome telephone not too much time, waiting I recommend")</f>
        <v>satisfaction of the services offered, prices, responsiveness and processing of files
Welcome telephone not too much time, waiting I recommend</v>
      </c>
    </row>
    <row r="357" spans="1:9" ht="15.75" customHeight="1" x14ac:dyDescent="0.3">
      <c r="A357" s="2">
        <v>5</v>
      </c>
      <c r="B357" s="2" t="s">
        <v>1107</v>
      </c>
      <c r="C357" s="2" t="s">
        <v>1108</v>
      </c>
      <c r="D357" s="2" t="s">
        <v>38</v>
      </c>
      <c r="E357" s="2" t="s">
        <v>39</v>
      </c>
      <c r="F357" s="2" t="s">
        <v>15</v>
      </c>
      <c r="G357" s="2" t="s">
        <v>1109</v>
      </c>
      <c r="H357" s="2" t="s">
        <v>30</v>
      </c>
      <c r="I357" s="2" t="str">
        <f ca="1">IFERROR(__xludf.DUMMYFUNCTION("GOOGLETRANSLATE(C357,""fr"",""en"")"),"Following my phone call the moved insurer answered my questions that I was asked, in more pleasant welcome and friendly during my call thank you")</f>
        <v>Following my phone call the moved insurer answered my questions that I was asked, in more pleasant welcome and friendly during my call thank you</v>
      </c>
    </row>
    <row r="358" spans="1:9" ht="15.75" customHeight="1" x14ac:dyDescent="0.3">
      <c r="A358" s="2">
        <v>3</v>
      </c>
      <c r="B358" s="2" t="s">
        <v>1110</v>
      </c>
      <c r="C358" s="2" t="s">
        <v>1111</v>
      </c>
      <c r="D358" s="2" t="s">
        <v>145</v>
      </c>
      <c r="E358" s="2" t="s">
        <v>14</v>
      </c>
      <c r="F358" s="2" t="s">
        <v>15</v>
      </c>
      <c r="G358" s="2" t="s">
        <v>384</v>
      </c>
      <c r="H358" s="2" t="s">
        <v>385</v>
      </c>
      <c r="I358" s="2" t="str">
        <f ca="1">IFERROR(__xludf.DUMMYFUNCTION("GOOGLETRANSLATE(C358,""fr"",""en"")"),"Lamentable that the maaf does not take care of the accompanied driving for small children! Bravo accident prevention by better driving education.")</f>
        <v>Lamentable that the maaf does not take care of the accompanied driving for small children! Bravo accident prevention by better driving education.</v>
      </c>
    </row>
    <row r="359" spans="1:9" ht="15.75" customHeight="1" x14ac:dyDescent="0.3">
      <c r="A359" s="2">
        <v>4</v>
      </c>
      <c r="B359" s="2" t="s">
        <v>1112</v>
      </c>
      <c r="C359" s="2" t="s">
        <v>1113</v>
      </c>
      <c r="D359" s="2" t="s">
        <v>13</v>
      </c>
      <c r="E359" s="2" t="s">
        <v>14</v>
      </c>
      <c r="F359" s="2" t="s">
        <v>15</v>
      </c>
      <c r="G359" s="2" t="s">
        <v>1114</v>
      </c>
      <c r="H359" s="2" t="s">
        <v>17</v>
      </c>
      <c r="I359" s="2" t="str">
        <f ca="1">IFERROR(__xludf.DUMMYFUNCTION("GOOGLETRANSLATE(C359,""fr"",""en"")"),"I am satisfied with the service and also of the listening agent telephone service and reassure the price level is really cheap I find that it is interesting for young drivers")</f>
        <v>I am satisfied with the service and also of the listening agent telephone service and reassure the price level is really cheap I find that it is interesting for young drivers</v>
      </c>
    </row>
    <row r="360" spans="1:9" ht="15.75" customHeight="1" x14ac:dyDescent="0.3">
      <c r="A360" s="2">
        <v>4</v>
      </c>
      <c r="B360" s="2" t="s">
        <v>1115</v>
      </c>
      <c r="C360" s="2" t="s">
        <v>1116</v>
      </c>
      <c r="D360" s="2" t="s">
        <v>13</v>
      </c>
      <c r="E360" s="2" t="s">
        <v>14</v>
      </c>
      <c r="F360" s="2" t="s">
        <v>15</v>
      </c>
      <c r="G360" s="2" t="s">
        <v>1117</v>
      </c>
      <c r="H360" s="2" t="s">
        <v>30</v>
      </c>
      <c r="I360" s="2" t="str">
        <f ca="1">IFERROR(__xludf.DUMMYFUNCTION("GOOGLETRANSLATE(C360,""fr"",""en"")"),"I satisfy the service overall I would have just appreciated the option alone of the zero km assistance because the pack in itself did not interest me. After correct value for money and very readable contract type with easy reading")</f>
        <v>I satisfy the service overall I would have just appreciated the option alone of the zero km assistance because the pack in itself did not interest me. After correct value for money and very readable contract type with easy reading</v>
      </c>
    </row>
    <row r="361" spans="1:9" ht="15.75" customHeight="1" x14ac:dyDescent="0.3">
      <c r="A361" s="2">
        <v>1</v>
      </c>
      <c r="B361" s="2" t="s">
        <v>1118</v>
      </c>
      <c r="C361" s="2" t="s">
        <v>1119</v>
      </c>
      <c r="D361" s="2" t="s">
        <v>38</v>
      </c>
      <c r="E361" s="2" t="s">
        <v>39</v>
      </c>
      <c r="F361" s="2" t="s">
        <v>15</v>
      </c>
      <c r="G361" s="2" t="s">
        <v>1120</v>
      </c>
      <c r="H361" s="2" t="s">
        <v>236</v>
      </c>
      <c r="I361" s="2" t="str">
        <f ca="1">IFERROR(__xludf.DUMMYFUNCTION("GOOGLETRANSLATE(C361,""fr"",""en"")"),"Above all, do not ""insure them! They pass various CAF, CPAM organizations, diverse to obtain the information necessary to make us sign contracts which we do not want, I made myself have but fortunately I am in the 14 days to terminate. I do not recommend"&amp;" Neoliane Health and Provident.")</f>
        <v>Above all, do not "insure them! They pass various CAF, CPAM organizations, diverse to obtain the information necessary to make us sign contracts which we do not want, I made myself have but fortunately I am in the 14 days to terminate. I do not recommend Neoliane Health and Provident.</v>
      </c>
    </row>
    <row r="362" spans="1:9" ht="15.75" customHeight="1" x14ac:dyDescent="0.3">
      <c r="A362" s="2">
        <v>3</v>
      </c>
      <c r="B362" s="2" t="s">
        <v>1121</v>
      </c>
      <c r="C362" s="2" t="s">
        <v>1122</v>
      </c>
      <c r="D362" s="2" t="s">
        <v>310</v>
      </c>
      <c r="E362" s="2" t="s">
        <v>14</v>
      </c>
      <c r="F362" s="2" t="s">
        <v>15</v>
      </c>
      <c r="G362" s="2" t="s">
        <v>1123</v>
      </c>
      <c r="H362" s="2" t="s">
        <v>661</v>
      </c>
      <c r="I362" s="2" t="str">
        <f ca="1">IFERROR(__xludf.DUMMYFUNCTION("GOOGLETRANSLATE(C362,""fr"",""en"")"),"The management of my claims has always been managed perfectly by Eurofil. I am very satisfied at the moment, but, following the names for the names, I hope not to be expelled soon!")</f>
        <v>The management of my claims has always been managed perfectly by Eurofil. I am very satisfied at the moment, but, following the names for the names, I hope not to be expelled soon!</v>
      </c>
    </row>
    <row r="363" spans="1:9" ht="15.75" customHeight="1" x14ac:dyDescent="0.3">
      <c r="A363" s="2">
        <v>4</v>
      </c>
      <c r="B363" s="2" t="s">
        <v>1124</v>
      </c>
      <c r="C363" s="2" t="s">
        <v>1125</v>
      </c>
      <c r="D363" s="2" t="s">
        <v>13</v>
      </c>
      <c r="E363" s="2" t="s">
        <v>14</v>
      </c>
      <c r="F363" s="2" t="s">
        <v>15</v>
      </c>
      <c r="G363" s="2" t="s">
        <v>297</v>
      </c>
      <c r="H363" s="2" t="s">
        <v>17</v>
      </c>
      <c r="I363" s="2" t="str">
        <f ca="1">IFERROR(__xludf.DUMMYFUNCTION("GOOGLETRANSLATE(C363,""fr"",""en"")"),"I am satisfied with the direct insurance service. I was well informed on the phone.
Direct Insurance is responsible for termination
Cordially
A new insurer")</f>
        <v>I am satisfied with the direct insurance service. I was well informed on the phone.
Direct Insurance is responsible for termination
Cordially
A new insurer</v>
      </c>
    </row>
    <row r="364" spans="1:9" ht="15.75" customHeight="1" x14ac:dyDescent="0.3">
      <c r="A364" s="2">
        <v>3</v>
      </c>
      <c r="B364" s="2" t="s">
        <v>1126</v>
      </c>
      <c r="C364" s="2" t="s">
        <v>1127</v>
      </c>
      <c r="D364" s="2" t="s">
        <v>13</v>
      </c>
      <c r="E364" s="2" t="s">
        <v>14</v>
      </c>
      <c r="F364" s="2" t="s">
        <v>15</v>
      </c>
      <c r="G364" s="2" t="s">
        <v>1128</v>
      </c>
      <c r="H364" s="2" t="s">
        <v>557</v>
      </c>
      <c r="I364" s="2" t="str">
        <f ca="1">IFERROR(__xludf.DUMMYFUNCTION("GOOGLETRANSLATE(C364,""fr"",""en"")"),"Insurance to see over time and years.
I had a break of ice, it went without problems
Customer service is not about. We tell you to reach a number, we give you wrong information. Today we exchange a lot by email and follow -up should be much more straigh"&amp;"t.
Apart from that it is good insurance. No complaints.")</f>
        <v>Insurance to see over time and years.
I had a break of ice, it went without problems
Customer service is not about. We tell you to reach a number, we give you wrong information. Today we exchange a lot by email and follow -up should be much more straight.
Apart from that it is good insurance. No complaints.</v>
      </c>
    </row>
    <row r="365" spans="1:9" ht="15.75" customHeight="1" x14ac:dyDescent="0.3">
      <c r="A365" s="2">
        <v>1</v>
      </c>
      <c r="B365" s="2" t="s">
        <v>1129</v>
      </c>
      <c r="C365" s="2" t="s">
        <v>1130</v>
      </c>
      <c r="D365" s="2" t="s">
        <v>89</v>
      </c>
      <c r="E365" s="2" t="s">
        <v>39</v>
      </c>
      <c r="F365" s="2" t="s">
        <v>15</v>
      </c>
      <c r="G365" s="2" t="s">
        <v>1131</v>
      </c>
      <c r="H365" s="2" t="s">
        <v>576</v>
      </c>
      <c r="I365" s="2" t="str">
        <f ca="1">IFERROR(__xludf.DUMMYFUNCTION("GOOGLETRANSLATE(C365,""fr"",""en"")"),"He targets the old on the phone my relatives are without resources cause of them 2 mutuals to pay he refuses to terminate with an ar letter")</f>
        <v>He targets the old on the phone my relatives are without resources cause of them 2 mutuals to pay he refuses to terminate with an ar letter</v>
      </c>
    </row>
    <row r="366" spans="1:9" ht="15.75" customHeight="1" x14ac:dyDescent="0.3">
      <c r="A366" s="2">
        <v>2</v>
      </c>
      <c r="B366" s="2" t="s">
        <v>1132</v>
      </c>
      <c r="C366" s="2" t="s">
        <v>1133</v>
      </c>
      <c r="D366" s="2" t="s">
        <v>55</v>
      </c>
      <c r="E366" s="2" t="s">
        <v>39</v>
      </c>
      <c r="F366" s="2" t="s">
        <v>15</v>
      </c>
      <c r="G366" s="2" t="s">
        <v>83</v>
      </c>
      <c r="H366" s="2" t="s">
        <v>83</v>
      </c>
      <c r="I366" s="2" t="str">
        <f ca="1">IFERROR(__xludf.DUMMYFUNCTION("GOOGLETRANSLATE(C366,""fr"",""en"")"),"It is not champions, the covid and its pseudo disadvantages are their spearhead, hyper slow to respond, all the apologies to delay the quotes agreements, document requests or proof that no other mutual requires, reimbursements that differ From one month t"&amp;"o the next, without the situation changed, expectations on the phone particularly intolerable, to flee absolutely for people who do not have the internet or who do not have a phone with a maximum package. For the Price, it was a mutual insurance company p"&amp;"aid by the employer 100%, so I cannot judge, but given the problems is a meager consolation. For contact nothing to say, they do not have an office to accommodate customers, they are only intermediaries supposed to facilitate exchanges, to scream with lau"&amp;"ghter!")</f>
        <v>It is not champions, the covid and its pseudo disadvantages are their spearhead, hyper slow to respond, all the apologies to delay the quotes agreements, document requests or proof that no other mutual requires, reimbursements that differ From one month to the next, without the situation changed, expectations on the phone particularly intolerable, to flee absolutely for people who do not have the internet or who do not have a phone with a maximum package. For the Price, it was a mutual insurance company paid by the employer 100%, so I cannot judge, but given the problems is a meager consolation. For contact nothing to say, they do not have an office to accommodate customers, they are only intermediaries supposed to facilitate exchanges, to scream with laughter!</v>
      </c>
    </row>
    <row r="367" spans="1:9" ht="15.75" customHeight="1" x14ac:dyDescent="0.3">
      <c r="A367" s="2">
        <v>5</v>
      </c>
      <c r="B367" s="2" t="s">
        <v>1134</v>
      </c>
      <c r="C367" s="2" t="s">
        <v>1135</v>
      </c>
      <c r="D367" s="2" t="s">
        <v>28</v>
      </c>
      <c r="E367" s="2" t="s">
        <v>14</v>
      </c>
      <c r="F367" s="2" t="s">
        <v>15</v>
      </c>
      <c r="G367" s="2" t="s">
        <v>847</v>
      </c>
      <c r="H367" s="2" t="s">
        <v>612</v>
      </c>
      <c r="I367" s="2" t="str">
        <f ca="1">IFERROR(__xludf.DUMMYFUNCTION("GOOGLETRANSLATE(C367,""fr"",""en"")"),"Completely satisfied since my visit to the Olivier Insurance for a few months. I am a young permit and I save a lot each month compared to my former insurer!")</f>
        <v>Completely satisfied since my visit to the Olivier Insurance for a few months. I am a young permit and I save a lot each month compared to my former insurer!</v>
      </c>
    </row>
    <row r="368" spans="1:9" ht="15.75" customHeight="1" x14ac:dyDescent="0.3">
      <c r="A368" s="2">
        <v>4</v>
      </c>
      <c r="B368" s="2" t="s">
        <v>1136</v>
      </c>
      <c r="C368" s="2" t="s">
        <v>1137</v>
      </c>
      <c r="D368" s="2" t="s">
        <v>664</v>
      </c>
      <c r="E368" s="2" t="s">
        <v>39</v>
      </c>
      <c r="F368" s="2" t="s">
        <v>15</v>
      </c>
      <c r="G368" s="2" t="s">
        <v>124</v>
      </c>
      <c r="H368" s="2" t="s">
        <v>125</v>
      </c>
      <c r="I368" s="2" t="str">
        <f ca="1">IFERROR(__xludf.DUMMYFUNCTION("GOOGLETRANSLATE(C368,""fr"",""en"")"),"I was very well informed by Lamia concerning my third -party third -party card. Very pleasant and efficient. Let's take the rest .... in any case for the moment nothing to complain about.")</f>
        <v>I was very well informed by Lamia concerning my third -party third -party card. Very pleasant and efficient. Let's take the rest .... in any case for the moment nothing to complain about.</v>
      </c>
    </row>
    <row r="369" spans="1:9" ht="15.75" customHeight="1" x14ac:dyDescent="0.3">
      <c r="A369" s="2">
        <v>2</v>
      </c>
      <c r="B369" s="2" t="s">
        <v>1138</v>
      </c>
      <c r="C369" s="2" t="s">
        <v>1139</v>
      </c>
      <c r="D369" s="2" t="s">
        <v>145</v>
      </c>
      <c r="E369" s="2" t="s">
        <v>129</v>
      </c>
      <c r="F369" s="2" t="s">
        <v>15</v>
      </c>
      <c r="G369" s="2" t="s">
        <v>1140</v>
      </c>
      <c r="H369" s="2" t="s">
        <v>661</v>
      </c>
      <c r="I369" s="2" t="str">
        <f ca="1">IFERROR(__xludf.DUMMYFUNCTION("GOOGLETRANSLATE(C369,""fr"",""en"")"),"Following a sinister no news, no repronted to my email on my maaf space, and when you have them on the phone it does not know how to answer your questions I follow this insurance it is scandalu of this cum of these customers so, I have 5 insurance at eu")</f>
        <v>Following a sinister no news, no repronted to my email on my maaf space, and when you have them on the phone it does not know how to answer your questions I follow this insurance it is scandalu of this cum of these customers so, I have 5 insurance at eu</v>
      </c>
    </row>
    <row r="370" spans="1:9" ht="15.75" customHeight="1" x14ac:dyDescent="0.3">
      <c r="A370" s="2">
        <v>1</v>
      </c>
      <c r="B370" s="2" t="s">
        <v>1141</v>
      </c>
      <c r="C370" s="2" t="s">
        <v>1142</v>
      </c>
      <c r="D370" s="2" t="s">
        <v>465</v>
      </c>
      <c r="E370" s="2" t="s">
        <v>39</v>
      </c>
      <c r="F370" s="2" t="s">
        <v>15</v>
      </c>
      <c r="G370" s="2" t="s">
        <v>1143</v>
      </c>
      <c r="H370" s="2" t="s">
        <v>216</v>
      </c>
      <c r="I370" s="2" t="str">
        <f ca="1">IFERROR(__xludf.DUMMYFUNCTION("GOOGLETRANSLATE(C370,""fr"",""en"")"),"Since I am retired I have had recurring problems with the MGEN with regard to the calculation of my subscription. Each year, there is a completely false and exaggerated amount of income into account to calculate my subscription. No matter how much I do, e"&amp;"very year it comes back. Is this a way to scare away the retirees from the mutual insurance company? I contributed 37 years when I was active and did not have this problem.")</f>
        <v>Since I am retired I have had recurring problems with the MGEN with regard to the calculation of my subscription. Each year, there is a completely false and exaggerated amount of income into account to calculate my subscription. No matter how much I do, every year it comes back. Is this a way to scare away the retirees from the mutual insurance company? I contributed 37 years when I was active and did not have this problem.</v>
      </c>
    </row>
    <row r="371" spans="1:9" ht="15.75" customHeight="1" x14ac:dyDescent="0.3">
      <c r="A371" s="2">
        <v>5</v>
      </c>
      <c r="B371" s="2" t="s">
        <v>1144</v>
      </c>
      <c r="C371" s="2" t="s">
        <v>1145</v>
      </c>
      <c r="D371" s="2" t="s">
        <v>28</v>
      </c>
      <c r="E371" s="2" t="s">
        <v>14</v>
      </c>
      <c r="F371" s="2" t="s">
        <v>15</v>
      </c>
      <c r="G371" s="2" t="s">
        <v>1146</v>
      </c>
      <c r="H371" s="2" t="s">
        <v>94</v>
      </c>
      <c r="I371" s="2" t="str">
        <f ca="1">IFERROR(__xludf.DUMMYFUNCTION("GOOGLETRANSLATE(C371,""fr"",""en"")"),"Satisfied with the information of the more kind advisor, correct price and ease of subscription. I would advise my entourage to subscribe to the Olivier Insurance.")</f>
        <v>Satisfied with the information of the more kind advisor, correct price and ease of subscription. I would advise my entourage to subscribe to the Olivier Insurance.</v>
      </c>
    </row>
    <row r="372" spans="1:9" ht="15.75" customHeight="1" x14ac:dyDescent="0.3">
      <c r="A372" s="2">
        <v>5</v>
      </c>
      <c r="B372" s="2" t="s">
        <v>1147</v>
      </c>
      <c r="C372" s="2" t="s">
        <v>1148</v>
      </c>
      <c r="D372" s="2" t="s">
        <v>28</v>
      </c>
      <c r="E372" s="2" t="s">
        <v>14</v>
      </c>
      <c r="F372" s="2" t="s">
        <v>15</v>
      </c>
      <c r="G372" s="2" t="s">
        <v>1149</v>
      </c>
      <c r="H372" s="2" t="s">
        <v>414</v>
      </c>
      <c r="I372" s="2" t="str">
        <f ca="1">IFERROR(__xludf.DUMMYFUNCTION("GOOGLETRANSLATE(C372,""fr"",""en"")"),"Very satisfied with simplicity and speed to change insurance and receive my new green card. At the start I turned to this insurance for the price and it's not just good!")</f>
        <v>Very satisfied with simplicity and speed to change insurance and receive my new green card. At the start I turned to this insurance for the price and it's not just good!</v>
      </c>
    </row>
    <row r="373" spans="1:9" ht="15.75" customHeight="1" x14ac:dyDescent="0.3">
      <c r="A373" s="2">
        <v>3</v>
      </c>
      <c r="B373" s="2" t="s">
        <v>1150</v>
      </c>
      <c r="C373" s="2" t="s">
        <v>1151</v>
      </c>
      <c r="D373" s="2" t="s">
        <v>13</v>
      </c>
      <c r="E373" s="2" t="s">
        <v>14</v>
      </c>
      <c r="F373" s="2" t="s">
        <v>15</v>
      </c>
      <c r="G373" s="2" t="s">
        <v>470</v>
      </c>
      <c r="H373" s="2" t="s">
        <v>30</v>
      </c>
      <c r="I373" s="2" t="str">
        <f ca="1">IFERROR(__xludf.DUMMYFUNCTION("GOOGLETRANSLATE(C373,""fr"",""en"")"),"Simple and practical, I hope still to be able to benefit from a drop in my insurance as soon as possible.
I am now retired since November 1, 2020 ......")</f>
        <v>Simple and practical, I hope still to be able to benefit from a drop in my insurance as soon as possible.
I am now retired since November 1, 2020 ......</v>
      </c>
    </row>
    <row r="374" spans="1:9" ht="15.75" customHeight="1" x14ac:dyDescent="0.3">
      <c r="A374" s="2">
        <v>3</v>
      </c>
      <c r="B374" s="2" t="s">
        <v>1152</v>
      </c>
      <c r="C374" s="2" t="s">
        <v>1153</v>
      </c>
      <c r="D374" s="2" t="s">
        <v>28</v>
      </c>
      <c r="E374" s="2" t="s">
        <v>14</v>
      </c>
      <c r="F374" s="2" t="s">
        <v>15</v>
      </c>
      <c r="G374" s="2" t="s">
        <v>1154</v>
      </c>
      <c r="H374" s="2" t="s">
        <v>361</v>
      </c>
      <c r="I374" s="2" t="str">
        <f ca="1">IFERROR(__xludf.DUMMYFUNCTION("GOOGLETRANSLATE(C374,""fr"",""en"")"),"Very professional in their trades, I recommend ... I had a big car concerns and he was there throughout my problem, they informed me well and well guided.")</f>
        <v>Very professional in their trades, I recommend ... I had a big car concerns and he was there throughout my problem, they informed me well and well guided.</v>
      </c>
    </row>
    <row r="375" spans="1:9" ht="15.75" customHeight="1" x14ac:dyDescent="0.3">
      <c r="A375" s="2">
        <v>4</v>
      </c>
      <c r="B375" s="2" t="s">
        <v>1155</v>
      </c>
      <c r="C375" s="2" t="s">
        <v>1156</v>
      </c>
      <c r="D375" s="2" t="s">
        <v>13</v>
      </c>
      <c r="E375" s="2" t="s">
        <v>14</v>
      </c>
      <c r="F375" s="2" t="s">
        <v>15</v>
      </c>
      <c r="G375" s="2" t="s">
        <v>620</v>
      </c>
      <c r="H375" s="2" t="s">
        <v>17</v>
      </c>
      <c r="I375" s="2" t="str">
        <f ca="1">IFERROR(__xludf.DUMMYFUNCTION("GOOGLETRANSLATE(C375,""fr"",""en"")"),"I am satisfied with the prices The advisers It is to the little happiness luck some are very competent others are useless except to flee your customers.")</f>
        <v>I am satisfied with the prices The advisers It is to the little happiness luck some are very competent others are useless except to flee your customers.</v>
      </c>
    </row>
    <row r="376" spans="1:9" ht="15.75" customHeight="1" x14ac:dyDescent="0.3">
      <c r="A376" s="2">
        <v>1</v>
      </c>
      <c r="B376" s="2" t="s">
        <v>1157</v>
      </c>
      <c r="C376" s="2" t="s">
        <v>1158</v>
      </c>
      <c r="D376" s="2" t="s">
        <v>65</v>
      </c>
      <c r="E376" s="2" t="s">
        <v>14</v>
      </c>
      <c r="F376" s="2" t="s">
        <v>15</v>
      </c>
      <c r="G376" s="2" t="s">
        <v>1159</v>
      </c>
      <c r="H376" s="2" t="s">
        <v>108</v>
      </c>
      <c r="I376" s="2" t="str">
        <f ca="1">IFERROR(__xludf.DUMMYFUNCTION("GOOGLETRANSLATE(C376,""fr"",""en"")"),"All contracts:
Effective to seduce a new customer with an attractive price, but endless discussions on each anniversary date to challenge unjustified price increases.
Home contract:
Following a loss home from drought and noted by a bailiff's feat, Alli"&amp;"anz refuses to open a disaster file, even provisional, awaiting the publication of the natural disaster classification decree by the prefecture. If the decree was published, no possibility of compensation if the repairs have already been carried out, whic"&amp;"h means that, according to this inappropriate procedure, we can do nothing, we let the disorders worsen and we pass an expert when The walls collapsed to see the disorders.
")</f>
        <v xml:space="preserve">All contracts:
Effective to seduce a new customer with an attractive price, but endless discussions on each anniversary date to challenge unjustified price increases.
Home contract:
Following a loss home from drought and noted by a bailiff's feat, Allianz refuses to open a disaster file, even provisional, awaiting the publication of the natural disaster classification decree by the prefecture. If the decree was published, no possibility of compensation if the repairs have already been carried out, which means that, according to this inappropriate procedure, we can do nothing, we let the disorders worsen and we pass an expert when The walls collapsed to see the disorders.
</v>
      </c>
    </row>
    <row r="377" spans="1:9" ht="15.75" customHeight="1" x14ac:dyDescent="0.3">
      <c r="A377" s="2">
        <v>3</v>
      </c>
      <c r="B377" s="2" t="s">
        <v>1160</v>
      </c>
      <c r="C377" s="2" t="s">
        <v>1161</v>
      </c>
      <c r="D377" s="2" t="s">
        <v>13</v>
      </c>
      <c r="E377" s="2" t="s">
        <v>14</v>
      </c>
      <c r="F377" s="2" t="s">
        <v>15</v>
      </c>
      <c r="G377" s="2" t="s">
        <v>1162</v>
      </c>
      <c r="H377" s="2" t="s">
        <v>71</v>
      </c>
      <c r="I377" s="2" t="str">
        <f ca="1">IFERROR(__xludf.DUMMYFUNCTION("GOOGLETRANSLATE(C377,""fr"",""en"")"),"Very good services, competent advisers, but put on multiple contracts not really advantageous despite 2 cars and a home contract.")</f>
        <v>Very good services, competent advisers, but put on multiple contracts not really advantageous despite 2 cars and a home contract.</v>
      </c>
    </row>
    <row r="378" spans="1:9" ht="15.75" customHeight="1" x14ac:dyDescent="0.3">
      <c r="A378" s="2">
        <v>3</v>
      </c>
      <c r="B378" s="2" t="s">
        <v>1163</v>
      </c>
      <c r="C378" s="2" t="s">
        <v>1164</v>
      </c>
      <c r="D378" s="2" t="s">
        <v>13</v>
      </c>
      <c r="E378" s="2" t="s">
        <v>14</v>
      </c>
      <c r="F378" s="2" t="s">
        <v>15</v>
      </c>
      <c r="G378" s="2" t="s">
        <v>1165</v>
      </c>
      <c r="H378" s="2" t="s">
        <v>21</v>
      </c>
      <c r="I378" s="2" t="str">
        <f ca="1">IFERROR(__xludf.DUMMYFUNCTION("GOOGLETRANSLATE(C378,""fr"",""en"")"),"Very difficult to get someone on the phone when I need, just a frustrating answering machine. A simple thing that tarnishes your reputation. I just want an info statement for another company because you do not provide Camping Cars! This is your fault, oth"&amp;"erwise I would have taken another contract with you.")</f>
        <v>Very difficult to get someone on the phone when I need, just a frustrating answering machine. A simple thing that tarnishes your reputation. I just want an info statement for another company because you do not provide Camping Cars! This is your fault, otherwise I would have taken another contract with you.</v>
      </c>
    </row>
    <row r="379" spans="1:9" ht="15.75" customHeight="1" x14ac:dyDescent="0.3">
      <c r="A379" s="2">
        <v>3</v>
      </c>
      <c r="B379" s="2" t="s">
        <v>1166</v>
      </c>
      <c r="C379" s="2" t="s">
        <v>1167</v>
      </c>
      <c r="D379" s="2" t="s">
        <v>326</v>
      </c>
      <c r="E379" s="2" t="s">
        <v>14</v>
      </c>
      <c r="F379" s="2" t="s">
        <v>15</v>
      </c>
      <c r="G379" s="2" t="s">
        <v>1168</v>
      </c>
      <c r="H379" s="2" t="s">
        <v>899</v>
      </c>
      <c r="I379" s="2" t="str">
        <f ca="1">IFERROR(__xludf.DUMMYFUNCTION("GOOGLETRANSLATE(C379,""fr"",""en"")"),"Insurance far too expensive, no recognition of its loyal customers.
We have 4 insurance cars at AXA, our Housing Insurance etc ...
We are not recognized. We go through a broker who cannot
Not act our opinions on the sums requested by AXA. Every year we"&amp;" are taxed even if no claim took place in the year.")</f>
        <v>Insurance far too expensive, no recognition of its loyal customers.
We have 4 insurance cars at AXA, our Housing Insurance etc ...
We are not recognized. We go through a broker who cannot
Not act our opinions on the sums requested by AXA. Every year we are taxed even if no claim took place in the year.</v>
      </c>
    </row>
    <row r="380" spans="1:9" ht="15.75" customHeight="1" x14ac:dyDescent="0.3">
      <c r="A380" s="2">
        <v>4</v>
      </c>
      <c r="B380" s="2" t="s">
        <v>1169</v>
      </c>
      <c r="C380" s="2" t="s">
        <v>1170</v>
      </c>
      <c r="D380" s="2" t="s">
        <v>13</v>
      </c>
      <c r="E380" s="2" t="s">
        <v>14</v>
      </c>
      <c r="F380" s="2" t="s">
        <v>15</v>
      </c>
      <c r="G380" s="2" t="s">
        <v>943</v>
      </c>
      <c r="H380" s="2" t="s">
        <v>30</v>
      </c>
      <c r="I380" s="2" t="str">
        <f ca="1">IFERROR(__xludf.DUMMYFUNCTION("GOOGLETRANSLATE(C380,""fr"",""en"")"),"I am satisfied with my new contract but I find it a shame to have to request a new contract to obtain a more attractive rate (480 euros instead of 810 euros) for the same car and the same guarantees.
We should review.")</f>
        <v>I am satisfied with my new contract but I find it a shame to have to request a new contract to obtain a more attractive rate (480 euros instead of 810 euros) for the same car and the same guarantees.
We should review.</v>
      </c>
    </row>
    <row r="381" spans="1:9" ht="15.75" customHeight="1" x14ac:dyDescent="0.3">
      <c r="A381" s="2">
        <v>4</v>
      </c>
      <c r="B381" s="2" t="s">
        <v>1171</v>
      </c>
      <c r="C381" s="2" t="s">
        <v>1172</v>
      </c>
      <c r="D381" s="2" t="s">
        <v>190</v>
      </c>
      <c r="E381" s="2" t="s">
        <v>14</v>
      </c>
      <c r="F381" s="2" t="s">
        <v>15</v>
      </c>
      <c r="G381" s="2" t="s">
        <v>1173</v>
      </c>
      <c r="H381" s="2" t="s">
        <v>576</v>
      </c>
      <c r="I381" s="2" t="str">
        <f ca="1">IFERROR(__xludf.DUMMYFUNCTION("GOOGLETRANSLATE(C381,""fr"",""en"")"),"It's been 4 times in ten years that we have recourse to GMF for vehicle towing following breakdowns and everything went well")</f>
        <v>It's been 4 times in ten years that we have recourse to GMF for vehicle towing following breakdowns and everything went well</v>
      </c>
    </row>
    <row r="382" spans="1:9" ht="15.75" customHeight="1" x14ac:dyDescent="0.3">
      <c r="A382" s="2">
        <v>5</v>
      </c>
      <c r="B382" s="2" t="s">
        <v>1174</v>
      </c>
      <c r="C382" s="2" t="s">
        <v>1175</v>
      </c>
      <c r="D382" s="2" t="s">
        <v>197</v>
      </c>
      <c r="E382" s="2" t="s">
        <v>81</v>
      </c>
      <c r="F382" s="2" t="s">
        <v>15</v>
      </c>
      <c r="G382" s="2" t="s">
        <v>456</v>
      </c>
      <c r="H382" s="2" t="s">
        <v>111</v>
      </c>
      <c r="I382" s="2" t="str">
        <f ca="1">IFERROR(__xludf.DUMMYFUNCTION("GOOGLETRANSLATE(C382,""fr"",""en"")"),"I am satisfied with AMV insurance, very competitive price, customer service always reachable for any help, very complete online platform. Thanks")</f>
        <v>I am satisfied with AMV insurance, very competitive price, customer service always reachable for any help, very complete online platform. Thanks</v>
      </c>
    </row>
    <row r="383" spans="1:9" ht="15.75" customHeight="1" x14ac:dyDescent="0.3">
      <c r="A383" s="2">
        <v>1</v>
      </c>
      <c r="B383" s="2" t="s">
        <v>1176</v>
      </c>
      <c r="C383" s="2" t="s">
        <v>1177</v>
      </c>
      <c r="D383" s="2" t="s">
        <v>55</v>
      </c>
      <c r="E383" s="2" t="s">
        <v>39</v>
      </c>
      <c r="F383" s="2" t="s">
        <v>15</v>
      </c>
      <c r="G383" s="2" t="s">
        <v>1178</v>
      </c>
      <c r="H383" s="2" t="s">
        <v>442</v>
      </c>
      <c r="I383" s="2" t="str">
        <f ca="1">IFERROR(__xludf.DUMMYFUNCTION("GOOGLETRANSLATE(C383,""fr"",""en"")"),"A scandal flee. No customer service
Treatment deadlines of more than 2 months")</f>
        <v>A scandal flee. No customer service
Treatment deadlines of more than 2 months</v>
      </c>
    </row>
    <row r="384" spans="1:9" ht="15.75" customHeight="1" x14ac:dyDescent="0.3">
      <c r="A384" s="2">
        <v>1</v>
      </c>
      <c r="B384" s="2" t="s">
        <v>1179</v>
      </c>
      <c r="C384" s="2" t="s">
        <v>1180</v>
      </c>
      <c r="D384" s="2" t="s">
        <v>322</v>
      </c>
      <c r="E384" s="2" t="s">
        <v>14</v>
      </c>
      <c r="F384" s="2" t="s">
        <v>15</v>
      </c>
      <c r="G384" s="2" t="s">
        <v>1181</v>
      </c>
      <c r="H384" s="2" t="s">
        <v>343</v>
      </c>
      <c r="I384" s="2" t="str">
        <f ca="1">IFERROR(__xludf.DUMMYFUNCTION("GOOGLETRANSLATE(C384,""fr"",""en"")"),"Hello, Customer reference: 268719. My one -month -old provisional insurance certificate is over on 12/10/2017: period which I provided all the papers requested before the ECH one month. I contact you by email but still no answer and no green card! On my c"&amp;"ustomer area all the parts are received and validated. Please do the necessary to solve my problem. Cordially
")</f>
        <v xml:space="preserve">Hello, Customer reference: 268719. My one -month -old provisional insurance certificate is over on 12/10/2017: period which I provided all the papers requested before the ECH one month. I contact you by email but still no answer and no green card! On my customer area all the parts are received and validated. Please do the necessary to solve my problem. Cordially
</v>
      </c>
    </row>
    <row r="385" spans="1:9" ht="15.75" customHeight="1" x14ac:dyDescent="0.3">
      <c r="A385" s="2">
        <v>3</v>
      </c>
      <c r="B385" s="2" t="s">
        <v>1182</v>
      </c>
      <c r="C385" s="2" t="s">
        <v>1183</v>
      </c>
      <c r="D385" s="2" t="s">
        <v>310</v>
      </c>
      <c r="E385" s="2" t="s">
        <v>14</v>
      </c>
      <c r="F385" s="2" t="s">
        <v>15</v>
      </c>
      <c r="G385" s="2" t="s">
        <v>1184</v>
      </c>
      <c r="H385" s="2" t="s">
        <v>347</v>
      </c>
      <c r="I385" s="2" t="str">
        <f ca="1">IFERROR(__xludf.DUMMYFUNCTION("GOOGLETRANSLATE(C385,""fr"",""en"")"),"I have just made two online quotes at Eurofil to ensure two cars currently insured, a little expensive, at the MACSF: it is true, the reminders are incessant until we pick up; It is true, the prices are, let's say, enticing. Comparatively my old insurance"&amp;" offers much more ""high -end"" services (franchises, ice breaks, vehicle loan ...).
There, I walk on this site and I only see dissatisfied, so I will think twice (maybe even three) before leaving the MACSF, which, in 45 years, never posed a problem, Oth"&amp;"erwise that of being too expensive now for months. It is better to run than running, I do not want to be fired at 65 years like a malpropre, one fine morning, by email, without hope that I read, to find good insurance.")</f>
        <v>I have just made two online quotes at Eurofil to ensure two cars currently insured, a little expensive, at the MACSF: it is true, the reminders are incessant until we pick up; It is true, the prices are, let's say, enticing. Comparatively my old insurance offers much more "high -end" services (franchises, ice breaks, vehicle loan ...).
There, I walk on this site and I only see dissatisfied, so I will think twice (maybe even three) before leaving the MACSF, which, in 45 years, never posed a problem, Otherwise that of being too expensive now for months. It is better to run than running, I do not want to be fired at 65 years like a malpropre, one fine morning, by email, without hope that I read, to find good insurance.</v>
      </c>
    </row>
    <row r="386" spans="1:9" ht="15.75" customHeight="1" x14ac:dyDescent="0.3">
      <c r="A386" s="2">
        <v>5</v>
      </c>
      <c r="B386" s="2" t="s">
        <v>1185</v>
      </c>
      <c r="C386" s="2" t="s">
        <v>1186</v>
      </c>
      <c r="D386" s="2" t="s">
        <v>13</v>
      </c>
      <c r="E386" s="2" t="s">
        <v>14</v>
      </c>
      <c r="F386" s="2" t="s">
        <v>15</v>
      </c>
      <c r="G386" s="2" t="s">
        <v>1187</v>
      </c>
      <c r="H386" s="2" t="s">
        <v>111</v>
      </c>
      <c r="I386" s="2" t="str">
        <f ca="1">IFERROR(__xludf.DUMMYFUNCTION("GOOGLETRANSLATE(C386,""fr"",""en"")"),"I am satisfied with direct insurance, I am already insured at home for my car C4 ll I think to put my home insurance with you as far as possible thank you in advance")</f>
        <v>I am satisfied with direct insurance, I am already insured at home for my car C4 ll I think to put my home insurance with you as far as possible thank you in advance</v>
      </c>
    </row>
    <row r="387" spans="1:9" ht="15.75" customHeight="1" x14ac:dyDescent="0.3">
      <c r="A387" s="2">
        <v>4</v>
      </c>
      <c r="B387" s="2" t="s">
        <v>1188</v>
      </c>
      <c r="C387" s="2" t="s">
        <v>1189</v>
      </c>
      <c r="D387" s="2" t="s">
        <v>13</v>
      </c>
      <c r="E387" s="2" t="s">
        <v>14</v>
      </c>
      <c r="F387" s="2" t="s">
        <v>15</v>
      </c>
      <c r="G387" s="2" t="s">
        <v>1190</v>
      </c>
      <c r="H387" s="2" t="s">
        <v>21</v>
      </c>
      <c r="I387" s="2" t="str">
        <f ca="1">IFERROR(__xludf.DUMMYFUNCTION("GOOGLETRANSLATE(C387,""fr"",""en"")"),"I am satisfied with my communication with your employee, I had the information I wanted; The approaches to the termination of my previous insurance will be carried out by your services. Cordially")</f>
        <v>I am satisfied with my communication with your employee, I had the information I wanted; The approaches to the termination of my previous insurance will be carried out by your services. Cordially</v>
      </c>
    </row>
    <row r="388" spans="1:9" ht="15.75" customHeight="1" x14ac:dyDescent="0.3">
      <c r="A388" s="2">
        <v>2</v>
      </c>
      <c r="B388" s="2" t="s">
        <v>1191</v>
      </c>
      <c r="C388" s="2" t="s">
        <v>1192</v>
      </c>
      <c r="D388" s="2" t="s">
        <v>28</v>
      </c>
      <c r="E388" s="2" t="s">
        <v>14</v>
      </c>
      <c r="F388" s="2" t="s">
        <v>15</v>
      </c>
      <c r="G388" s="2" t="s">
        <v>1193</v>
      </c>
      <c r="H388" s="2" t="s">
        <v>634</v>
      </c>
      <c r="I388" s="2" t="str">
        <f ca="1">IFERROR(__xludf.DUMMYFUNCTION("GOOGLETRANSLATE(C388,""fr"",""en"")"),"A scandal this insurance. I am in third parties and I want to go into any risk. So I send photos, which are refused for ""scratches"" and a door depression that they are the only ones to see! So I find myself in third parties because of incompetent not ha"&amp;"ving the sole solution to wait for the end of a year of contract (interminable elsewhere). So yes the insurance is not expensive but I do not recommend everyone not to go here, in the end you will waste a lot of time and money!")</f>
        <v>A scandal this insurance. I am in third parties and I want to go into any risk. So I send photos, which are refused for "scratches" and a door depression that they are the only ones to see! So I find myself in third parties because of incompetent not having the sole solution to wait for the end of a year of contract (interminable elsewhere). So yes the insurance is not expensive but I do not recommend everyone not to go here, in the end you will waste a lot of time and money!</v>
      </c>
    </row>
    <row r="389" spans="1:9" ht="15.75" customHeight="1" x14ac:dyDescent="0.3">
      <c r="A389" s="2">
        <v>5</v>
      </c>
      <c r="B389" s="2" t="s">
        <v>1194</v>
      </c>
      <c r="C389" s="2" t="s">
        <v>1195</v>
      </c>
      <c r="D389" s="2" t="s">
        <v>60</v>
      </c>
      <c r="E389" s="2" t="s">
        <v>137</v>
      </c>
      <c r="F389" s="2" t="s">
        <v>15</v>
      </c>
      <c r="G389" s="2" t="s">
        <v>173</v>
      </c>
      <c r="H389" s="2" t="s">
        <v>30</v>
      </c>
      <c r="I389" s="2" t="str">
        <f ca="1">IFERROR(__xludf.DUMMYFUNCTION("GOOGLETRANSLATE(C389,""fr"",""en"")"),"Hello
I would like to sincerely thank Emeline for her warm welcome on the phone (which is very rare) and her information on reimbursements.
Thank you BCP Emeline.")</f>
        <v>Hello
I would like to sincerely thank Emeline for her warm welcome on the phone (which is very rare) and her information on reimbursements.
Thank you BCP Emeline.</v>
      </c>
    </row>
    <row r="390" spans="1:9" ht="15.75" customHeight="1" x14ac:dyDescent="0.3">
      <c r="A390" s="2">
        <v>1</v>
      </c>
      <c r="B390" s="2" t="s">
        <v>1196</v>
      </c>
      <c r="C390" s="2" t="s">
        <v>1197</v>
      </c>
      <c r="D390" s="2" t="s">
        <v>33</v>
      </c>
      <c r="E390" s="2" t="s">
        <v>129</v>
      </c>
      <c r="F390" s="2" t="s">
        <v>15</v>
      </c>
      <c r="G390" s="2" t="s">
        <v>1198</v>
      </c>
      <c r="H390" s="2" t="s">
        <v>347</v>
      </c>
      <c r="I390" s="2" t="str">
        <f ca="1">IFERROR(__xludf.DUMMYFUNCTION("GOOGLETRANSLATE(C390,""fr"",""en"")"),"If vs do not need to subscribe to the Matmut. It is up to the customer to advance the file, to manage with the company mandated by them.")</f>
        <v>If vs do not need to subscribe to the Matmut. It is up to the customer to advance the file, to manage with the company mandated by them.</v>
      </c>
    </row>
    <row r="391" spans="1:9" ht="15.75" customHeight="1" x14ac:dyDescent="0.3">
      <c r="A391" s="2">
        <v>1</v>
      </c>
      <c r="B391" s="2" t="s">
        <v>1199</v>
      </c>
      <c r="C391" s="2" t="s">
        <v>1200</v>
      </c>
      <c r="D391" s="2" t="s">
        <v>219</v>
      </c>
      <c r="E391" s="2" t="s">
        <v>137</v>
      </c>
      <c r="F391" s="2" t="s">
        <v>15</v>
      </c>
      <c r="G391" s="2" t="s">
        <v>1201</v>
      </c>
      <c r="H391" s="2" t="s">
        <v>354</v>
      </c>
      <c r="I391" s="2" t="str">
        <f ca="1">IFERROR(__xludf.DUMMYFUNCTION("GOOGLETRANSLATE(C391,""fr"",""en"")"),"Hello, for a month I have been trying to recover part of life insurance to settle a loan. I still don't have my money. I have a walk between the postal bank and the CNP. I have almost the impression that it is not my money. What to do? The postal bank doe"&amp;"s not even remind me of even reminding me and the CNP is impossible to reach.")</f>
        <v>Hello, for a month I have been trying to recover part of life insurance to settle a loan. I still don't have my money. I have a walk between the postal bank and the CNP. I have almost the impression that it is not my money. What to do? The postal bank does not even remind me of even reminding me and the CNP is impossible to reach.</v>
      </c>
    </row>
    <row r="392" spans="1:9" ht="15.75" customHeight="1" x14ac:dyDescent="0.3">
      <c r="A392" s="2">
        <v>1</v>
      </c>
      <c r="B392" s="2" t="s">
        <v>1202</v>
      </c>
      <c r="C392" s="2" t="s">
        <v>1203</v>
      </c>
      <c r="D392" s="2" t="s">
        <v>28</v>
      </c>
      <c r="E392" s="2" t="s">
        <v>14</v>
      </c>
      <c r="F392" s="2" t="s">
        <v>15</v>
      </c>
      <c r="G392" s="2" t="s">
        <v>1204</v>
      </c>
      <c r="H392" s="2" t="s">
        <v>634</v>
      </c>
      <c r="I392" s="2" t="str">
        <f ca="1">IFERROR(__xludf.DUMMYFUNCTION("GOOGLETRANSLATE(C392,""fr"",""en"")"),"I call for a having a statement of info to maybe to change insurance, I am announced to make me a new offer to avoid changing their asssurance. I pay 40 euros today, it announces 5% discount that makes my monthly payment at 42 euros so more expensive, so "&amp;"amazing, then then redid an offer of 11% so 41 euro, I explain that my monthly payment is currently 40 euro I do not understand and I ask him why and well say we increase all the pricing so my monthly payment should increase to 44 euros not because of my "&amp;"case to me, but because of the rate compared to the region, I find it scandalous Whether we are undergoing an increase on a contract concluded at a precise pricing, therefore accident or not, increase in the price of insurance, and well the olive assuranc"&amp;"e goodbye and I would not advertise you, especially since I I had no claim justifying this increase, when other insurance does not increase its prices for its serious customers!")</f>
        <v>I call for a having a statement of info to maybe to change insurance, I am announced to make me a new offer to avoid changing their asssurance. I pay 40 euros today, it announces 5% discount that makes my monthly payment at 42 euros so more expensive, so amazing, then then redid an offer of 11% so 41 euro, I explain that my monthly payment is currently 40 euro I do not understand and I ask him why and well say we increase all the pricing so my monthly payment should increase to 44 euros not because of my case to me, but because of the rate compared to the region, I find it scandalous Whether we are undergoing an increase on a contract concluded at a precise pricing, therefore accident or not, increase in the price of insurance, and well the olive assurance goodbye and I would not advertise you, especially since I I had no claim justifying this increase, when other insurance does not increase its prices for its serious customers!</v>
      </c>
    </row>
    <row r="393" spans="1:9" ht="15.75" customHeight="1" x14ac:dyDescent="0.3">
      <c r="A393" s="2">
        <v>1</v>
      </c>
      <c r="B393" s="2" t="s">
        <v>1205</v>
      </c>
      <c r="C393" s="2" t="s">
        <v>1206</v>
      </c>
      <c r="D393" s="2" t="s">
        <v>219</v>
      </c>
      <c r="E393" s="2" t="s">
        <v>137</v>
      </c>
      <c r="F393" s="2" t="s">
        <v>15</v>
      </c>
      <c r="G393" s="2" t="s">
        <v>1207</v>
      </c>
      <c r="H393" s="2" t="s">
        <v>228</v>
      </c>
      <c r="I393" s="2" t="str">
        <f ca="1">IFERROR(__xludf.DUMMYFUNCTION("GOOGLETRANSLATE(C393,""fr"",""en"")"),"It's simple I have been in itt since March 5 for acute lymphoblastic leukemia and no reimbursement of the monthly payments of my loan was made. With the 90 days of deficiencies we are 2 months late and no way to have information. Note that I had taken the"&amp;" loan with the Boursorama mortgage which replied that they cannot reach them.
")</f>
        <v xml:space="preserve">It's simple I have been in itt since March 5 for acute lymphoblastic leukemia and no reimbursement of the monthly payments of my loan was made. With the 90 days of deficiencies we are 2 months late and no way to have information. Note that I had taken the loan with the Boursorama mortgage which replied that they cannot reach them.
</v>
      </c>
    </row>
    <row r="394" spans="1:9" ht="15.75" customHeight="1" x14ac:dyDescent="0.3">
      <c r="A394" s="2">
        <v>5</v>
      </c>
      <c r="B394" s="2" t="s">
        <v>1208</v>
      </c>
      <c r="C394" s="2" t="s">
        <v>1209</v>
      </c>
      <c r="D394" s="2" t="s">
        <v>80</v>
      </c>
      <c r="E394" s="2" t="s">
        <v>81</v>
      </c>
      <c r="F394" s="2" t="s">
        <v>15</v>
      </c>
      <c r="G394" s="2" t="s">
        <v>480</v>
      </c>
      <c r="H394" s="2" t="s">
        <v>46</v>
      </c>
      <c r="I394" s="2" t="str">
        <f ca="1">IFERROR(__xludf.DUMMYFUNCTION("GOOGLETRANSLATE(C394,""fr"",""en"")"),"Super simple to use thank you the insurance of the expensive walk for quad or motorcycle thank you cordially Gerard Franck of Auvergne")</f>
        <v>Super simple to use thank you the insurance of the expensive walk for quad or motorcycle thank you cordially Gerard Franck of Auvergne</v>
      </c>
    </row>
    <row r="395" spans="1:9" ht="15.75" customHeight="1" x14ac:dyDescent="0.3">
      <c r="A395" s="2">
        <v>1</v>
      </c>
      <c r="B395" s="2" t="s">
        <v>1210</v>
      </c>
      <c r="C395" s="2" t="s">
        <v>1211</v>
      </c>
      <c r="D395" s="2" t="s">
        <v>326</v>
      </c>
      <c r="E395" s="2" t="s">
        <v>14</v>
      </c>
      <c r="F395" s="2" t="s">
        <v>15</v>
      </c>
      <c r="G395" s="2" t="s">
        <v>1212</v>
      </c>
      <c r="H395" s="2" t="s">
        <v>1213</v>
      </c>
      <c r="I395" s="2" t="str">
        <f ca="1">IFERROR(__xludf.DUMMYFUNCTION("GOOGLETRANSLATE(C395,""fr"",""en"")"),"Agency service (Grenoble) nonexistent: no response to emails, an unreachable agent on the phone, does not recall. Degradation of the service over the past few years (customer for over 30 years)")</f>
        <v>Agency service (Grenoble) nonexistent: no response to emails, an unreachable agent on the phone, does not recall. Degradation of the service over the past few years (customer for over 30 years)</v>
      </c>
    </row>
    <row r="396" spans="1:9" ht="15.75" customHeight="1" x14ac:dyDescent="0.3">
      <c r="A396" s="2">
        <v>3</v>
      </c>
      <c r="B396" s="2" t="s">
        <v>1214</v>
      </c>
      <c r="C396" s="2" t="s">
        <v>1215</v>
      </c>
      <c r="D396" s="2" t="s">
        <v>28</v>
      </c>
      <c r="E396" s="2" t="s">
        <v>14</v>
      </c>
      <c r="F396" s="2" t="s">
        <v>15</v>
      </c>
      <c r="G396" s="2" t="s">
        <v>194</v>
      </c>
      <c r="H396" s="2" t="s">
        <v>83</v>
      </c>
      <c r="I396" s="2" t="str">
        <f ca="1">IFERROR(__xludf.DUMMYFUNCTION("GOOGLETRANSLATE(C396,""fr"",""en"")"),"Satisfied with the service and correct price, but I find it very unfortunate not to be able to immediately ensure in all risks a car in provisional plates")</f>
        <v>Satisfied with the service and correct price, but I find it very unfortunate not to be able to immediately ensure in all risks a car in provisional plates</v>
      </c>
    </row>
    <row r="397" spans="1:9" ht="15.75" customHeight="1" x14ac:dyDescent="0.3">
      <c r="A397" s="2">
        <v>2</v>
      </c>
      <c r="B397" s="2" t="s">
        <v>1216</v>
      </c>
      <c r="C397" s="2" t="s">
        <v>1217</v>
      </c>
      <c r="D397" s="2" t="s">
        <v>60</v>
      </c>
      <c r="E397" s="2" t="s">
        <v>137</v>
      </c>
      <c r="F397" s="2" t="s">
        <v>15</v>
      </c>
      <c r="G397" s="2" t="s">
        <v>844</v>
      </c>
      <c r="H397" s="2" t="s">
        <v>576</v>
      </c>
      <c r="I397" s="2" t="str">
        <f ca="1">IFERROR(__xludf.DUMMYFUNCTION("GOOGLETRANSLATE(C397,""fr"",""en"")"),"Independent consultant, have been at home for 15 years.
3 d hospitalization + 1 week of work stop signed by the hospital ... It was a good test (I had never been sick yet) because that is not enough for them, a ton of form to fill out + Examination repor"&amp;"ts + ... It discouraged me and disgusted from having given them my money for 15 years
Deplorable and antipathetic customer service in addition")</f>
        <v>Independent consultant, have been at home for 15 years.
3 d hospitalization + 1 week of work stop signed by the hospital ... It was a good test (I had never been sick yet) because that is not enough for them, a ton of form to fill out + Examination reports + ... It discouraged me and disgusted from having given them my money for 15 years
Deplorable and antipathetic customer service in addition</v>
      </c>
    </row>
    <row r="398" spans="1:9" ht="15.75" customHeight="1" x14ac:dyDescent="0.3">
      <c r="A398" s="2">
        <v>2</v>
      </c>
      <c r="B398" s="2" t="s">
        <v>1218</v>
      </c>
      <c r="C398" s="2" t="s">
        <v>1219</v>
      </c>
      <c r="D398" s="2" t="s">
        <v>695</v>
      </c>
      <c r="E398" s="2" t="s">
        <v>50</v>
      </c>
      <c r="F398" s="2" t="s">
        <v>15</v>
      </c>
      <c r="G398" s="2" t="s">
        <v>1220</v>
      </c>
      <c r="H398" s="2" t="s">
        <v>374</v>
      </c>
      <c r="I398" s="2" t="str">
        <f ca="1">IFERROR(__xludf.DUMMYFUNCTION("GOOGLETRANSLATE(C398,""fr"",""en"")"),"I subscribed to this insurance via Demahage Telephonique, everything was very quickly we feel limited to say yes so much they harass us, everything is done by phone I receive my contract by email, changing my mind I use My right of withdrawal, be careful "&amp;"firstly I am indicated that I can only do it by recommended so we can subscribe by phone but we must terminate by mail only. So I send the mail I call to make sure of his good reception and my refund of the entire sum I had paid, advise her informs me tha"&amp;"t the reimbursement should be donated in the week, After 2 weeks still nothing, so I call another time to find out what he is going back and advise it that I have informed that following an error on their part (to bring there is no delay by Against for th"&amp;"e reimbursement there is no one anymore) the transfer had still not left and icing on the cake I am only reimbursed for the amount (thing that we only take care of you), I advise you to flee like the plague is limited to extortion. Cordially")</f>
        <v>I subscribed to this insurance via Demahage Telephonique, everything was very quickly we feel limited to say yes so much they harass us, everything is done by phone I receive my contract by email, changing my mind I use My right of withdrawal, be careful firstly I am indicated that I can only do it by recommended so we can subscribe by phone but we must terminate by mail only. So I send the mail I call to make sure of his good reception and my refund of the entire sum I had paid, advise her informs me that the reimbursement should be donated in the week, After 2 weeks still nothing, so I call another time to find out what he is going back and advise it that I have informed that following an error on their part (to bring there is no delay by Against for the reimbursement there is no one anymore) the transfer had still not left and icing on the cake I am only reimbursed for the amount (thing that we only take care of you), I advise you to flee like the plague is limited to extortion. Cordially</v>
      </c>
    </row>
    <row r="399" spans="1:9" ht="15.75" customHeight="1" x14ac:dyDescent="0.3">
      <c r="A399" s="2">
        <v>1</v>
      </c>
      <c r="B399" s="2" t="s">
        <v>1221</v>
      </c>
      <c r="C399" s="2" t="s">
        <v>1222</v>
      </c>
      <c r="D399" s="2" t="s">
        <v>394</v>
      </c>
      <c r="E399" s="2" t="s">
        <v>129</v>
      </c>
      <c r="F399" s="2" t="s">
        <v>15</v>
      </c>
      <c r="G399" s="2" t="s">
        <v>725</v>
      </c>
      <c r="H399" s="2" t="s">
        <v>21</v>
      </c>
      <c r="I399" s="2" t="str">
        <f ca="1">IFERROR(__xludf.DUMMYFUNCTION("GOOGLETRANSLATE(C399,""fr"",""en"")"),"I note 0
Unacceptable
I phone my mom admitted to nursing homes, very weakened, very tired
I just wish information concerning if possible attestation of civil liability and the person at the end of the son answers me in a loop: not possible to give info"&amp;"rmation, it is up to my mom to make the request
I just want to know if it is done
And in a loop, it is the concerned who must call
Mom already has 2 home contracts at SOGESSUR
Inhuman this answer
Robots that answer
In fact from the start I should ha"&amp;"ve passed for my mom
It makes no sense
Really zero")</f>
        <v>I note 0
Unacceptable
I phone my mom admitted to nursing homes, very weakened, very tired
I just wish information concerning if possible attestation of civil liability and the person at the end of the son answers me in a loop: not possible to give information, it is up to my mom to make the request
I just want to know if it is done
And in a loop, it is the concerned who must call
Mom already has 2 home contracts at SOGESSUR
Inhuman this answer
Robots that answer
In fact from the start I should have passed for my mom
It makes no sense
Really zero</v>
      </c>
    </row>
    <row r="400" spans="1:9" ht="15.75" customHeight="1" x14ac:dyDescent="0.3">
      <c r="A400" s="2">
        <v>4</v>
      </c>
      <c r="B400" s="2" t="s">
        <v>1223</v>
      </c>
      <c r="C400" s="2" t="s">
        <v>1224</v>
      </c>
      <c r="D400" s="2" t="s">
        <v>13</v>
      </c>
      <c r="E400" s="2" t="s">
        <v>14</v>
      </c>
      <c r="F400" s="2" t="s">
        <v>15</v>
      </c>
      <c r="G400" s="2" t="s">
        <v>1225</v>
      </c>
      <c r="H400" s="2" t="s">
        <v>248</v>
      </c>
      <c r="I400" s="2" t="str">
        <f ca="1">IFERROR(__xludf.DUMMYFUNCTION("GOOGLETRANSLATE(C400,""fr"",""en"")"),"Fast and efficient, the online opinion request is very simplified and allows you to project yourself. Thus, it is easier to compare guarantees with other providers.")</f>
        <v>Fast and efficient, the online opinion request is very simplified and allows you to project yourself. Thus, it is easier to compare guarantees with other providers.</v>
      </c>
    </row>
    <row r="401" spans="1:9" ht="15.75" customHeight="1" x14ac:dyDescent="0.3">
      <c r="A401" s="2">
        <v>5</v>
      </c>
      <c r="B401" s="2" t="s">
        <v>1226</v>
      </c>
      <c r="C401" s="2" t="s">
        <v>1227</v>
      </c>
      <c r="D401" s="2" t="s">
        <v>190</v>
      </c>
      <c r="E401" s="2" t="s">
        <v>14</v>
      </c>
      <c r="F401" s="2" t="s">
        <v>15</v>
      </c>
      <c r="G401" s="2" t="s">
        <v>377</v>
      </c>
      <c r="H401" s="2" t="s">
        <v>17</v>
      </c>
      <c r="I401" s="2" t="str">
        <f ca="1">IFERROR(__xludf.DUMMYFUNCTION("GOOGLETRANSLATE(C401,""fr"",""en"")"),"I am very satisfied, GMF and attentive, professional and responsive. Good support. I advise this insurance company and I am very satisfied.
")</f>
        <v xml:space="preserve">I am very satisfied, GMF and attentive, professional and responsive. Good support. I advise this insurance company and I am very satisfied.
</v>
      </c>
    </row>
    <row r="402" spans="1:9" ht="15.75" customHeight="1" x14ac:dyDescent="0.3">
      <c r="A402" s="2">
        <v>4</v>
      </c>
      <c r="B402" s="2" t="s">
        <v>1228</v>
      </c>
      <c r="C402" s="2" t="s">
        <v>1229</v>
      </c>
      <c r="D402" s="2" t="s">
        <v>80</v>
      </c>
      <c r="E402" s="2" t="s">
        <v>81</v>
      </c>
      <c r="F402" s="2" t="s">
        <v>15</v>
      </c>
      <c r="G402" s="2" t="s">
        <v>1230</v>
      </c>
      <c r="H402" s="2" t="s">
        <v>21</v>
      </c>
      <c r="I402" s="2" t="str">
        <f ca="1">IFERROR(__xludf.DUMMYFUNCTION("GOOGLETRANSLATE(C402,""fr"",""en"")"),"I am satisfied with the service very well I recommend to everyone insurance company which very well understands the needs of bikers !!!!!!!!!!!!")</f>
        <v>I am satisfied with the service very well I recommend to everyone insurance company which very well understands the needs of bikers !!!!!!!!!!!!</v>
      </c>
    </row>
    <row r="403" spans="1:9" ht="15.75" customHeight="1" x14ac:dyDescent="0.3">
      <c r="A403" s="2">
        <v>1</v>
      </c>
      <c r="B403" s="2" t="s">
        <v>1231</v>
      </c>
      <c r="C403" s="2" t="s">
        <v>1232</v>
      </c>
      <c r="D403" s="2" t="s">
        <v>326</v>
      </c>
      <c r="E403" s="2" t="s">
        <v>14</v>
      </c>
      <c r="F403" s="2" t="s">
        <v>15</v>
      </c>
      <c r="G403" s="2" t="s">
        <v>1233</v>
      </c>
      <c r="H403" s="2" t="s">
        <v>17</v>
      </c>
      <c r="I403" s="2" t="str">
        <f ca="1">IFERROR(__xludf.DUMMYFUNCTION("GOOGLETRANSLATE(C403,""fr"",""en"")"),"Since May, I saw what I deem to be a drama with AXA with whom I have several insurances. Indeed, my vehicle was vandalized in the south of France while I was traveling. Following which I declared everything in time and sent my complaint to Axa, and that h"&amp;"appened to date on May 16. However, there was only expertise on May 19. Then, after several reminders, an expert opinion was filed on June 15. However, contrary to what my contract stipulated, I did not have a replacement vehicle and continued to pay the "&amp;"costs inherent in a vehicle which seems to be a wreck in what the expert would have told me. So I had to buy a extra vehicle with additional insurance, and this at my expense in addition to the monthly and insurance monthly insurance.
The explanation for"&amp;" this would be that an investigation was opened on me and that the file would be blocked by the study and prevention service, so they would come back to me when the time comes. I even received an inspector in July who explained to me that insurance was wo"&amp;"rried about a possible fraud, hence the investigation and that for him everything was good then the file should take his course. It would be appropriate to notify that the vehicle was injured in January following the loan of it to a person who was also au"&amp;"ditioned by the inspector. However, despite all the parts provided and my good faith, still no return.
It was then that I turned to my legal assistance (jurisica) in the hope of getting things done. The first time, they tell me that I can do nothing befo"&amp;"re a period of 3 months and that insurance is under its right. After 3 months, advise me to make a registered letter by quoting an article in the insurance code, saying that the insurer would be obliged to compensate me past this period. To which Axa repl"&amp;"ies that this is only valid in the context of natural disasters, and that they are not held by any delay in my case, they would return to me. I back again to juricica by giving them this answer, and there surprised, I am informed that the entity being par"&amp;"t of the AXA group, there would be conflict of interest and that I have the right to make myself assisted A lawyer, payable by juricica according to my contract.
Something that in doubt I had already done, and the lawyer rather guided me rather towards a"&amp;" referral as a mediator before a formal notice. Judica informed me in the end that I should have an answer no later than September 20, but once online, it is said to be contacting me, and more news. By the way, the lawyer's consultation does not take into"&amp;" account in their refund ultimately either.
soon to last 5 months and I find it abused")</f>
        <v>Since May, I saw what I deem to be a drama with AXA with whom I have several insurances. Indeed, my vehicle was vandalized in the south of France while I was traveling. Following which I declared everything in time and sent my complaint to Axa, and that happened to date on May 16. However, there was only expertise on May 19. Then, after several reminders, an expert opinion was filed on June 15. However, contrary to what my contract stipulated, I did not have a replacement vehicle and continued to pay the costs inherent in a vehicle which seems to be a wreck in what the expert would have told me. So I had to buy a extra vehicle with additional insurance, and this at my expense in addition to the monthly and insurance monthly insurance.
The explanation for this would be that an investigation was opened on me and that the file would be blocked by the study and prevention service, so they would come back to me when the time comes. I even received an inspector in July who explained to me that insurance was worried about a possible fraud, hence the investigation and that for him everything was good then the file should take his course. It would be appropriate to notify that the vehicle was injured in January following the loan of it to a person who was also auditioned by the inspector. However, despite all the parts provided and my good faith, still no return.
It was then that I turned to my legal assistance (jurisica) in the hope of getting things done. The first time, they tell me that I can do nothing before a period of 3 months and that insurance is under its right. After 3 months, advise me to make a registered letter by quoting an article in the insurance code, saying that the insurer would be obliged to compensate me past this period. To which Axa replies that this is only valid in the context of natural disasters, and that they are not held by any delay in my case, they would return to me. I back again to juricica by giving them this answer, and there surprised, I am informed that the entity being part of the AXA group, there would be conflict of interest and that I have the right to make myself assisted A lawyer, payable by juricica according to my contract.
Something that in doubt I had already done, and the lawyer rather guided me rather towards a referral as a mediator before a formal notice. Judica informed me in the end that I should have an answer no later than September 20, but once online, it is said to be contacting me, and more news. By the way, the lawyer's consultation does not take into account in their refund ultimately either.
soon to last 5 months and I find it abused</v>
      </c>
    </row>
    <row r="404" spans="1:9" ht="15.75" customHeight="1" x14ac:dyDescent="0.3">
      <c r="A404" s="2">
        <v>1</v>
      </c>
      <c r="B404" s="2" t="s">
        <v>1234</v>
      </c>
      <c r="C404" s="2" t="s">
        <v>1235</v>
      </c>
      <c r="D404" s="2" t="s">
        <v>38</v>
      </c>
      <c r="E404" s="2" t="s">
        <v>39</v>
      </c>
      <c r="F404" s="2" t="s">
        <v>15</v>
      </c>
      <c r="G404" s="2" t="s">
        <v>993</v>
      </c>
      <c r="H404" s="2" t="s">
        <v>994</v>
      </c>
      <c r="I404" s="2" t="str">
        <f ca="1">IFERROR(__xludf.DUMMYFUNCTION("GOOGLETRANSLATE(C404,""fr"",""en"")"),"Canvassing in forcing ""An anomaly has been detected on your health reimbursements"", supposedly on the part of the French Mutuality. In addition on a red list. Who sold you my phone number? 2nd call, reported to Bloctel.")</f>
        <v>Canvassing in forcing "An anomaly has been detected on your health reimbursements", supposedly on the part of the French Mutuality. In addition on a red list. Who sold you my phone number? 2nd call, reported to Bloctel.</v>
      </c>
    </row>
    <row r="405" spans="1:9" ht="15.75" customHeight="1" x14ac:dyDescent="0.3">
      <c r="A405" s="2">
        <v>2</v>
      </c>
      <c r="B405" s="2" t="s">
        <v>1236</v>
      </c>
      <c r="C405" s="2" t="s">
        <v>1237</v>
      </c>
      <c r="D405" s="2" t="s">
        <v>128</v>
      </c>
      <c r="E405" s="2" t="s">
        <v>14</v>
      </c>
      <c r="F405" s="2" t="s">
        <v>15</v>
      </c>
      <c r="G405" s="2" t="s">
        <v>748</v>
      </c>
      <c r="H405" s="2" t="s">
        <v>83</v>
      </c>
      <c r="I405" s="2" t="str">
        <f ca="1">IFERROR(__xludf.DUMMYFUNCTION("GOOGLETRANSLATE(C405,""fr"",""en"")"),"Despite my request repeated several times when changing my contract, following a change of vehicle, to be well informed of any direct debit so as not to be discovered I discovered the levy from my account statement without having them been informed.")</f>
        <v>Despite my request repeated several times when changing my contract, following a change of vehicle, to be well informed of any direct debit so as not to be discovered I discovered the levy from my account statement without having them been informed.</v>
      </c>
    </row>
    <row r="406" spans="1:9" ht="15.75" customHeight="1" x14ac:dyDescent="0.3">
      <c r="A406" s="2">
        <v>3</v>
      </c>
      <c r="B406" s="2" t="s">
        <v>1238</v>
      </c>
      <c r="C406" s="2" t="s">
        <v>1239</v>
      </c>
      <c r="D406" s="2" t="s">
        <v>38</v>
      </c>
      <c r="E406" s="2" t="s">
        <v>39</v>
      </c>
      <c r="F406" s="2" t="s">
        <v>15</v>
      </c>
      <c r="G406" s="2" t="s">
        <v>1109</v>
      </c>
      <c r="H406" s="2" t="s">
        <v>30</v>
      </c>
      <c r="I406" s="2" t="str">
        <f ca="1">IFERROR(__xludf.DUMMYFUNCTION("GOOGLETRANSLATE(C406,""fr"",""en"")"),"Hello, Emilie's information was very clear and very fast. So I am completely satisfied with his performance. With my best feelings, François PRECHER, member 502456")</f>
        <v>Hello, Emilie's information was very clear and very fast. So I am completely satisfied with his performance. With my best feelings, François PRECHER, member 502456</v>
      </c>
    </row>
    <row r="407" spans="1:9" ht="15.75" customHeight="1" x14ac:dyDescent="0.3">
      <c r="A407" s="2">
        <v>2</v>
      </c>
      <c r="B407" s="2" t="s">
        <v>1240</v>
      </c>
      <c r="C407" s="2" t="s">
        <v>1241</v>
      </c>
      <c r="D407" s="2" t="s">
        <v>1242</v>
      </c>
      <c r="E407" s="2" t="s">
        <v>101</v>
      </c>
      <c r="F407" s="2" t="s">
        <v>15</v>
      </c>
      <c r="G407" s="2" t="s">
        <v>1243</v>
      </c>
      <c r="H407" s="2" t="s">
        <v>448</v>
      </c>
      <c r="I407" s="2" t="str">
        <f ca="1">IFERROR(__xludf.DUMMYFUNCTION("GOOGLETRANSLATE(C407,""fr"",""en"")"),"Pay pay. I stay he look for little beasts. After an AT I wanted to resume work twice. And they don't like it, he tries to fall asleep. I made an appointment with a lawyer so that it clearly explained it.")</f>
        <v>Pay pay. I stay he look for little beasts. After an AT I wanted to resume work twice. And they don't like it, he tries to fall asleep. I made an appointment with a lawyer so that it clearly explained it.</v>
      </c>
    </row>
    <row r="408" spans="1:9" ht="15.75" customHeight="1" x14ac:dyDescent="0.3">
      <c r="A408" s="2">
        <v>1</v>
      </c>
      <c r="B408" s="2" t="s">
        <v>1244</v>
      </c>
      <c r="C408" s="2" t="s">
        <v>1245</v>
      </c>
      <c r="D408" s="2" t="s">
        <v>623</v>
      </c>
      <c r="E408" s="2" t="s">
        <v>101</v>
      </c>
      <c r="F408" s="2" t="s">
        <v>15</v>
      </c>
      <c r="G408" s="2" t="s">
        <v>1246</v>
      </c>
      <c r="H408" s="2" t="s">
        <v>557</v>
      </c>
      <c r="I408" s="2" t="str">
        <f ca="1">IFERROR(__xludf.DUMMYFUNCTION("GOOGLETRANSLATE(C408,""fr"",""en"")"),"I join the big family of cardif insurance decu I am passing invalidity 2 category on 1 11 2016 and requests to take care of my invalidity he replied yes but he took sickness in places of invalidity for 12 months Courier de their by as what he stops compen"&amp;"sating because I was not in total permanent invalidity to be done I asked to pass an expertise with their doctor recognized him my to have not yet been enough you have to be itpa so I still asks me who laughs at your")</f>
        <v>I join the big family of cardif insurance decu I am passing invalidity 2 category on 1 11 2016 and requests to take care of my invalidity he replied yes but he took sickness in places of invalidity for 12 months Courier de their by as what he stops compensating because I was not in total permanent invalidity to be done I asked to pass an expertise with their doctor recognized him my to have not yet been enough you have to be itpa so I still asks me who laughs at your</v>
      </c>
    </row>
    <row r="409" spans="1:9" ht="15.75" customHeight="1" x14ac:dyDescent="0.3">
      <c r="A409" s="2">
        <v>4</v>
      </c>
      <c r="B409" s="2" t="s">
        <v>1247</v>
      </c>
      <c r="C409" s="2" t="s">
        <v>1248</v>
      </c>
      <c r="D409" s="2" t="s">
        <v>28</v>
      </c>
      <c r="E409" s="2" t="s">
        <v>14</v>
      </c>
      <c r="F409" s="2" t="s">
        <v>15</v>
      </c>
      <c r="G409" s="2" t="s">
        <v>1114</v>
      </c>
      <c r="H409" s="2" t="s">
        <v>17</v>
      </c>
      <c r="I409" s="2" t="str">
        <f ca="1">IFERROR(__xludf.DUMMYFUNCTION("GOOGLETRANSLATE(C409,""fr"",""en"")"),"The prices are very interesting, it remains to be seen the quality of the service. For a car that runs little or at the end of his life the minimum insurance is very interesting.")</f>
        <v>The prices are very interesting, it remains to be seen the quality of the service. For a car that runs little or at the end of his life the minimum insurance is very interesting.</v>
      </c>
    </row>
    <row r="410" spans="1:9" ht="15.75" customHeight="1" x14ac:dyDescent="0.3">
      <c r="A410" s="2">
        <v>4</v>
      </c>
      <c r="B410" s="2" t="s">
        <v>1249</v>
      </c>
      <c r="C410" s="2" t="s">
        <v>1250</v>
      </c>
      <c r="D410" s="2" t="s">
        <v>28</v>
      </c>
      <c r="E410" s="2" t="s">
        <v>14</v>
      </c>
      <c r="F410" s="2" t="s">
        <v>15</v>
      </c>
      <c r="G410" s="2" t="s">
        <v>1251</v>
      </c>
      <c r="H410" s="2" t="s">
        <v>83</v>
      </c>
      <c r="I410" s="2" t="str">
        <f ca="1">IFERROR(__xludf.DUMMYFUNCTION("GOOGLETRANSLATE(C410,""fr"",""en"")"),"Disposition difficult to accept when we are already a customer.
This is sometimes difficult to finance. Review this part. OK for new customer..inon super contact advisor")</f>
        <v>Disposition difficult to accept when we are already a customer.
This is sometimes difficult to finance. Review this part. OK for new customer..inon super contact advisor</v>
      </c>
    </row>
    <row r="411" spans="1:9" ht="15.75" customHeight="1" x14ac:dyDescent="0.3">
      <c r="A411" s="2">
        <v>2</v>
      </c>
      <c r="B411" s="2" t="s">
        <v>1252</v>
      </c>
      <c r="C411" s="2" t="s">
        <v>1253</v>
      </c>
      <c r="D411" s="2" t="s">
        <v>394</v>
      </c>
      <c r="E411" s="2" t="s">
        <v>129</v>
      </c>
      <c r="F411" s="2" t="s">
        <v>15</v>
      </c>
      <c r="G411" s="2" t="s">
        <v>1254</v>
      </c>
      <c r="H411" s="2" t="s">
        <v>216</v>
      </c>
      <c r="I411" s="2" t="str">
        <f ca="1">IFERROR(__xludf.DUMMYFUNCTION("GOOGLETRANSLATE(C411,""fr"",""en"")"),"Following a water damage to me, the expert's report was sent on December 27, 2018. Since none news from Sogessur Habitation. And no way to contact them on 09 69 327 326: an answering machine who claims that all their advisers are occupied! And this for da"&amp;"ys! It's a shame !!! And obviously, to read some comments on this insurance, I am not the only one!")</f>
        <v>Following a water damage to me, the expert's report was sent on December 27, 2018. Since none news from Sogessur Habitation. And no way to contact them on 09 69 327 326: an answering machine who claims that all their advisers are occupied! And this for days! It's a shame !!! And obviously, to read some comments on this insurance, I am not the only one!</v>
      </c>
    </row>
    <row r="412" spans="1:9" ht="15.75" customHeight="1" x14ac:dyDescent="0.3">
      <c r="A412" s="2">
        <v>1</v>
      </c>
      <c r="B412" s="2" t="s">
        <v>1255</v>
      </c>
      <c r="C412" s="2" t="s">
        <v>1256</v>
      </c>
      <c r="D412" s="2" t="s">
        <v>65</v>
      </c>
      <c r="E412" s="2" t="s">
        <v>129</v>
      </c>
      <c r="F412" s="2" t="s">
        <v>15</v>
      </c>
      <c r="G412" s="2" t="s">
        <v>1257</v>
      </c>
      <c r="H412" s="2" t="s">
        <v>1058</v>
      </c>
      <c r="I412" s="2" t="str">
        <f ca="1">IFERROR(__xludf.DUMMYFUNCTION("GOOGLETRANSLATE(C412,""fr"",""en"")"),"Frigo hs by lightning, I warn my insurance which ok do not hesitate to buy a fridge, I buy on Cdiscoun and, and later I am sent to have papers to be filled by the seller so that he filled An observation for the origin of the breakdown ???? How already sen"&amp;"t the old fridge to Cdiscoun ?? Allianz and I have been at home for at least 15 years and a tele had been changed, in 15 years.")</f>
        <v>Frigo hs by lightning, I warn my insurance which ok do not hesitate to buy a fridge, I buy on Cdiscoun and, and later I am sent to have papers to be filled by the seller so that he filled An observation for the origin of the breakdown ???? How already sent the old fridge to Cdiscoun ?? Allianz and I have been at home for at least 15 years and a tele had been changed, in 15 years.</v>
      </c>
    </row>
    <row r="413" spans="1:9" ht="15.75" customHeight="1" x14ac:dyDescent="0.3">
      <c r="A413" s="2">
        <v>1</v>
      </c>
      <c r="B413" s="2" t="s">
        <v>1258</v>
      </c>
      <c r="C413" s="2" t="s">
        <v>1259</v>
      </c>
      <c r="D413" s="2" t="s">
        <v>33</v>
      </c>
      <c r="E413" s="2" t="s">
        <v>14</v>
      </c>
      <c r="F413" s="2" t="s">
        <v>15</v>
      </c>
      <c r="G413" s="2" t="s">
        <v>1260</v>
      </c>
      <c r="H413" s="2" t="s">
        <v>46</v>
      </c>
      <c r="I413" s="2" t="str">
        <f ca="1">IFERROR(__xludf.DUMMYFUNCTION("GOOGLETRANSLATE(C413,""fr"",""en"")"),"1 star because I can't put Zero !!!
Subscriber for more than 30 years to this insurance and having had up to 9 simultaneous contracts at home I decided to flee them.
Following the purchase of a new vehicle These last made me 3 different quotes in the sp"&amp;"ace of 1 month between the first contact and my final choice, necessarily the most expensive in last: Delta 250 € 00 annual. Despite my request for an explanation and mail mail no explanation worthy of the name is brought to justify the differences betwee"&amp;"n the quotes.
Taken by time I decide to validate it despite everything, and I realize that this vehicle was insured in place of my second vehicle !!! So second without insurance !!
After many strokes of such an advisor agrees to listen to my problem and"&amp;" ensures this second vehicle in the name of my minor son MDR at an exorbitant price!
I therefore replace my insurance to put it back as at the start.
Faced with the lack of consideration of this box for these customers I decide to terminate my insurance"&amp;" at their home and there icing on the cake they announce that this termination is impossible reason the contract was not 1 year for info it was assured at them for 2 years !!! explanation not the same contract number
In short world champion la matmut
Ar"&amp;"e the times too complicated to put your customers to sleep in this way?
In short, flee if you don't want to worry after more than 30 years to pay the bills monthly.
")</f>
        <v xml:space="preserve">1 star because I can't put Zero !!!
Subscriber for more than 30 years to this insurance and having had up to 9 simultaneous contracts at home I decided to flee them.
Following the purchase of a new vehicle These last made me 3 different quotes in the space of 1 month between the first contact and my final choice, necessarily the most expensive in last: Delta 250 € 00 annual. Despite my request for an explanation and mail mail no explanation worthy of the name is brought to justify the differences between the quotes.
Taken by time I decide to validate it despite everything, and I realize that this vehicle was insured in place of my second vehicle !!! So second without insurance !!
After many strokes of such an advisor agrees to listen to my problem and ensures this second vehicle in the name of my minor son MDR at an exorbitant price!
I therefore replace my insurance to put it back as at the start.
Faced with the lack of consideration of this box for these customers I decide to terminate my insurance at their home and there icing on the cake they announce that this termination is impossible reason the contract was not 1 year for info it was assured at them for 2 years !!! explanation not the same contract number
In short world champion la matmut
Are the times too complicated to put your customers to sleep in this way?
In short, flee if you don't want to worry after more than 30 years to pay the bills monthly.
</v>
      </c>
    </row>
    <row r="414" spans="1:9" ht="15.75" customHeight="1" x14ac:dyDescent="0.3">
      <c r="A414" s="2">
        <v>1</v>
      </c>
      <c r="B414" s="2" t="s">
        <v>1261</v>
      </c>
      <c r="C414" s="2" t="s">
        <v>1262</v>
      </c>
      <c r="D414" s="2" t="s">
        <v>326</v>
      </c>
      <c r="E414" s="2" t="s">
        <v>14</v>
      </c>
      <c r="F414" s="2" t="s">
        <v>15</v>
      </c>
      <c r="G414" s="2" t="s">
        <v>1263</v>
      </c>
      <c r="H414" s="2" t="s">
        <v>381</v>
      </c>
      <c r="I414" s="2" t="str">
        <f ca="1">IFERROR(__xludf.DUMMYFUNCTION("GOOGLETRANSLATE(C414,""fr"",""en"")"),"Refuse to compensate vehicle assured all risks on the pretext of a false declaration. A countexpertise took place AXA refuses to take it into account.
Customer for 20 years")</f>
        <v>Refuse to compensate vehicle assured all risks on the pretext of a false declaration. A countexpertise took place AXA refuses to take it into account.
Customer for 20 years</v>
      </c>
    </row>
    <row r="415" spans="1:9" ht="15.75" customHeight="1" x14ac:dyDescent="0.3">
      <c r="A415" s="2">
        <v>2</v>
      </c>
      <c r="B415" s="2" t="s">
        <v>1264</v>
      </c>
      <c r="C415" s="2" t="s">
        <v>1265</v>
      </c>
      <c r="D415" s="2" t="s">
        <v>13</v>
      </c>
      <c r="E415" s="2" t="s">
        <v>14</v>
      </c>
      <c r="F415" s="2" t="s">
        <v>15</v>
      </c>
      <c r="G415" s="2" t="s">
        <v>86</v>
      </c>
      <c r="H415" s="2" t="s">
        <v>71</v>
      </c>
      <c r="I415" s="2" t="str">
        <f ca="1">IFERROR(__xludf.DUMMYFUNCTION("GOOGLETRANSLATE(C415,""fr"",""en"")"),"I realize and accept an all -risk quote at 274.75 and during payment it increases at € 312. As the first monthly payment is paid via bank card
Impossible to know the why of such a gap!")</f>
        <v>I realize and accept an all -risk quote at 274.75 and during payment it increases at € 312. As the first monthly payment is paid via bank card
Impossible to know the why of such a gap!</v>
      </c>
    </row>
    <row r="416" spans="1:9" ht="15.75" customHeight="1" x14ac:dyDescent="0.3">
      <c r="A416" s="2">
        <v>2</v>
      </c>
      <c r="B416" s="2" t="s">
        <v>1266</v>
      </c>
      <c r="C416" s="2" t="s">
        <v>1267</v>
      </c>
      <c r="D416" s="2" t="s">
        <v>310</v>
      </c>
      <c r="E416" s="2" t="s">
        <v>14</v>
      </c>
      <c r="F416" s="2" t="s">
        <v>15</v>
      </c>
      <c r="G416" s="2" t="s">
        <v>1268</v>
      </c>
      <c r="H416" s="2" t="s">
        <v>381</v>
      </c>
      <c r="I416" s="2" t="str">
        <f ca="1">IFERROR(__xludf.DUMMYFUNCTION("GOOGLETRANSLATE(C416,""fr"",""en"")"),"Insured for several years without accident, reduction 50%++++, for 2 cars
Then 2 accidents in 3 years and contract terminated without warning !!!!!!
Correct price but you must not have an accident")</f>
        <v>Insured for several years without accident, reduction 50%++++, for 2 cars
Then 2 accidents in 3 years and contract terminated without warning !!!!!!
Correct price but you must not have an accident</v>
      </c>
    </row>
    <row r="417" spans="1:9" ht="15.75" customHeight="1" x14ac:dyDescent="0.3">
      <c r="A417" s="2">
        <v>5</v>
      </c>
      <c r="B417" s="2" t="s">
        <v>1269</v>
      </c>
      <c r="C417" s="2" t="s">
        <v>1270</v>
      </c>
      <c r="D417" s="2" t="s">
        <v>13</v>
      </c>
      <c r="E417" s="2" t="s">
        <v>14</v>
      </c>
      <c r="F417" s="2" t="s">
        <v>15</v>
      </c>
      <c r="G417" s="2" t="s">
        <v>1271</v>
      </c>
      <c r="H417" s="2" t="s">
        <v>71</v>
      </c>
      <c r="I417" s="2" t="str">
        <f ca="1">IFERROR(__xludf.DUMMYFUNCTION("GOOGLETRANSLATE(C417,""fr"",""en"")"),"ALL IS CORRECT
For direct contacts on the phone, good reception and very friendly, fast and competent advisor
Competitive price although a little bit high")</f>
        <v>ALL IS CORRECT
For direct contacts on the phone, good reception and very friendly, fast and competent advisor
Competitive price although a little bit high</v>
      </c>
    </row>
    <row r="418" spans="1:9" ht="15.75" customHeight="1" x14ac:dyDescent="0.3">
      <c r="A418" s="2">
        <v>5</v>
      </c>
      <c r="B418" s="2" t="s">
        <v>1272</v>
      </c>
      <c r="C418" s="2" t="s">
        <v>1273</v>
      </c>
      <c r="D418" s="2" t="s">
        <v>28</v>
      </c>
      <c r="E418" s="2" t="s">
        <v>14</v>
      </c>
      <c r="F418" s="2" t="s">
        <v>15</v>
      </c>
      <c r="G418" s="2" t="s">
        <v>1274</v>
      </c>
      <c r="H418" s="2" t="s">
        <v>181</v>
      </c>
      <c r="I418" s="2" t="str">
        <f ca="1">IFERROR(__xludf.DUMMYFUNCTION("GOOGLETRANSLATE(C418,""fr"",""en"")"),"Good global customer experience for this first contract with the olive tree for the part of commercial monitoring. This is an opinion is currently incomplete since I have not yet had a claim requiring the intervention of the olive tree. And I hope I don't"&amp;" need it soon ... But if necessary, I hope they will be at the Energy Investment Meeting, that their current expense in their customer experience.")</f>
        <v>Good global customer experience for this first contract with the olive tree for the part of commercial monitoring. This is an opinion is currently incomplete since I have not yet had a claim requiring the intervention of the olive tree. And I hope I don't need it soon ... But if necessary, I hope they will be at the Energy Investment Meeting, that their current expense in their customer experience.</v>
      </c>
    </row>
    <row r="419" spans="1:9" ht="15.75" customHeight="1" x14ac:dyDescent="0.3">
      <c r="A419" s="2">
        <v>1</v>
      </c>
      <c r="B419" s="2" t="s">
        <v>1275</v>
      </c>
      <c r="C419" s="2" t="s">
        <v>1276</v>
      </c>
      <c r="D419" s="2" t="s">
        <v>13</v>
      </c>
      <c r="E419" s="2" t="s">
        <v>14</v>
      </c>
      <c r="F419" s="2" t="s">
        <v>15</v>
      </c>
      <c r="G419" s="2" t="s">
        <v>224</v>
      </c>
      <c r="H419" s="2" t="s">
        <v>224</v>
      </c>
      <c r="I419" s="2" t="str">
        <f ca="1">IFERROR(__xludf.DUMMYFUNCTION("GOOGLETRANSLATE(C419,""fr"",""en"")"),"I have been assured at Direct Insurance for over 4 years. I recently recently recently made my opinion at 1500 EUR/year for a scenic. Finding the high invoice, I decide to compete on lelynx.fr by registering exactly the same criteria ... To my surprise I "&amp;"receive a direct insurance quote at 870 EUR / year for the same vehicle with the same services and guarantees !! I call customer service to ask for explanations. The 1st unscrupulously lies me ""not the same vehicle"", ""no 2nd driver"" ... everything is "&amp;"wrong, but the guy is not disassembled ... 2 days later I receive the call of a manager, Who says ""yes there is a computer bp, I go back to my management ... our sense of customer service ... blablabla ...."". In short, still nothing, on the other hand t"&amp;"hey take me well 128 EUR/month and always no explanation which justifies the gap from single to double almost! ... I advise all the insured to make a new quote! You risk being surprised! In summary flee !!")</f>
        <v>I have been assured at Direct Insurance for over 4 years. I recently recently recently made my opinion at 1500 EUR/year for a scenic. Finding the high invoice, I decide to compete on lelynx.fr by registering exactly the same criteria ... To my surprise I receive a direct insurance quote at 870 EUR / year for the same vehicle with the same services and guarantees !! I call customer service to ask for explanations. The 1st unscrupulously lies me "not the same vehicle", "no 2nd driver" ... everything is wrong, but the guy is not disassembled ... 2 days later I receive the call of a manager, Who says "yes there is a computer bp, I go back to my management ... our sense of customer service ... blablabla ....". In short, still nothing, on the other hand they take me well 128 EUR/month and always no explanation which justifies the gap from single to double almost! ... I advise all the insured to make a new quote! You risk being surprised! In summary flee !!</v>
      </c>
    </row>
    <row r="420" spans="1:9" ht="15.75" customHeight="1" x14ac:dyDescent="0.3">
      <c r="A420" s="2">
        <v>5</v>
      </c>
      <c r="B420" s="2" t="s">
        <v>1277</v>
      </c>
      <c r="C420" s="2" t="s">
        <v>1278</v>
      </c>
      <c r="D420" s="2" t="s">
        <v>493</v>
      </c>
      <c r="E420" s="2" t="s">
        <v>101</v>
      </c>
      <c r="F420" s="2" t="s">
        <v>15</v>
      </c>
      <c r="G420" s="2" t="s">
        <v>487</v>
      </c>
      <c r="H420" s="2" t="s">
        <v>30</v>
      </c>
      <c r="I420" s="2" t="str">
        <f ca="1">IFERROR(__xludf.DUMMYFUNCTION("GOOGLETRANSLATE(C420,""fr"",""en"")"),"I am satisfied with the monitoring and prices and quality service of stakeholders and their professionalism, I recommend this service to all borrowers")</f>
        <v>I am satisfied with the monitoring and prices and quality service of stakeholders and their professionalism, I recommend this service to all borrowers</v>
      </c>
    </row>
    <row r="421" spans="1:9" ht="15.75" customHeight="1" x14ac:dyDescent="0.3">
      <c r="A421" s="2">
        <v>1</v>
      </c>
      <c r="B421" s="2" t="s">
        <v>1279</v>
      </c>
      <c r="C421" s="2" t="s">
        <v>1280</v>
      </c>
      <c r="D421" s="2" t="s">
        <v>875</v>
      </c>
      <c r="E421" s="2" t="s">
        <v>50</v>
      </c>
      <c r="F421" s="2" t="s">
        <v>15</v>
      </c>
      <c r="G421" s="2" t="s">
        <v>1120</v>
      </c>
      <c r="H421" s="2" t="s">
        <v>236</v>
      </c>
      <c r="I421" s="2" t="str">
        <f ca="1">IFERROR(__xludf.DUMMYFUNCTION("GOOGLETRANSLATE(C421,""fr"",""en"")"),"I'm not happy. From this insurance, I have 2 reimbursement in progress, they say they reimburse you in 72 hours but I after a week I have still received nothing, I also made a refund request there are 6 months ago and no news. Finally the salespeople sell"&amp;" you dream ... I plan to terminate and choose another")</f>
        <v>I'm not happy. From this insurance, I have 2 reimbursement in progress, they say they reimburse you in 72 hours but I after a week I have still received nothing, I also made a refund request there are 6 months ago and no news. Finally the salespeople sell you dream ... I plan to terminate and choose another</v>
      </c>
    </row>
    <row r="422" spans="1:9" ht="15.75" customHeight="1" x14ac:dyDescent="0.3">
      <c r="A422" s="2">
        <v>5</v>
      </c>
      <c r="B422" s="2" t="s">
        <v>1281</v>
      </c>
      <c r="C422" s="2" t="s">
        <v>1282</v>
      </c>
      <c r="D422" s="2" t="s">
        <v>28</v>
      </c>
      <c r="E422" s="2" t="s">
        <v>14</v>
      </c>
      <c r="F422" s="2" t="s">
        <v>15</v>
      </c>
      <c r="G422" s="2" t="s">
        <v>251</v>
      </c>
      <c r="H422" s="2" t="s">
        <v>83</v>
      </c>
      <c r="I422" s="2" t="str">
        <f ca="1">IFERROR(__xludf.DUMMYFUNCTION("GOOGLETRANSLATE(C422,""fr"",""en"")"),"Intuitive and easy to use site. Correct price. For the moment, I recommend this insurance, we will see after 1 years if the prices are the same.")</f>
        <v>Intuitive and easy to use site. Correct price. For the moment, I recommend this insurance, we will see after 1 years if the prices are the same.</v>
      </c>
    </row>
    <row r="423" spans="1:9" ht="15.75" customHeight="1" x14ac:dyDescent="0.3">
      <c r="A423" s="2">
        <v>4</v>
      </c>
      <c r="B423" s="2" t="s">
        <v>1283</v>
      </c>
      <c r="C423" s="2" t="s">
        <v>1284</v>
      </c>
      <c r="D423" s="2" t="s">
        <v>190</v>
      </c>
      <c r="E423" s="2" t="s">
        <v>14</v>
      </c>
      <c r="F423" s="2" t="s">
        <v>15</v>
      </c>
      <c r="G423" s="2" t="s">
        <v>395</v>
      </c>
      <c r="H423" s="2" t="s">
        <v>83</v>
      </c>
      <c r="I423" s="2" t="str">
        <f ca="1">IFERROR(__xludf.DUMMYFUNCTION("GOOGLETRANSLATE(C423,""fr"",""en"")"),"At each request, GMF reacts quickly, the agents are very kind and have always advised me well and accompanied.
On several occasions, home or car, everything went well.")</f>
        <v>At each request, GMF reacts quickly, the agents are very kind and have always advised me well and accompanied.
On several occasions, home or car, everything went well.</v>
      </c>
    </row>
    <row r="424" spans="1:9" ht="15.75" customHeight="1" x14ac:dyDescent="0.3">
      <c r="A424" s="2">
        <v>1</v>
      </c>
      <c r="B424" s="2" t="s">
        <v>1285</v>
      </c>
      <c r="C424" s="2" t="s">
        <v>1286</v>
      </c>
      <c r="D424" s="2" t="s">
        <v>326</v>
      </c>
      <c r="E424" s="2" t="s">
        <v>14</v>
      </c>
      <c r="F424" s="2" t="s">
        <v>15</v>
      </c>
      <c r="G424" s="2" t="s">
        <v>1287</v>
      </c>
      <c r="H424" s="2" t="s">
        <v>52</v>
      </c>
      <c r="I424" s="2" t="str">
        <f ca="1">IFERROR(__xludf.DUMMYFUNCTION("GOOGLETRANSLATE(C424,""fr"",""en"")"),"The problem of AXA is that they do not understand French they do not know what termination means, it's been a year that I explain to them but it is too complicated for them.")</f>
        <v>The problem of AXA is that they do not understand French they do not know what termination means, it's been a year that I explain to them but it is too complicated for them.</v>
      </c>
    </row>
    <row r="425" spans="1:9" ht="15.75" customHeight="1" x14ac:dyDescent="0.3">
      <c r="A425" s="2">
        <v>2</v>
      </c>
      <c r="B425" s="2" t="s">
        <v>1288</v>
      </c>
      <c r="C425" s="2" t="s">
        <v>1289</v>
      </c>
      <c r="D425" s="2" t="s">
        <v>13</v>
      </c>
      <c r="E425" s="2" t="s">
        <v>14</v>
      </c>
      <c r="F425" s="2" t="s">
        <v>15</v>
      </c>
      <c r="G425" s="2" t="s">
        <v>1290</v>
      </c>
      <c r="H425" s="2" t="s">
        <v>181</v>
      </c>
      <c r="I425" s="2" t="str">
        <f ca="1">IFERROR(__xludf.DUMMYFUNCTION("GOOGLETRANSLATE(C425,""fr"",""en"")"),"This insurance does not take into account the claims even with a recognized third party. No refund")</f>
        <v>This insurance does not take into account the claims even with a recognized third party. No refund</v>
      </c>
    </row>
    <row r="426" spans="1:9" ht="15.75" customHeight="1" x14ac:dyDescent="0.3">
      <c r="A426" s="2">
        <v>4</v>
      </c>
      <c r="B426" s="2" t="s">
        <v>1291</v>
      </c>
      <c r="C426" s="2" t="s">
        <v>1292</v>
      </c>
      <c r="D426" s="2" t="s">
        <v>13</v>
      </c>
      <c r="E426" s="2" t="s">
        <v>14</v>
      </c>
      <c r="F426" s="2" t="s">
        <v>15</v>
      </c>
      <c r="G426" s="2" t="s">
        <v>733</v>
      </c>
      <c r="H426" s="2" t="s">
        <v>25</v>
      </c>
      <c r="I426" s="2" t="str">
        <f ca="1">IFERROR(__xludf.DUMMYFUNCTION("GOOGLETRANSLATE(C426,""fr"",""en"")"),"The prices are attractive. Not yet had a claim, so difficult to judge the service, but the prices are very competitive and it is very easy to join.")</f>
        <v>The prices are attractive. Not yet had a claim, so difficult to judge the service, but the prices are very competitive and it is very easy to join.</v>
      </c>
    </row>
    <row r="427" spans="1:9" ht="15.75" customHeight="1" x14ac:dyDescent="0.3">
      <c r="A427" s="2">
        <v>2</v>
      </c>
      <c r="B427" s="2" t="s">
        <v>1293</v>
      </c>
      <c r="C427" s="2" t="s">
        <v>1294</v>
      </c>
      <c r="D427" s="2" t="s">
        <v>303</v>
      </c>
      <c r="E427" s="2" t="s">
        <v>14</v>
      </c>
      <c r="F427" s="2" t="s">
        <v>15</v>
      </c>
      <c r="G427" s="2" t="s">
        <v>637</v>
      </c>
      <c r="H427" s="2" t="s">
        <v>25</v>
      </c>
      <c r="I427" s="2" t="str">
        <f ca="1">IFERROR(__xludf.DUMMYFUNCTION("GOOGLETRANSLATE(C427,""fr"",""en"")"),"I bought a vehicle by unaccompanied advantages which has as a service provider: Auto club. This organization is a disaster (it would be too much to list the problems encountered).
Macif advantages completely disengage from the problems encountered by sen"&amp;"ding us back to this service provider, which is not normal. When you associate with a provider you have to make sure it is reliable. I am extremely disappointed with the behavior of the Macif !!
Flee Macif Advantages !! That problems !!")</f>
        <v>I bought a vehicle by unaccompanied advantages which has as a service provider: Auto club. This organization is a disaster (it would be too much to list the problems encountered).
Macif advantages completely disengage from the problems encountered by sending us back to this service provider, which is not normal. When you associate with a provider you have to make sure it is reliable. I am extremely disappointed with the behavior of the Macif !!
Flee Macif Advantages !! That problems !!</v>
      </c>
    </row>
    <row r="428" spans="1:9" ht="15.75" customHeight="1" x14ac:dyDescent="0.3">
      <c r="A428" s="2">
        <v>3</v>
      </c>
      <c r="B428" s="2" t="s">
        <v>1295</v>
      </c>
      <c r="C428" s="2" t="s">
        <v>1296</v>
      </c>
      <c r="D428" s="2" t="s">
        <v>28</v>
      </c>
      <c r="E428" s="2" t="s">
        <v>14</v>
      </c>
      <c r="F428" s="2" t="s">
        <v>15</v>
      </c>
      <c r="G428" s="2" t="s">
        <v>1297</v>
      </c>
      <c r="H428" s="2" t="s">
        <v>83</v>
      </c>
      <c r="I428" s="2" t="str">
        <f ca="1">IFERROR(__xludf.DUMMYFUNCTION("GOOGLETRANSLATE(C428,""fr"",""en"")"),"A little expensive all the same for a 12 -year -old car, certainly a penalty is added but the price without penalties is just as expensive. Not much recognition even after a year of contract with them")</f>
        <v>A little expensive all the same for a 12 -year -old car, certainly a penalty is added but the price without penalties is just as expensive. Not much recognition even after a year of contract with them</v>
      </c>
    </row>
    <row r="429" spans="1:9" ht="15.75" customHeight="1" x14ac:dyDescent="0.3">
      <c r="A429" s="2">
        <v>4</v>
      </c>
      <c r="B429" s="2" t="s">
        <v>1298</v>
      </c>
      <c r="C429" s="2" t="s">
        <v>1299</v>
      </c>
      <c r="D429" s="2" t="s">
        <v>28</v>
      </c>
      <c r="E429" s="2" t="s">
        <v>14</v>
      </c>
      <c r="F429" s="2" t="s">
        <v>15</v>
      </c>
      <c r="G429" s="2" t="s">
        <v>1300</v>
      </c>
      <c r="H429" s="2" t="s">
        <v>30</v>
      </c>
      <c r="I429" s="2" t="str">
        <f ca="1">IFERROR(__xludf.DUMMYFUNCTION("GOOGLETRANSLATE(C429,""fr"",""en"")"),"I am satisfied with the contract but remain a little expensive. The information requested by phone is well explained. The waiting time on the phone is quite short.
")</f>
        <v xml:space="preserve">I am satisfied with the contract but remain a little expensive. The information requested by phone is well explained. The waiting time on the phone is quite short.
</v>
      </c>
    </row>
    <row r="430" spans="1:9" ht="15.75" customHeight="1" x14ac:dyDescent="0.3">
      <c r="A430" s="2">
        <v>1</v>
      </c>
      <c r="B430" s="2" t="s">
        <v>1301</v>
      </c>
      <c r="C430" s="2" t="s">
        <v>1302</v>
      </c>
      <c r="D430" s="2" t="s">
        <v>190</v>
      </c>
      <c r="E430" s="2" t="s">
        <v>14</v>
      </c>
      <c r="F430" s="2" t="s">
        <v>15</v>
      </c>
      <c r="G430" s="2" t="s">
        <v>1140</v>
      </c>
      <c r="H430" s="2" t="s">
        <v>661</v>
      </c>
      <c r="I430" s="2" t="str">
        <f ca="1">IFERROR(__xludf.DUMMYFUNCTION("GOOGLETRANSLATE(C430,""fr"",""en"")"),"The GMF is an insurance dear of poor quality. They are not able to respond to their client quickly for simple certificates. Worse, it is sometimes forced to install a holiday to be able to make an appointment in order to settle simple situations. In a wor"&amp;"d: Flee !!")</f>
        <v>The GMF is an insurance dear of poor quality. They are not able to respond to their client quickly for simple certificates. Worse, it is sometimes forced to install a holiday to be able to make an appointment in order to settle simple situations. In a word: Flee !!</v>
      </c>
    </row>
    <row r="431" spans="1:9" ht="15.75" customHeight="1" x14ac:dyDescent="0.3">
      <c r="A431" s="2">
        <v>1</v>
      </c>
      <c r="B431" s="2" t="s">
        <v>1303</v>
      </c>
      <c r="C431" s="2" t="s">
        <v>1304</v>
      </c>
      <c r="D431" s="2" t="s">
        <v>190</v>
      </c>
      <c r="E431" s="2" t="s">
        <v>129</v>
      </c>
      <c r="F431" s="2" t="s">
        <v>15</v>
      </c>
      <c r="G431" s="2" t="s">
        <v>1305</v>
      </c>
      <c r="H431" s="2" t="s">
        <v>354</v>
      </c>
      <c r="I431" s="2" t="str">
        <f ca="1">IFERROR(__xludf.DUMMYFUNCTION("GOOGLETRANSLATE(C431,""fr"",""en"")"),"I had a problem of water leakage at home, it did damage to the neighbor below. GMF did not even want to take care of the leak search for free, had to pay 280 euros for this. And then, they do not take care of repairing the leak either. In the event of rep"&amp;"air by them, the advisor said it will cost me a deductible of 350 euros. And the worst, I opened a disaster online on their site, and someone from home closed my disaster without even talking to me, because they came across my answering machine. I do not "&amp;"recommend GMF, it's my 4th year with them but I will terminate as soon as possible, the time to find another more correct insurance. In addition, they are not that competitive on the price side. Not to mention the aggressiveness of the sinister advisor I "&amp;"had on the phone.")</f>
        <v>I had a problem of water leakage at home, it did damage to the neighbor below. GMF did not even want to take care of the leak search for free, had to pay 280 euros for this. And then, they do not take care of repairing the leak either. In the event of repair by them, the advisor said it will cost me a deductible of 350 euros. And the worst, I opened a disaster online on their site, and someone from home closed my disaster without even talking to me, because they came across my answering machine. I do not recommend GMF, it's my 4th year with them but I will terminate as soon as possible, the time to find another more correct insurance. In addition, they are not that competitive on the price side. Not to mention the aggressiveness of the sinister advisor I had on the phone.</v>
      </c>
    </row>
    <row r="432" spans="1:9" ht="15.75" customHeight="1" x14ac:dyDescent="0.3">
      <c r="A432" s="2">
        <v>1</v>
      </c>
      <c r="B432" s="2" t="s">
        <v>1306</v>
      </c>
      <c r="C432" s="2" t="s">
        <v>1307</v>
      </c>
      <c r="D432" s="2" t="s">
        <v>326</v>
      </c>
      <c r="E432" s="2" t="s">
        <v>14</v>
      </c>
      <c r="F432" s="2" t="s">
        <v>15</v>
      </c>
      <c r="G432" s="2" t="s">
        <v>1308</v>
      </c>
      <c r="H432" s="2" t="s">
        <v>389</v>
      </c>
      <c r="I432" s="2" t="str">
        <f ca="1">IFERROR(__xludf.DUMMYFUNCTION("GOOGLETRANSLATE(C432,""fr"",""en"")"),"Insurer to flee !!
Non -existent customer service and non -compliant commercial practices (amount of the contract different from that of the approved quote)
You are then asked to pay a subscription when you have never signed a contract ...")</f>
        <v>Insurer to flee !!
Non -existent customer service and non -compliant commercial practices (amount of the contract different from that of the approved quote)
You are then asked to pay a subscription when you have never signed a contract ...</v>
      </c>
    </row>
    <row r="433" spans="1:9" ht="15.75" customHeight="1" x14ac:dyDescent="0.3">
      <c r="A433" s="2">
        <v>2</v>
      </c>
      <c r="B433" s="2" t="s">
        <v>1309</v>
      </c>
      <c r="C433" s="2" t="s">
        <v>1310</v>
      </c>
      <c r="D433" s="2" t="s">
        <v>303</v>
      </c>
      <c r="E433" s="2" t="s">
        <v>14</v>
      </c>
      <c r="F433" s="2" t="s">
        <v>15</v>
      </c>
      <c r="G433" s="2" t="s">
        <v>1311</v>
      </c>
      <c r="H433" s="2" t="s">
        <v>41</v>
      </c>
      <c r="I433" s="2" t="str">
        <f ca="1">IFERROR(__xludf.DUMMYFUNCTION("GOOGLETRANSLATE(C433,""fr"",""en"")"),"If you can run away from this insurer which only counts on its financial profitability. In no case turned to satisfaction. Pheux excludes you at any time not because of an accident but because you no longer become a profitable customer")</f>
        <v>If you can run away from this insurer which only counts on its financial profitability. In no case turned to satisfaction. Pheux excludes you at any time not because of an accident but because you no longer become a profitable customer</v>
      </c>
    </row>
    <row r="434" spans="1:9" ht="15.75" customHeight="1" x14ac:dyDescent="0.3">
      <c r="A434" s="2">
        <v>2</v>
      </c>
      <c r="B434" s="2" t="s">
        <v>1312</v>
      </c>
      <c r="C434" s="2" t="s">
        <v>1313</v>
      </c>
      <c r="D434" s="2" t="s">
        <v>13</v>
      </c>
      <c r="E434" s="2" t="s">
        <v>14</v>
      </c>
      <c r="F434" s="2" t="s">
        <v>15</v>
      </c>
      <c r="G434" s="2" t="s">
        <v>948</v>
      </c>
      <c r="H434" s="2" t="s">
        <v>25</v>
      </c>
      <c r="I434" s="2" t="str">
        <f ca="1">IFERROR(__xludf.DUMMYFUNCTION("GOOGLETRANSLATE(C434,""fr"",""en"")"),"I am quite satisfied with the service, the prices may be a little too high in view of the car used ,. Being assured only at the maximum third party and living in an average city")</f>
        <v>I am quite satisfied with the service, the prices may be a little too high in view of the car used ,. Being assured only at the maximum third party and living in an average city</v>
      </c>
    </row>
    <row r="435" spans="1:9" ht="15.75" customHeight="1" x14ac:dyDescent="0.3">
      <c r="A435" s="2">
        <v>1</v>
      </c>
      <c r="B435" s="2" t="s">
        <v>1314</v>
      </c>
      <c r="C435" s="2" t="s">
        <v>1315</v>
      </c>
      <c r="D435" s="2" t="s">
        <v>65</v>
      </c>
      <c r="E435" s="2" t="s">
        <v>14</v>
      </c>
      <c r="F435" s="2" t="s">
        <v>15</v>
      </c>
      <c r="G435" s="2" t="s">
        <v>1316</v>
      </c>
      <c r="H435" s="2" t="s">
        <v>389</v>
      </c>
      <c r="I435" s="2" t="str">
        <f ca="1">IFERROR(__xludf.DUMMYFUNCTION("GOOGLETRANSLATE(C435,""fr"",""en"")"),"For the price, a star is enough, satisfaction, a star reflects the coldness of the answers to the phone. Even for the Douai office which has not managed to communicate to treat this second claim. Assessment, I changed insurance.")</f>
        <v>For the price, a star is enough, satisfaction, a star reflects the coldness of the answers to the phone. Even for the Douai office which has not managed to communicate to treat this second claim. Assessment, I changed insurance.</v>
      </c>
    </row>
    <row r="436" spans="1:9" ht="15.75" customHeight="1" x14ac:dyDescent="0.3">
      <c r="A436" s="2">
        <v>2</v>
      </c>
      <c r="B436" s="2" t="s">
        <v>1317</v>
      </c>
      <c r="C436" s="2" t="s">
        <v>1318</v>
      </c>
      <c r="D436" s="2" t="s">
        <v>799</v>
      </c>
      <c r="E436" s="2" t="s">
        <v>129</v>
      </c>
      <c r="F436" s="2" t="s">
        <v>15</v>
      </c>
      <c r="G436" s="2" t="s">
        <v>1319</v>
      </c>
      <c r="H436" s="2" t="s">
        <v>507</v>
      </c>
      <c r="I436" s="2" t="str">
        <f ca="1">IFERROR(__xludf.DUMMYFUNCTION("GOOGLETRANSLATE(C436,""fr"",""en"")"),"For a watershed in March, after a lot of polemic, compensation at the end of November! Their expert who moves after 1 month! No follower! I fought against walls!")</f>
        <v>For a watershed in March, after a lot of polemic, compensation at the end of November! Their expert who moves after 1 month! No follower! I fought against walls!</v>
      </c>
    </row>
    <row r="437" spans="1:9" ht="15.75" customHeight="1" x14ac:dyDescent="0.3">
      <c r="A437" s="2">
        <v>2</v>
      </c>
      <c r="B437" s="2" t="s">
        <v>1320</v>
      </c>
      <c r="C437" s="2" t="s">
        <v>1321</v>
      </c>
      <c r="D437" s="2" t="s">
        <v>530</v>
      </c>
      <c r="E437" s="2" t="s">
        <v>137</v>
      </c>
      <c r="F437" s="2" t="s">
        <v>15</v>
      </c>
      <c r="G437" s="2" t="s">
        <v>1322</v>
      </c>
      <c r="H437" s="2" t="s">
        <v>467</v>
      </c>
      <c r="I437" s="2" t="str">
        <f ca="1">IFERROR(__xludf.DUMMYFUNCTION("GOOGLETRANSLATE(C437,""fr"",""en"")"),"Hello for 35 years at the MGP to date I am in long illness I struggle to have my salary supplement I am constantly asked for documents I phone I am walking each time I will have to make a decision because they are not All attentive to date my depression c"&amp;"ouple")</f>
        <v>Hello for 35 years at the MGP to date I am in long illness I struggle to have my salary supplement I am constantly asked for documents I phone I am walking each time I will have to make a decision because they are not All attentive to date my depression couple</v>
      </c>
    </row>
    <row r="438" spans="1:9" ht="15.75" customHeight="1" x14ac:dyDescent="0.3">
      <c r="A438" s="2">
        <v>1</v>
      </c>
      <c r="B438" s="2" t="s">
        <v>1323</v>
      </c>
      <c r="C438" s="2" t="s">
        <v>1324</v>
      </c>
      <c r="D438" s="2" t="s">
        <v>13</v>
      </c>
      <c r="E438" s="2" t="s">
        <v>14</v>
      </c>
      <c r="F438" s="2" t="s">
        <v>15</v>
      </c>
      <c r="G438" s="2" t="s">
        <v>25</v>
      </c>
      <c r="H438" s="2" t="s">
        <v>25</v>
      </c>
      <c r="I438" s="2" t="str">
        <f ca="1">IFERROR(__xludf.DUMMYFUNCTION("GOOGLETRANSLATE(C438,""fr"",""en"")"),"not satisfied with monitoring my file,
-Pup reminders of the situation made
-Reseignement transmitted erroneous then corrected by other interlocutor
-In inaccurate inaccurate with my file despite several interviews for correction ...")</f>
        <v>not satisfied with monitoring my file,
-Pup reminders of the situation made
-Reseignement transmitted erroneous then corrected by other interlocutor
-In inaccurate inaccurate with my file despite several interviews for correction ...</v>
      </c>
    </row>
    <row r="439" spans="1:9" ht="15.75" customHeight="1" x14ac:dyDescent="0.3">
      <c r="A439" s="2">
        <v>5</v>
      </c>
      <c r="B439" s="2" t="s">
        <v>1325</v>
      </c>
      <c r="C439" s="2" t="s">
        <v>1326</v>
      </c>
      <c r="D439" s="2" t="s">
        <v>28</v>
      </c>
      <c r="E439" s="2" t="s">
        <v>14</v>
      </c>
      <c r="F439" s="2" t="s">
        <v>15</v>
      </c>
      <c r="G439" s="2" t="s">
        <v>918</v>
      </c>
      <c r="H439" s="2" t="s">
        <v>17</v>
      </c>
      <c r="I439" s="2" t="str">
        <f ca="1">IFERROR(__xludf.DUMMYFUNCTION("GOOGLETRANSLATE(C439,""fr"",""en"")"),"I am satisfied with the service and the prices suit me.
Agents available quickly, listening and knowing their profession;
Clear personal space and the explanations are simple and understanding.")</f>
        <v>I am satisfied with the service and the prices suit me.
Agents available quickly, listening and knowing their profession;
Clear personal space and the explanations are simple and understanding.</v>
      </c>
    </row>
    <row r="440" spans="1:9" ht="15.75" customHeight="1" x14ac:dyDescent="0.3">
      <c r="A440" s="2">
        <v>2</v>
      </c>
      <c r="B440" s="2" t="s">
        <v>1327</v>
      </c>
      <c r="C440" s="2" t="s">
        <v>1328</v>
      </c>
      <c r="D440" s="2" t="s">
        <v>13</v>
      </c>
      <c r="E440" s="2" t="s">
        <v>14</v>
      </c>
      <c r="F440" s="2" t="s">
        <v>15</v>
      </c>
      <c r="G440" s="2" t="s">
        <v>82</v>
      </c>
      <c r="H440" s="2" t="s">
        <v>83</v>
      </c>
      <c r="I440" s="2" t="str">
        <f ca="1">IFERROR(__xludf.DUMMYFUNCTION("GOOGLETRANSLATE(C440,""fr"",""en"")"),"To see in the long term during claims of claims: responsiveness, personal satisfaction, deadlines, integrity, respect these customers, commercial gestures")</f>
        <v>To see in the long term during claims of claims: responsiveness, personal satisfaction, deadlines, integrity, respect these customers, commercial gestures</v>
      </c>
    </row>
    <row r="441" spans="1:9" ht="15.75" customHeight="1" x14ac:dyDescent="0.3">
      <c r="A441" s="2">
        <v>2</v>
      </c>
      <c r="B441" s="2" t="s">
        <v>1329</v>
      </c>
      <c r="C441" s="2" t="s">
        <v>1330</v>
      </c>
      <c r="D441" s="2" t="s">
        <v>33</v>
      </c>
      <c r="E441" s="2" t="s">
        <v>14</v>
      </c>
      <c r="F441" s="2" t="s">
        <v>15</v>
      </c>
      <c r="G441" s="2" t="s">
        <v>1331</v>
      </c>
      <c r="H441" s="2" t="s">
        <v>1332</v>
      </c>
      <c r="I441" s="2" t="str">
        <f ca="1">IFERROR(__xludf.DUMMYFUNCTION("GOOGLETRANSLATE(C441,""fr"",""en"")"),"When everything is well matmut is good insurer, as long as you pay, insured for more than 10 years with bonus 65%, 1st claim there is no one left to compensate you.")</f>
        <v>When everything is well matmut is good insurer, as long as you pay, insured for more than 10 years with bonus 65%, 1st claim there is no one left to compensate you.</v>
      </c>
    </row>
    <row r="442" spans="1:9" ht="15.75" customHeight="1" x14ac:dyDescent="0.3">
      <c r="A442" s="2">
        <v>1</v>
      </c>
      <c r="B442" s="2" t="s">
        <v>1333</v>
      </c>
      <c r="C442" s="2" t="s">
        <v>1334</v>
      </c>
      <c r="D442" s="2" t="s">
        <v>28</v>
      </c>
      <c r="E442" s="2" t="s">
        <v>14</v>
      </c>
      <c r="F442" s="2" t="s">
        <v>15</v>
      </c>
      <c r="G442" s="2" t="s">
        <v>1335</v>
      </c>
      <c r="H442" s="2" t="s">
        <v>57</v>
      </c>
      <c r="I442" s="2" t="str">
        <f ca="1">IFERROR(__xludf.DUMMYFUNCTION("GOOGLETRANSLATE(C442,""fr"",""en"")"),"I have just received a recommended today from my insurance olive assurance I quote the reason for termination:
Risk inadequacy with regard to the company's acceptance policy
I immediately contacted telephone. With them and the C is heavy very heavy they"&amp;" cannot give me a valid reason I specify that I have been assured at home for 2 years without any claim where I am very worried about it is the statement Information that I will have in early April to go get another company after research I would be on a "&amp;"black list because they are going to go and take care of their partner assurpeople thing that I will not do it of course I had as a answer you have the right to terminate at any time with the chatel law and on our side so frankly we live a really bizarre "&amp;"era here is my rant I no longer want to fight with them no letter of complaint nothing nothing
")</f>
        <v xml:space="preserve">I have just received a recommended today from my insurance olive assurance I quote the reason for termination:
Risk inadequacy with regard to the company's acceptance policy
I immediately contacted telephone. With them and the C is heavy very heavy they cannot give me a valid reason I specify that I have been assured at home for 2 years without any claim where I am very worried about it is the statement Information that I will have in early April to go get another company after research I would be on a black list because they are going to go and take care of their partner assurpeople thing that I will not do it of course I had as a answer you have the right to terminate at any time with the chatel law and on our side so frankly we live a really bizarre era here is my rant I no longer want to fight with them no letter of complaint nothing nothing
</v>
      </c>
    </row>
    <row r="443" spans="1:9" ht="15.75" customHeight="1" x14ac:dyDescent="0.3">
      <c r="A443" s="2">
        <v>5</v>
      </c>
      <c r="B443" s="2" t="s">
        <v>1336</v>
      </c>
      <c r="C443" s="2" t="s">
        <v>1337</v>
      </c>
      <c r="D443" s="2" t="s">
        <v>13</v>
      </c>
      <c r="E443" s="2" t="s">
        <v>14</v>
      </c>
      <c r="F443" s="2" t="s">
        <v>15</v>
      </c>
      <c r="G443" s="2" t="s">
        <v>826</v>
      </c>
      <c r="H443" s="2" t="s">
        <v>25</v>
      </c>
      <c r="I443" s="2" t="str">
        <f ca="1">IFERROR(__xludf.DUMMYFUNCTION("GOOGLETRANSLATE(C443,""fr"",""en"")"),"Simple practice. Very well optimized, very good sales force and advice.
Available attentive. I am satisfied and I recommend. Very good value for money too.")</f>
        <v>Simple practice. Very well optimized, very good sales force and advice.
Available attentive. I am satisfied and I recommend. Very good value for money too.</v>
      </c>
    </row>
    <row r="444" spans="1:9" ht="15.75" customHeight="1" x14ac:dyDescent="0.3">
      <c r="A444" s="2">
        <v>2</v>
      </c>
      <c r="B444" s="2" t="s">
        <v>1338</v>
      </c>
      <c r="C444" s="2" t="s">
        <v>1339</v>
      </c>
      <c r="D444" s="2" t="s">
        <v>145</v>
      </c>
      <c r="E444" s="2" t="s">
        <v>14</v>
      </c>
      <c r="F444" s="2" t="s">
        <v>15</v>
      </c>
      <c r="G444" s="2" t="s">
        <v>1340</v>
      </c>
      <c r="H444" s="2" t="s">
        <v>228</v>
      </c>
      <c r="I444" s="2" t="str">
        <f ca="1">IFERROR(__xludf.DUMMYFUNCTION("GOOGLETRANSLATE(C444,""fr"",""en"")"),"Voice stolen insurance all risk 8 months after it drags in length. The management of files is disastrous in the mouth of their experts ..... a height")</f>
        <v>Voice stolen insurance all risk 8 months after it drags in length. The management of files is disastrous in the mouth of their experts ..... a height</v>
      </c>
    </row>
    <row r="445" spans="1:9" ht="15.75" customHeight="1" x14ac:dyDescent="0.3">
      <c r="A445" s="2">
        <v>2</v>
      </c>
      <c r="B445" s="2" t="s">
        <v>1341</v>
      </c>
      <c r="C445" s="2" t="s">
        <v>1342</v>
      </c>
      <c r="D445" s="2" t="s">
        <v>664</v>
      </c>
      <c r="E445" s="2" t="s">
        <v>39</v>
      </c>
      <c r="F445" s="2" t="s">
        <v>15</v>
      </c>
      <c r="G445" s="2" t="s">
        <v>1343</v>
      </c>
      <c r="H445" s="2" t="s">
        <v>1344</v>
      </c>
      <c r="I445" s="2" t="str">
        <f ca="1">IFERROR(__xludf.DUMMYFUNCTION("GOOGLETRANSLATE(C445,""fr"",""en"")"),"Has not been able to set up remote transmission with the CPAM for 11 months
So I terminated")</f>
        <v>Has not been able to set up remote transmission with the CPAM for 11 months
So I terminated</v>
      </c>
    </row>
    <row r="446" spans="1:9" ht="15.75" customHeight="1" x14ac:dyDescent="0.3">
      <c r="A446" s="2">
        <v>1</v>
      </c>
      <c r="B446" s="2" t="s">
        <v>1345</v>
      </c>
      <c r="C446" s="2" t="s">
        <v>1346</v>
      </c>
      <c r="D446" s="2" t="s">
        <v>128</v>
      </c>
      <c r="E446" s="2" t="s">
        <v>129</v>
      </c>
      <c r="F446" s="2" t="s">
        <v>15</v>
      </c>
      <c r="G446" s="2" t="s">
        <v>1347</v>
      </c>
      <c r="H446" s="2" t="s">
        <v>557</v>
      </c>
      <c r="I446" s="2" t="str">
        <f ca="1">IFERROR(__xludf.DUMMYFUNCTION("GOOGLETRANSLATE(C446,""fr"",""en"")"),"Sinister from the storm to me. 1 month and a half waiting after passing a worker to refuse the quote ... without telling me of course. Call of an expert to set an appointment at 1 month later ... In the end it will take 6 months all that to change a porta"&amp;"l !!!! a shame ! In the end, even if it means having insurance that does not pay as much to take a cheap online insurance.")</f>
        <v>Sinister from the storm to me. 1 month and a half waiting after passing a worker to refuse the quote ... without telling me of course. Call of an expert to set an appointment at 1 month later ... In the end it will take 6 months all that to change a portal !!!! a shame ! In the end, even if it means having insurance that does not pay as much to take a cheap online insurance.</v>
      </c>
    </row>
    <row r="447" spans="1:9" ht="15.75" customHeight="1" x14ac:dyDescent="0.3">
      <c r="A447" s="2">
        <v>4</v>
      </c>
      <c r="B447" s="2" t="s">
        <v>1348</v>
      </c>
      <c r="C447" s="2" t="s">
        <v>1349</v>
      </c>
      <c r="D447" s="2" t="s">
        <v>13</v>
      </c>
      <c r="E447" s="2" t="s">
        <v>14</v>
      </c>
      <c r="F447" s="2" t="s">
        <v>15</v>
      </c>
      <c r="G447" s="2" t="s">
        <v>300</v>
      </c>
      <c r="H447" s="2" t="s">
        <v>111</v>
      </c>
      <c r="I447" s="2" t="str">
        <f ca="1">IFERROR(__xludf.DUMMYFUNCTION("GOOGLETRANSLATE(C447,""fr"",""en"")"),"I am satisfied with the services and I recommend to my friends and family I have home insurance and I took automotive insurance for my car with an attractive offer.")</f>
        <v>I am satisfied with the services and I recommend to my friends and family I have home insurance and I took automotive insurance for my car with an attractive offer.</v>
      </c>
    </row>
    <row r="448" spans="1:9" ht="15.75" customHeight="1" x14ac:dyDescent="0.3">
      <c r="A448" s="2">
        <v>4</v>
      </c>
      <c r="B448" s="2" t="s">
        <v>1350</v>
      </c>
      <c r="C448" s="2" t="s">
        <v>1351</v>
      </c>
      <c r="D448" s="2" t="s">
        <v>44</v>
      </c>
      <c r="E448" s="2" t="s">
        <v>39</v>
      </c>
      <c r="F448" s="2" t="s">
        <v>15</v>
      </c>
      <c r="G448" s="2" t="s">
        <v>1352</v>
      </c>
      <c r="H448" s="2" t="s">
        <v>125</v>
      </c>
      <c r="I448" s="2" t="str">
        <f ca="1">IFERROR(__xludf.DUMMYFUNCTION("GOOGLETRANSLATE(C448,""fr"",""en"")"),"Hello,
I am amazed to read such negative comments on April because as far as I am concerned I have been ensured by this mutual since 2020 and for a senior soon octogenarian I find that the covers have a good quality/price ratio compared to my previous mu"&amp;"tual.
With the transmission by SS no reimbursement problem.
And at the dental level I submitted to them in 2020, 2 quotes to which they responded immediately (ultimately I took with regard to the bottom teeth without a charge).
The 2021 increase is rea"&amp;"sonable.
So satisfaction to date.
Cordially")</f>
        <v>Hello,
I am amazed to read such negative comments on April because as far as I am concerned I have been ensured by this mutual since 2020 and for a senior soon octogenarian I find that the covers have a good quality/price ratio compared to my previous mutual.
With the transmission by SS no reimbursement problem.
And at the dental level I submitted to them in 2020, 2 quotes to which they responded immediately (ultimately I took with regard to the bottom teeth without a charge).
The 2021 increase is reasonable.
So satisfaction to date.
Cordially</v>
      </c>
    </row>
    <row r="449" spans="1:9" ht="15.75" customHeight="1" x14ac:dyDescent="0.3">
      <c r="A449" s="2">
        <v>5</v>
      </c>
      <c r="B449" s="2" t="s">
        <v>1353</v>
      </c>
      <c r="C449" s="2" t="s">
        <v>1354</v>
      </c>
      <c r="D449" s="2" t="s">
        <v>664</v>
      </c>
      <c r="E449" s="2" t="s">
        <v>39</v>
      </c>
      <c r="F449" s="2" t="s">
        <v>15</v>
      </c>
      <c r="G449" s="2" t="s">
        <v>1201</v>
      </c>
      <c r="H449" s="2" t="s">
        <v>354</v>
      </c>
      <c r="I449" s="2" t="str">
        <f ca="1">IFERROR(__xludf.DUMMYFUNCTION("GOOGLETRANSLATE(C449,""fr"",""en"")"),"Lamia was able to respond effectively to my request to send a request for care that I could not make on the site.
Very attentive and I was able to send my request via the site.
Just a small downside, when you call the waiting time is sometimes very log."&amp;"
But with regard to Lamia nothing to complain about. Just perfect.
Thanks to her.")</f>
        <v>Lamia was able to respond effectively to my request to send a request for care that I could not make on the site.
Very attentive and I was able to send my request via the site.
Just a small downside, when you call the waiting time is sometimes very log.
But with regard to Lamia nothing to complain about. Just perfect.
Thanks to her.</v>
      </c>
    </row>
    <row r="450" spans="1:9" ht="15.75" customHeight="1" x14ac:dyDescent="0.3">
      <c r="A450" s="2">
        <v>1</v>
      </c>
      <c r="B450" s="2" t="s">
        <v>1355</v>
      </c>
      <c r="C450" s="2" t="s">
        <v>1356</v>
      </c>
      <c r="D450" s="2" t="s">
        <v>145</v>
      </c>
      <c r="E450" s="2" t="s">
        <v>129</v>
      </c>
      <c r="F450" s="2" t="s">
        <v>15</v>
      </c>
      <c r="G450" s="2" t="s">
        <v>1357</v>
      </c>
      <c r="H450" s="2" t="s">
        <v>30</v>
      </c>
      <c r="I450" s="2" t="str">
        <f ca="1">IFERROR(__xludf.DUMMYFUNCTION("GOOGLETRANSLATE(C450,""fr"",""en"")"),"Home insurance terminated by the MAAF for claims frequency ... namely that I had only one in 2019 ... It should be noted that I asked for my legal protection also taken from the maaf of Intervene for a problem with my lessor. The first time they refused b"&amp;"ecause the PJ was subscribed after the start of the problems. The 2nd time he pj has accepted but has done absolutely nothing else I have never heard again. Obviously to believe my advisor, requests from the PJ are considered to be claims ... No but we wa"&amp;"lk on the head !!! I have been at home for years and they have all my contracts. No payment defect nothing. Basically you cannot have a disaster and need your PJ for anything else Sino you are fired on the spot. I say bravo the maaf because it is not a co"&amp;"ntract that they will lose but all.")</f>
        <v>Home insurance terminated by the MAAF for claims frequency ... namely that I had only one in 2019 ... It should be noted that I asked for my legal protection also taken from the maaf of Intervene for a problem with my lessor. The first time they refused because the PJ was subscribed after the start of the problems. The 2nd time he pj has accepted but has done absolutely nothing else I have never heard again. Obviously to believe my advisor, requests from the PJ are considered to be claims ... No but we walk on the head !!! I have been at home for years and they have all my contracts. No payment defect nothing. Basically you cannot have a disaster and need your PJ for anything else Sino you are fired on the spot. I say bravo the maaf because it is not a contract that they will lose but all.</v>
      </c>
    </row>
    <row r="451" spans="1:9" ht="15.75" customHeight="1" x14ac:dyDescent="0.3">
      <c r="A451" s="2">
        <v>1</v>
      </c>
      <c r="B451" s="2" t="s">
        <v>1358</v>
      </c>
      <c r="C451" s="2" t="s">
        <v>1359</v>
      </c>
      <c r="D451" s="2" t="s">
        <v>65</v>
      </c>
      <c r="E451" s="2" t="s">
        <v>137</v>
      </c>
      <c r="F451" s="2" t="s">
        <v>15</v>
      </c>
      <c r="G451" s="2" t="s">
        <v>1360</v>
      </c>
      <c r="H451" s="2" t="s">
        <v>507</v>
      </c>
      <c r="I451" s="2" t="str">
        <f ca="1">IFERROR(__xludf.DUMMYFUNCTION("GOOGLETRANSLATE(C451,""fr"",""en"")"),"A/R transport insurance on Corsica Ferry Toulon Trapani. Accident on site 2 days after arrival. Imperative return at our expense. The insurance taken only covers if the cancellation is carried out before departure. We are disappointed because we had taken"&amp;" out this insurance to be covered for this type of problem.
Our financial investments will migrate to other companies ...")</f>
        <v>A/R transport insurance on Corsica Ferry Toulon Trapani. Accident on site 2 days after arrival. Imperative return at our expense. The insurance taken only covers if the cancellation is carried out before departure. We are disappointed because we had taken out this insurance to be covered for this type of problem.
Our financial investments will migrate to other companies ...</v>
      </c>
    </row>
    <row r="452" spans="1:9" ht="15.75" customHeight="1" x14ac:dyDescent="0.3">
      <c r="A452" s="2">
        <v>2</v>
      </c>
      <c r="B452" s="2" t="s">
        <v>1361</v>
      </c>
      <c r="C452" s="2" t="s">
        <v>1362</v>
      </c>
      <c r="D452" s="2" t="s">
        <v>120</v>
      </c>
      <c r="E452" s="2" t="s">
        <v>61</v>
      </c>
      <c r="F452" s="2" t="s">
        <v>15</v>
      </c>
      <c r="G452" s="2" t="s">
        <v>1363</v>
      </c>
      <c r="H452" s="2" t="s">
        <v>216</v>
      </c>
      <c r="I452" s="2" t="str">
        <f ca="1">IFERROR(__xludf.DUMMYFUNCTION("GOOGLETRANSLATE(C452,""fr"",""en"")"),"1 month to process a request for buyout, which suddenly was not processed in the requested tax year, without anyone taking care to warn me and makes me lose my tax reduction. Very unhappy for my first takeover!")</f>
        <v>1 month to process a request for buyout, which suddenly was not processed in the requested tax year, without anyone taking care to warn me and makes me lose my tax reduction. Very unhappy for my first takeover!</v>
      </c>
    </row>
    <row r="453" spans="1:9" ht="15.75" customHeight="1" x14ac:dyDescent="0.3">
      <c r="A453" s="2">
        <v>5</v>
      </c>
      <c r="B453" s="2" t="s">
        <v>1364</v>
      </c>
      <c r="C453" s="2" t="s">
        <v>1365</v>
      </c>
      <c r="D453" s="2" t="s">
        <v>284</v>
      </c>
      <c r="E453" s="2" t="s">
        <v>81</v>
      </c>
      <c r="F453" s="2" t="s">
        <v>15</v>
      </c>
      <c r="G453" s="2" t="s">
        <v>713</v>
      </c>
      <c r="H453" s="2" t="s">
        <v>25</v>
      </c>
      <c r="I453" s="2" t="str">
        <f ca="1">IFERROR(__xludf.DUMMYFUNCTION("GOOGLETRANSLATE(C453,""fr"",""en"")"),"Real insurance.
The price sometimes seems higher than elsewhere, but everything is included from the start. So I am really assured and no unpleasant surprises in the event of a problem.
For example, I made a little fall almost at the end without gravity"&amp;", but by tilting on the side I typed my head on the ground. No hesitation, the mutual insurance company immediately reimbursed me the helmet (Shoei at € 500!) To leave well protected. Financially, it is a very good return on investment.")</f>
        <v>Real insurance.
The price sometimes seems higher than elsewhere, but everything is included from the start. So I am really assured and no unpleasant surprises in the event of a problem.
For example, I made a little fall almost at the end without gravity, but by tilting on the side I typed my head on the ground. No hesitation, the mutual insurance company immediately reimbursed me the helmet (Shoei at € 500!) To leave well protected. Financially, it is a very good return on investment.</v>
      </c>
    </row>
    <row r="454" spans="1:9" ht="15.75" customHeight="1" x14ac:dyDescent="0.3">
      <c r="A454" s="2">
        <v>1</v>
      </c>
      <c r="B454" s="2" t="s">
        <v>1366</v>
      </c>
      <c r="C454" s="2" t="s">
        <v>1367</v>
      </c>
      <c r="D454" s="2" t="s">
        <v>128</v>
      </c>
      <c r="E454" s="2" t="s">
        <v>14</v>
      </c>
      <c r="F454" s="2" t="s">
        <v>15</v>
      </c>
      <c r="G454" s="2" t="s">
        <v>1368</v>
      </c>
      <c r="H454" s="2" t="s">
        <v>236</v>
      </c>
      <c r="I454" s="2" t="str">
        <f ca="1">IFERROR(__xludf.DUMMYFUNCTION("GOOGLETRANSLATE(C454,""fr"",""en"")"),"I was terminated after a year because I had not transmitted all the documents (after therefore 12 beautiful monthly payments well conceded), I wanted to be able to terminate myself on the date of birthday in view of their prices Prohibitive but they refus"&amp;"ed, preferring to submit to future complications of re insurance following a termination on their part. Completely anti -commercial and very complicated behavior behind me to make sure, I absolutely do not recommend this kind of company which is more unre"&amp;"achable.")</f>
        <v>I was terminated after a year because I had not transmitted all the documents (after therefore 12 beautiful monthly payments well conceded), I wanted to be able to terminate myself on the date of birthday in view of their prices Prohibitive but they refused, preferring to submit to future complications of re insurance following a termination on their part. Completely anti -commercial and very complicated behavior behind me to make sure, I absolutely do not recommend this kind of company which is more unreachable.</v>
      </c>
    </row>
    <row r="455" spans="1:9" ht="15.75" customHeight="1" x14ac:dyDescent="0.3">
      <c r="A455" s="2">
        <v>3</v>
      </c>
      <c r="B455" s="2" t="s">
        <v>1369</v>
      </c>
      <c r="C455" s="2" t="s">
        <v>1370</v>
      </c>
      <c r="D455" s="2" t="s">
        <v>28</v>
      </c>
      <c r="E455" s="2" t="s">
        <v>14</v>
      </c>
      <c r="F455" s="2" t="s">
        <v>15</v>
      </c>
      <c r="G455" s="2" t="s">
        <v>1371</v>
      </c>
      <c r="H455" s="2" t="s">
        <v>21</v>
      </c>
      <c r="I455" s="2" t="str">
        <f ca="1">IFERROR(__xludf.DUMMYFUNCTION("GOOGLETRANSLATE(C455,""fr"",""en"")"),"I am satisfied at the moment thank you I hope that the prices will be lower according to the previous years, here I am thanked you cordially Mr Sylvere")</f>
        <v>I am satisfied at the moment thank you I hope that the prices will be lower according to the previous years, here I am thanked you cordially Mr Sylvere</v>
      </c>
    </row>
    <row r="456" spans="1:9" ht="15.75" customHeight="1" x14ac:dyDescent="0.3">
      <c r="A456" s="2">
        <v>3</v>
      </c>
      <c r="B456" s="2" t="s">
        <v>1372</v>
      </c>
      <c r="C456" s="2" t="s">
        <v>1373</v>
      </c>
      <c r="D456" s="2" t="s">
        <v>28</v>
      </c>
      <c r="E456" s="2" t="s">
        <v>14</v>
      </c>
      <c r="F456" s="2" t="s">
        <v>15</v>
      </c>
      <c r="G456" s="2" t="s">
        <v>314</v>
      </c>
      <c r="H456" s="2" t="s">
        <v>111</v>
      </c>
      <c r="I456" s="2" t="str">
        <f ca="1">IFERROR(__xludf.DUMMYFUNCTION("GOOGLETRANSLATE(C456,""fr"",""en"")"),"A little complicated, prices and quotes are sometimes too different from one case to another, some advisers take liberties regarding the criteria of quotes, which sometimes can be a source of possible problems.")</f>
        <v>A little complicated, prices and quotes are sometimes too different from one case to another, some advisers take liberties regarding the criteria of quotes, which sometimes can be a source of possible problems.</v>
      </c>
    </row>
    <row r="457" spans="1:9" ht="15.75" customHeight="1" x14ac:dyDescent="0.3">
      <c r="A457" s="2">
        <v>3</v>
      </c>
      <c r="B457" s="2" t="s">
        <v>1374</v>
      </c>
      <c r="C457" s="2" t="s">
        <v>1375</v>
      </c>
      <c r="D457" s="2" t="s">
        <v>13</v>
      </c>
      <c r="E457" s="2" t="s">
        <v>14</v>
      </c>
      <c r="F457" s="2" t="s">
        <v>15</v>
      </c>
      <c r="G457" s="2" t="s">
        <v>82</v>
      </c>
      <c r="H457" s="2" t="s">
        <v>83</v>
      </c>
      <c r="I457" s="2" t="str">
        <f ca="1">IFERROR(__xludf.DUMMYFUNCTION("GOOGLETRANSLATE(C457,""fr"",""en"")"),"I am a young permit therefore a little expensive but it is suitable .. after by the future I might have the right to bonuses?!
Hope to be able to arrange me with direct insurance in the future")</f>
        <v>I am a young permit therefore a little expensive but it is suitable .. after by the future I might have the right to bonuses?!
Hope to be able to arrange me with direct insurance in the future</v>
      </c>
    </row>
    <row r="458" spans="1:9" ht="15.75" customHeight="1" x14ac:dyDescent="0.3">
      <c r="A458" s="2">
        <v>5</v>
      </c>
      <c r="B458" s="2" t="s">
        <v>1376</v>
      </c>
      <c r="C458" s="2" t="s">
        <v>1377</v>
      </c>
      <c r="D458" s="2" t="s">
        <v>38</v>
      </c>
      <c r="E458" s="2" t="s">
        <v>39</v>
      </c>
      <c r="F458" s="2" t="s">
        <v>15</v>
      </c>
      <c r="G458" s="2" t="s">
        <v>1378</v>
      </c>
      <c r="H458" s="2" t="s">
        <v>111</v>
      </c>
      <c r="I458" s="2" t="str">
        <f ca="1">IFERROR(__xludf.DUMMYFUNCTION("GOOGLETRANSLATE(C458,""fr"",""en"")"),"Sorry, the email escaped me before I finished. I wanted to thank Emeline for her availability, her efficiency, her kindness.
Cordially
Nicole Garo")</f>
        <v>Sorry, the email escaped me before I finished. I wanted to thank Emeline for her availability, her efficiency, her kindness.
Cordially
Nicole Garo</v>
      </c>
    </row>
    <row r="459" spans="1:9" ht="15.75" customHeight="1" x14ac:dyDescent="0.3">
      <c r="A459" s="2">
        <v>3</v>
      </c>
      <c r="B459" s="2" t="s">
        <v>1379</v>
      </c>
      <c r="C459" s="2" t="s">
        <v>1380</v>
      </c>
      <c r="D459" s="2" t="s">
        <v>530</v>
      </c>
      <c r="E459" s="2" t="s">
        <v>39</v>
      </c>
      <c r="F459" s="2" t="s">
        <v>15</v>
      </c>
      <c r="G459" s="2" t="s">
        <v>1381</v>
      </c>
      <c r="H459" s="2" t="s">
        <v>57</v>
      </c>
      <c r="I459" s="2" t="str">
        <f ca="1">IFERROR(__xludf.DUMMYFUNCTION("GOOGLETRANSLATE(C459,""fr"",""en"")"),"Customer advisers are very effective but reimbursements are derisory on optics and dental, especially for children despite an optimal care request.")</f>
        <v>Customer advisers are very effective but reimbursements are derisory on optics and dental, especially for children despite an optimal care request.</v>
      </c>
    </row>
    <row r="460" spans="1:9" ht="15.75" customHeight="1" x14ac:dyDescent="0.3">
      <c r="A460" s="2">
        <v>4</v>
      </c>
      <c r="B460" s="2" t="s">
        <v>1382</v>
      </c>
      <c r="C460" s="2" t="s">
        <v>1383</v>
      </c>
      <c r="D460" s="2" t="s">
        <v>28</v>
      </c>
      <c r="E460" s="2" t="s">
        <v>14</v>
      </c>
      <c r="F460" s="2" t="s">
        <v>15</v>
      </c>
      <c r="G460" s="2" t="s">
        <v>1251</v>
      </c>
      <c r="H460" s="2" t="s">
        <v>83</v>
      </c>
      <c r="I460" s="2" t="str">
        <f ca="1">IFERROR(__xludf.DUMMYFUNCTION("GOOGLETRANSLATE(C460,""fr"",""en"")"),"For the moment I am satisfied but I have just started the contract
I have the vehicle for 2 days
I can put a more ""just"" note with regard to my experience in a few months rather")</f>
        <v>For the moment I am satisfied but I have just started the contract
I have the vehicle for 2 days
I can put a more "just" note with regard to my experience in a few months rather</v>
      </c>
    </row>
    <row r="461" spans="1:9" ht="15.75" customHeight="1" x14ac:dyDescent="0.3">
      <c r="A461" s="2">
        <v>4</v>
      </c>
      <c r="B461" s="2" t="s">
        <v>1384</v>
      </c>
      <c r="C461" s="2" t="s">
        <v>1385</v>
      </c>
      <c r="D461" s="2" t="s">
        <v>13</v>
      </c>
      <c r="E461" s="2" t="s">
        <v>14</v>
      </c>
      <c r="F461" s="2" t="s">
        <v>15</v>
      </c>
      <c r="G461" s="2" t="s">
        <v>82</v>
      </c>
      <c r="H461" s="2" t="s">
        <v>83</v>
      </c>
      <c r="I461" s="2" t="str">
        <f ca="1">IFERROR(__xludf.DUMMYFUNCTION("GOOGLETRANSLATE(C461,""fr"",""en"")"),"Satisfied with the service and the speed of the procedures. The advisor I had on the phone was pleasant and attentive. The site is also easy to use")</f>
        <v>Satisfied with the service and the speed of the procedures. The advisor I had on the phone was pleasant and attentive. The site is also easy to use</v>
      </c>
    </row>
    <row r="462" spans="1:9" ht="15.75" customHeight="1" x14ac:dyDescent="0.3">
      <c r="A462" s="2">
        <v>1</v>
      </c>
      <c r="B462" s="2" t="s">
        <v>1386</v>
      </c>
      <c r="C462" s="2" t="s">
        <v>1387</v>
      </c>
      <c r="D462" s="2" t="s">
        <v>310</v>
      </c>
      <c r="E462" s="2" t="s">
        <v>14</v>
      </c>
      <c r="F462" s="2" t="s">
        <v>15</v>
      </c>
      <c r="G462" s="2" t="s">
        <v>56</v>
      </c>
      <c r="H462" s="2" t="s">
        <v>57</v>
      </c>
      <c r="I462" s="2" t="str">
        <f ca="1">IFERROR(__xludf.DUMMYFUNCTION("GOOGLETRANSLATE(C462,""fr"",""en"")"),"The average note speaks volumes about this insurer.
What are the bonuses for if it is necessary to increase prices every year.
Very no level service. 45 min waiting each time we try to join them. And in the end, information that is not always reliable.
"&amp;"
Incomprehensible how this insurance can register in your information statement a responsible claim when it has never been contacted by the opposite insurance and incurred any compensation costs.
In short, I will never recommend it ... and then ever.")</f>
        <v>The average note speaks volumes about this insurer.
What are the bonuses for if it is necessary to increase prices every year.
Very no level service. 45 min waiting each time we try to join them. And in the end, information that is not always reliable.
Incomprehensible how this insurance can register in your information statement a responsible claim when it has never been contacted by the opposite insurance and incurred any compensation costs.
In short, I will never recommend it ... and then ever.</v>
      </c>
    </row>
    <row r="463" spans="1:9" ht="15.75" customHeight="1" x14ac:dyDescent="0.3">
      <c r="A463" s="2">
        <v>4</v>
      </c>
      <c r="B463" s="2" t="s">
        <v>1388</v>
      </c>
      <c r="C463" s="2" t="s">
        <v>1389</v>
      </c>
      <c r="D463" s="2" t="s">
        <v>601</v>
      </c>
      <c r="E463" s="2" t="s">
        <v>39</v>
      </c>
      <c r="F463" s="2" t="s">
        <v>15</v>
      </c>
      <c r="G463" s="2" t="s">
        <v>673</v>
      </c>
      <c r="H463" s="2" t="s">
        <v>111</v>
      </c>
      <c r="I463" s="2" t="str">
        <f ca="1">IFERROR(__xludf.DUMMYFUNCTION("GOOGLETRANSLATE(C463,""fr"",""en"")"),"I had an accident last week and was operated on. I contacted my mutual generation this week, they immediately did the necessary for care because I am immobilized. Help arrives next week.")</f>
        <v>I had an accident last week and was operated on. I contacted my mutual generation this week, they immediately did the necessary for care because I am immobilized. Help arrives next week.</v>
      </c>
    </row>
    <row r="464" spans="1:9" ht="15.75" customHeight="1" x14ac:dyDescent="0.3">
      <c r="A464" s="2">
        <v>1</v>
      </c>
      <c r="B464" s="2" t="s">
        <v>1390</v>
      </c>
      <c r="C464" s="2" t="s">
        <v>1391</v>
      </c>
      <c r="D464" s="2" t="s">
        <v>412</v>
      </c>
      <c r="E464" s="2" t="s">
        <v>39</v>
      </c>
      <c r="F464" s="2" t="s">
        <v>15</v>
      </c>
      <c r="G464" s="2" t="s">
        <v>1392</v>
      </c>
      <c r="H464" s="2" t="s">
        <v>381</v>
      </c>
      <c r="I464" s="2" t="str">
        <f ca="1">IFERROR(__xludf.DUMMYFUNCTION("GOOGLETRANSLATE(C464,""fr"",""en"")"),"My request for portability one month after my dismissal is still not processed when I sent all the documents requested 3 days after my dismissal! Today I am simply without any coverage! It's up to me to pay my costs. Customer service is unable to inform m"&amp;"e and suggests that I be recalled within 48 hours by the competent service to tell me what is going on with demand for portability (?). Hallucing. Very disappointed I do not recommend.")</f>
        <v>My request for portability one month after my dismissal is still not processed when I sent all the documents requested 3 days after my dismissal! Today I am simply without any coverage! It's up to me to pay my costs. Customer service is unable to inform me and suggests that I be recalled within 48 hours by the competent service to tell me what is going on with demand for portability (?). Hallucing. Very disappointed I do not recommend.</v>
      </c>
    </row>
    <row r="465" spans="1:9" ht="15.75" customHeight="1" x14ac:dyDescent="0.3">
      <c r="A465" s="2">
        <v>2</v>
      </c>
      <c r="B465" s="2" t="s">
        <v>1393</v>
      </c>
      <c r="C465" s="2" t="s">
        <v>1394</v>
      </c>
      <c r="D465" s="2" t="s">
        <v>695</v>
      </c>
      <c r="E465" s="2" t="s">
        <v>50</v>
      </c>
      <c r="F465" s="2" t="s">
        <v>15</v>
      </c>
      <c r="G465" s="2" t="s">
        <v>1395</v>
      </c>
      <c r="H465" s="2" t="s">
        <v>354</v>
      </c>
      <c r="I465" s="2" t="str">
        <f ca="1">IFERROR(__xludf.DUMMYFUNCTION("GOOGLETRANSLATE(C465,""fr"",""en"")"),"I sent by email with receipt and reading accuse on October 5, 2020 for the reimbursement of my dog ​​vaccine to the start he tell me that he did not receive anything but when I said it I sent it recommended and accuse of reading as if by chance he finds h"&amp;"im in the unwanted and the guess what? He tells me that they have that the care sheet and not the bill and said not possible I have the emails in front of my eyes but as I am nice I return the bill and I remember to know if all is good. He tells me to rec"&amp;"all tomorrow I tell them that it's up to them to do it. He say it's not possible and I do them that if he doesn’t remind me next I oppose it. She threatens me and she hooks me . It is unacceptable. I don't have to believe me. They are all interested in re"&amp;"minding me and reimbursing me the care and I will look elsewhere. Ha when he has a promotion he calls but the nothing that slab made very careful with this insurance. I will surely let the payment of December pass but if they did nothing here I oppose the"&amp;" sags and as the bailiffs come I have all the documents and in addition my legal advice and warned and he already put a Lawyer at my disposal and it costs me 0 euro. He believes himself all allowed. But I am not a puppet.
")</f>
        <v xml:space="preserve">I sent by email with receipt and reading accuse on October 5, 2020 for the reimbursement of my dog ​​vaccine to the start he tell me that he did not receive anything but when I said it I sent it recommended and accuse of reading as if by chance he finds him in the unwanted and the guess what? He tells me that they have that the care sheet and not the bill and said not possible I have the emails in front of my eyes but as I am nice I return the bill and I remember to know if all is good. He tells me to recall tomorrow I tell them that it's up to them to do it. He say it's not possible and I do them that if he doesn’t remind me next I oppose it. She threatens me and she hooks me . It is unacceptable. I don't have to believe me. They are all interested in reminding me and reimbursing me the care and I will look elsewhere. Ha when he has a promotion he calls but the nothing that slab made very careful with this insurance. I will surely let the payment of December pass but if they did nothing here I oppose the sags and as the bailiffs come I have all the documents and in addition my legal advice and warned and he already put a Lawyer at my disposal and it costs me 0 euro. He believes himself all allowed. But I am not a puppet.
</v>
      </c>
    </row>
    <row r="466" spans="1:9" ht="15.75" customHeight="1" x14ac:dyDescent="0.3">
      <c r="A466" s="2">
        <v>3</v>
      </c>
      <c r="B466" s="2" t="s">
        <v>1396</v>
      </c>
      <c r="C466" s="2" t="s">
        <v>1397</v>
      </c>
      <c r="D466" s="2" t="s">
        <v>80</v>
      </c>
      <c r="E466" s="2" t="s">
        <v>81</v>
      </c>
      <c r="F466" s="2" t="s">
        <v>15</v>
      </c>
      <c r="G466" s="2" t="s">
        <v>1398</v>
      </c>
      <c r="H466" s="2" t="s">
        <v>111</v>
      </c>
      <c r="I466" s="2" t="str">
        <f ca="1">IFERROR(__xludf.DUMMYFUNCTION("GOOGLETRANSLATE(C466,""fr"",""en"")"),"I just just subscribed so wait to see for the future. For the prices I find them a little expensive, otherwise quote does quickly, now I'm waiting to see if I will receive the certificates.")</f>
        <v>I just just subscribed so wait to see for the future. For the prices I find them a little expensive, otherwise quote does quickly, now I'm waiting to see if I will receive the certificates.</v>
      </c>
    </row>
    <row r="467" spans="1:9" ht="15.75" customHeight="1" x14ac:dyDescent="0.3">
      <c r="A467" s="2">
        <v>1</v>
      </c>
      <c r="B467" s="2" t="s">
        <v>1399</v>
      </c>
      <c r="C467" s="2" t="s">
        <v>1400</v>
      </c>
      <c r="D467" s="2" t="s">
        <v>13</v>
      </c>
      <c r="E467" s="2" t="s">
        <v>14</v>
      </c>
      <c r="F467" s="2" t="s">
        <v>15</v>
      </c>
      <c r="G467" s="2" t="s">
        <v>1401</v>
      </c>
      <c r="H467" s="2" t="s">
        <v>661</v>
      </c>
      <c r="I467" s="2" t="str">
        <f ca="1">IFERROR(__xludf.DUMMYFUNCTION("GOOGLETRANSLATE(C467,""fr"",""en"")"),"I receive a receiver a letter which says to me congratulations you have a bonus. is the increase in increased I pay 10 euro
more expensive than the previous year ...
Apart from other insurance from people whom I know pays insurance cheaper.
I wish to l"&amp;"eave and find better elsewhere because I am decu")</f>
        <v>I receive a receiver a letter which says to me congratulations you have a bonus. is the increase in increased I pay 10 euro
more expensive than the previous year ...
Apart from other insurance from people whom I know pays insurance cheaper.
I wish to leave and find better elsewhere because I am decu</v>
      </c>
    </row>
    <row r="468" spans="1:9" ht="15.75" customHeight="1" x14ac:dyDescent="0.3">
      <c r="A468" s="2">
        <v>1</v>
      </c>
      <c r="B468" s="2" t="s">
        <v>1402</v>
      </c>
      <c r="C468" s="2" t="s">
        <v>1403</v>
      </c>
      <c r="D468" s="2" t="s">
        <v>13</v>
      </c>
      <c r="E468" s="2" t="s">
        <v>14</v>
      </c>
      <c r="F468" s="2" t="s">
        <v>15</v>
      </c>
      <c r="G468" s="2" t="s">
        <v>1404</v>
      </c>
      <c r="H468" s="2" t="s">
        <v>52</v>
      </c>
      <c r="I468" s="2" t="str">
        <f ca="1">IFERROR(__xludf.DUMMYFUNCTION("GOOGLETRANSLATE(C468,""fr"",""en"")"),"Hello,
A year ago I was already posting for this insurer, following this post I had been able to obtain a prize ceremony following an excessive increase in the subscription.
Today I change my vehicle and I therefore asked for a quote on their site, ther"&amp;"e misunderstanding I am told that I do not meet their criteria, I send a message and I am told that as any contract are subject To rules of acceptance, without telling me what they are, and apart from having wanted to negotiate my price, I had no sinister"&amp;" any problem.
To terminate unlike other insurers, it is impossible to do it online (on the other hand to pay this it works) you have to send a recommended, suddenly I change your insurance and there I need an information statement, Impossible to get it o"&amp;"nline either, you have to phone, it's shameful.
Below the boats responses received from them.
""You inform me of the return of your BMW X4 vehicle, and you ask us about the termination procedure.
We regret not being able to offer you a suitable con"&amp;"tract for your replacement vehicle.
In addition, your request must be sent by registered letter (postal or electronic via the La Poste website) accompanied by a copy of the transfer certificate to the following address:
Direct Insurance - TSA 21031 "&amp;"- 59784 Lille Cedex 09.
If you have a question, we remain at your disposal. ""
And the second:
""I thank you for your feedback.
We understand your dissatisfaction, and we regret that we cannot respond favorably to your request.
I specify th"&amp;"at as for type of contracts, ours are also subject to acceptance rules.
If you have a question, we remain at your disposal at the number below.
Thank you for your confidence.""
Insurer to flee who does everything to complicate the life of its cus"&amp;"tomers.")</f>
        <v>Hello,
A year ago I was already posting for this insurer, following this post I had been able to obtain a prize ceremony following an excessive increase in the subscription.
Today I change my vehicle and I therefore asked for a quote on their site, there misunderstanding I am told that I do not meet their criteria, I send a message and I am told that as any contract are subject To rules of acceptance, without telling me what they are, and apart from having wanted to negotiate my price, I had no sinister any problem.
To terminate unlike other insurers, it is impossible to do it online (on the other hand to pay this it works) you have to send a recommended, suddenly I change your insurance and there I need an information statement, Impossible to get it online either, you have to phone, it's shameful.
Below the boats responses received from them.
"You inform me of the return of your BMW X4 vehicle, and you ask us about the termination procedure.
We regret not being able to offer you a suitable contract for your replacement vehicle.
In addition, your request must be sent by registered letter (postal or electronic via the La Poste website) accompanied by a copy of the transfer certificate to the following address:
Direct Insurance - TSA 21031 - 59784 Lille Cedex 09.
If you have a question, we remain at your disposal. "
And the second:
"I thank you for your feedback.
We understand your dissatisfaction, and we regret that we cannot respond favorably to your request.
I specify that as for type of contracts, ours are also subject to acceptance rules.
If you have a question, we remain at your disposal at the number below.
Thank you for your confidence."
Insurer to flee who does everything to complicate the life of its customers.</v>
      </c>
    </row>
    <row r="469" spans="1:9" ht="15.75" customHeight="1" x14ac:dyDescent="0.3">
      <c r="A469" s="2">
        <v>3</v>
      </c>
      <c r="B469" s="2" t="s">
        <v>1405</v>
      </c>
      <c r="C469" s="2" t="s">
        <v>1406</v>
      </c>
      <c r="D469" s="2" t="s">
        <v>28</v>
      </c>
      <c r="E469" s="2" t="s">
        <v>14</v>
      </c>
      <c r="F469" s="2" t="s">
        <v>15</v>
      </c>
      <c r="G469" s="2" t="s">
        <v>1407</v>
      </c>
      <c r="H469" s="2" t="s">
        <v>30</v>
      </c>
      <c r="I469" s="2" t="str">
        <f ca="1">IFERROR(__xludf.DUMMYFUNCTION("GOOGLETRANSLATE(C469,""fr"",""en"")"),"Hello,
Very attractive price but the occasional driver deductible is a negative point unfortunately in your insurance
have a good day.......")</f>
        <v>Hello,
Very attractive price but the occasional driver deductible is a negative point unfortunately in your insurance
have a good day.......</v>
      </c>
    </row>
    <row r="470" spans="1:9" ht="15.75" customHeight="1" x14ac:dyDescent="0.3">
      <c r="A470" s="2">
        <v>5</v>
      </c>
      <c r="B470" s="2" t="s">
        <v>1408</v>
      </c>
      <c r="C470" s="2" t="s">
        <v>1409</v>
      </c>
      <c r="D470" s="2" t="s">
        <v>13</v>
      </c>
      <c r="E470" s="2" t="s">
        <v>14</v>
      </c>
      <c r="F470" s="2" t="s">
        <v>15</v>
      </c>
      <c r="G470" s="2" t="s">
        <v>97</v>
      </c>
      <c r="H470" s="2" t="s">
        <v>25</v>
      </c>
      <c r="I470" s="2" t="str">
        <f ca="1">IFERROR(__xludf.DUMMYFUNCTION("GOOGLETRANSLATE(C470,""fr"",""en"")"),"I am entirely satisfied with the services offer quotes are very well explained and the prices are very affordable the file is processed quickly")</f>
        <v>I am entirely satisfied with the services offer quotes are very well explained and the prices are very affordable the file is processed quickly</v>
      </c>
    </row>
    <row r="471" spans="1:9" ht="15.75" customHeight="1" x14ac:dyDescent="0.3">
      <c r="A471" s="2">
        <v>3</v>
      </c>
      <c r="B471" s="2" t="s">
        <v>1410</v>
      </c>
      <c r="C471" s="2" t="s">
        <v>1411</v>
      </c>
      <c r="D471" s="2" t="s">
        <v>13</v>
      </c>
      <c r="E471" s="2" t="s">
        <v>14</v>
      </c>
      <c r="F471" s="2" t="s">
        <v>15</v>
      </c>
      <c r="G471" s="2" t="s">
        <v>1412</v>
      </c>
      <c r="H471" s="2" t="s">
        <v>25</v>
      </c>
      <c r="I471" s="2" t="str">
        <f ca="1">IFERROR(__xludf.DUMMYFUNCTION("GOOGLETRANSLATE(C471,""fr"",""en"")"),"I am satisfied with the contract but I thought I could benefit from the life bonus in view of the time of contract and the bonus but apparently this option no longer exists.")</f>
        <v>I am satisfied with the contract but I thought I could benefit from the life bonus in view of the time of contract and the bonus but apparently this option no longer exists.</v>
      </c>
    </row>
    <row r="472" spans="1:9" ht="15.75" customHeight="1" x14ac:dyDescent="0.3">
      <c r="A472" s="2">
        <v>4</v>
      </c>
      <c r="B472" s="2" t="s">
        <v>1413</v>
      </c>
      <c r="C472" s="2" t="s">
        <v>1414</v>
      </c>
      <c r="D472" s="2" t="s">
        <v>28</v>
      </c>
      <c r="E472" s="2" t="s">
        <v>14</v>
      </c>
      <c r="F472" s="2" t="s">
        <v>15</v>
      </c>
      <c r="G472" s="2" t="s">
        <v>1415</v>
      </c>
      <c r="H472" s="2" t="s">
        <v>46</v>
      </c>
      <c r="I472" s="2" t="str">
        <f ca="1">IFERROR(__xludf.DUMMYFUNCTION("GOOGLETRANSLATE(C472,""fr"",""en"")"),"I am satisfied with the price and the implementation of the contract ... On the other hand, I do not yet have an opinion on the insurance itself. I will say with pleasure on this subject as soon as I need to appeal!")</f>
        <v>I am satisfied with the price and the implementation of the contract ... On the other hand, I do not yet have an opinion on the insurance itself. I will say with pleasure on this subject as soon as I need to appeal!</v>
      </c>
    </row>
    <row r="473" spans="1:9" ht="15.75" customHeight="1" x14ac:dyDescent="0.3">
      <c r="A473" s="2">
        <v>4</v>
      </c>
      <c r="B473" s="2" t="s">
        <v>1416</v>
      </c>
      <c r="C473" s="2" t="s">
        <v>1417</v>
      </c>
      <c r="D473" s="2" t="s">
        <v>13</v>
      </c>
      <c r="E473" s="2" t="s">
        <v>14</v>
      </c>
      <c r="F473" s="2" t="s">
        <v>15</v>
      </c>
      <c r="G473" s="2" t="s">
        <v>948</v>
      </c>
      <c r="H473" s="2" t="s">
        <v>25</v>
      </c>
      <c r="I473" s="2" t="str">
        <f ca="1">IFERROR(__xludf.DUMMYFUNCTION("GOOGLETRANSLATE(C473,""fr"",""en"")"),"Satisfied, good personal contact with very responsive listening, nothing more to add, to see during possible bp (that we do not want) .............")</f>
        <v>Satisfied, good personal contact with very responsive listening, nothing more to add, to see during possible bp (that we do not want) .............</v>
      </c>
    </row>
    <row r="474" spans="1:9" ht="15.75" customHeight="1" x14ac:dyDescent="0.3">
      <c r="A474" s="2">
        <v>1</v>
      </c>
      <c r="B474" s="2" t="s">
        <v>1418</v>
      </c>
      <c r="C474" s="2" t="s">
        <v>1419</v>
      </c>
      <c r="D474" s="2" t="s">
        <v>145</v>
      </c>
      <c r="E474" s="2" t="s">
        <v>14</v>
      </c>
      <c r="F474" s="2" t="s">
        <v>15</v>
      </c>
      <c r="G474" s="2" t="s">
        <v>1420</v>
      </c>
      <c r="H474" s="2" t="s">
        <v>467</v>
      </c>
      <c r="I474" s="2" t="str">
        <f ca="1">IFERROR(__xludf.DUMMYFUNCTION("GOOGLETRANSLATE(C474,""fr"",""en"")"),"Lamentable! You turn as soon as you have 2 accidents declared over 3 years! They take the calls for information even when you decide not to declare it because it is close to the franchise !!!
They are there that to punctuate contributions and saw you wit"&amp;"hout appeal on stereotypical letter by triggering their computer system .....
No one in terms of customer service. Contributions did not hold their advertising ....")</f>
        <v>Lamentable! You turn as soon as you have 2 accidents declared over 3 years! They take the calls for information even when you decide not to declare it because it is close to the franchise !!!
They are there that to punctuate contributions and saw you without appeal on stereotypical letter by triggering their computer system .....
No one in terms of customer service. Contributions did not hold their advertising ....</v>
      </c>
    </row>
    <row r="475" spans="1:9" ht="15.75" customHeight="1" x14ac:dyDescent="0.3">
      <c r="A475" s="2">
        <v>1</v>
      </c>
      <c r="B475" s="2" t="s">
        <v>1421</v>
      </c>
      <c r="C475" s="2" t="s">
        <v>1422</v>
      </c>
      <c r="D475" s="2" t="s">
        <v>326</v>
      </c>
      <c r="E475" s="2" t="s">
        <v>129</v>
      </c>
      <c r="F475" s="2" t="s">
        <v>15</v>
      </c>
      <c r="G475" s="2" t="s">
        <v>1423</v>
      </c>
      <c r="H475" s="2" t="s">
        <v>994</v>
      </c>
      <c r="I475" s="2" t="str">
        <f ca="1">IFERROR(__xludf.DUMMYFUNCTION("GOOGLETRANSLATE(C475,""fr"",""en"")"),"Housing Axa Berck: Increase for 10 years 8% and sometimes + without having a claim and change in the house when it was announced 2 to 3% per year then ??")</f>
        <v>Housing Axa Berck: Increase for 10 years 8% and sometimes + without having a claim and change in the house when it was announced 2 to 3% per year then ??</v>
      </c>
    </row>
    <row r="476" spans="1:9" ht="15.75" customHeight="1" x14ac:dyDescent="0.3">
      <c r="A476" s="2">
        <v>3</v>
      </c>
      <c r="B476" s="2" t="s">
        <v>1424</v>
      </c>
      <c r="C476" s="2" t="s">
        <v>1425</v>
      </c>
      <c r="D476" s="2" t="s">
        <v>623</v>
      </c>
      <c r="E476" s="2" t="s">
        <v>61</v>
      </c>
      <c r="F476" s="2" t="s">
        <v>15</v>
      </c>
      <c r="G476" s="2" t="s">
        <v>1426</v>
      </c>
      <c r="H476" s="2" t="s">
        <v>67</v>
      </c>
      <c r="I476" s="2" t="str">
        <f ca="1">IFERROR(__xludf.DUMMYFUNCTION("GOOGLETRANSLATE(C476,""fr"",""en"")"),"BNP cardif life insurance")</f>
        <v>BNP cardif life insurance</v>
      </c>
    </row>
    <row r="477" spans="1:9" ht="15.75" customHeight="1" x14ac:dyDescent="0.3">
      <c r="A477" s="2">
        <v>4</v>
      </c>
      <c r="B477" s="2" t="s">
        <v>1427</v>
      </c>
      <c r="C477" s="2" t="s">
        <v>1428</v>
      </c>
      <c r="D477" s="2" t="s">
        <v>80</v>
      </c>
      <c r="E477" s="2" t="s">
        <v>81</v>
      </c>
      <c r="F477" s="2" t="s">
        <v>15</v>
      </c>
      <c r="G477" s="2" t="s">
        <v>1429</v>
      </c>
      <c r="H477" s="2" t="s">
        <v>30</v>
      </c>
      <c r="I477" s="2" t="str">
        <f ca="1">IFERROR(__xludf.DUMMYFUNCTION("GOOGLETRANSLATE(C477,""fr"",""en"")"),"Difficult to have on the phone but satisfied as soon as I had them on the phone
Interesting and competitive prices
An interesting approach with a basic tariffs and options to add according to our real needs")</f>
        <v>Difficult to have on the phone but satisfied as soon as I had them on the phone
Interesting and competitive prices
An interesting approach with a basic tariffs and options to add according to our real needs</v>
      </c>
    </row>
    <row r="478" spans="1:9" ht="15.75" customHeight="1" x14ac:dyDescent="0.3">
      <c r="A478" s="2">
        <v>4</v>
      </c>
      <c r="B478" s="2" t="s">
        <v>1430</v>
      </c>
      <c r="C478" s="2" t="s">
        <v>1431</v>
      </c>
      <c r="D478" s="2" t="s">
        <v>13</v>
      </c>
      <c r="E478" s="2" t="s">
        <v>14</v>
      </c>
      <c r="F478" s="2" t="s">
        <v>15</v>
      </c>
      <c r="G478" s="2" t="s">
        <v>170</v>
      </c>
      <c r="H478" s="2" t="s">
        <v>111</v>
      </c>
      <c r="I478" s="2" t="str">
        <f ca="1">IFERROR(__xludf.DUMMYFUNCTION("GOOGLETRANSLATE(C478,""fr"",""en"")"),"satisfied with your services, fast efficient, good value for money price
Online quotes at the top, I recommend everyone,
already assured at home a few years ago, I come back to it because convinced")</f>
        <v>satisfied with your services, fast efficient, good value for money price
Online quotes at the top, I recommend everyone,
already assured at home a few years ago, I come back to it because convinced</v>
      </c>
    </row>
    <row r="479" spans="1:9" ht="15.75" customHeight="1" x14ac:dyDescent="0.3">
      <c r="A479" s="2">
        <v>1</v>
      </c>
      <c r="B479" s="2" t="s">
        <v>1432</v>
      </c>
      <c r="C479" s="2" t="s">
        <v>1433</v>
      </c>
      <c r="D479" s="2" t="s">
        <v>28</v>
      </c>
      <c r="E479" s="2" t="s">
        <v>14</v>
      </c>
      <c r="F479" s="2" t="s">
        <v>15</v>
      </c>
      <c r="G479" s="2" t="s">
        <v>1434</v>
      </c>
      <c r="H479" s="2" t="s">
        <v>328</v>
      </c>
      <c r="I479" s="2" t="str">
        <f ca="1">IFERROR(__xludf.DUMMYFUNCTION("GOOGLETRANSLATE(C479,""fr"",""en"")"),"I took this insurance (to third party) (n. Customer 7864239563) without thinking too much with the lefuret.com comparator it seems to me, good price for a first insurance (in any case compared to the tested comparator (partnership?).
Insured since early "&amp;"2016 (permit obtained in 2012), in short R.A.S, I intend to ensure a second vehicle so I say to myself and if I made quotes everywhere, what a bad surprise to see that I come across quotes almost 20 euros/month cheaper .. (for my first vehicle ..)
So I c"&amp;"ontact first by email to see what he could do (explaining that I wanted to ensure a second), response from the email: ""We are missing pieces"" Ah? And when would I have been warned? (It was the final CG, since I provided that the CG barred at the start),"&amp;" no answer for the second vehicle, on the price or what (probably an ""automatic"" email).
In short, I send them the CG and their rewriting an email to find out, no answer .. good ..
So I decide to call them to do this long, and well we are at the top, "&amp;"the person tells me dryly that I am not at the right service (uh .. I only have a unique number in the ""Contact"" section) so good I am referred to the Dis Service Lidelity (and I should have seen with another service for the insurance of the second vehi"&amp;"cle ..) in short then I do not know if the olive tree does in the assisted contract But he should still be careful when he recruits, the said person did not want to know anything (""you are already entitled to a discount, we can do nothing"") so when I se"&amp;"e the price that I am offered elsewhere and his answer, I say that she must necessarily be able to do something, still very reluctant, I explain that even my sister for her first cheaper pay .. (am I therefore a pigeon?) She answers me very mockingly that"&amp;" we assure Not everyone the same. So there it is too so jlui requires a superior, at the beginning she did not want to pass it to me ... in short after all that, I really not happy, she therefore passes me someone who ""said"" chief, I re -explain my prob"&amp;"lem ( That inevitably my goal is to pay cheaper, logical?), In short, he wants to do nothing, so ok but I signal him that I still intend to write directly by letter to express my dissatisfaction and there as if this person n 'is more chief but ""senior ad"&amp;"visor"" ..
The call recorded in any case shows the lack of professionalism. When I have the other messages I don't even imagine if I had a disaster.")</f>
        <v>I took this insurance (to third party) (n. Customer 7864239563) without thinking too much with the lefuret.com comparator it seems to me, good price for a first insurance (in any case compared to the tested comparator (partnership?).
Insured since early 2016 (permit obtained in 2012), in short R.A.S, I intend to ensure a second vehicle so I say to myself and if I made quotes everywhere, what a bad surprise to see that I come across quotes almost 20 euros/month cheaper .. (for my first vehicle ..)
So I contact first by email to see what he could do (explaining that I wanted to ensure a second), response from the email: "We are missing pieces" Ah? And when would I have been warned? (It was the final CG, since I provided that the CG barred at the start), no answer for the second vehicle, on the price or what (probably an "automatic" email).
In short, I send them the CG and their rewriting an email to find out, no answer .. good ..
So I decide to call them to do this long, and well we are at the top, the person tells me dryly that I am not at the right service (uh .. I only have a unique number in the "Contact" section) so good I am referred to the Dis Service Lidelity (and I should have seen with another service for the insurance of the second vehicle ..) in short then I do not know if the olive tree does in the assisted contract But he should still be careful when he recruits, the said person did not want to know anything ("you are already entitled to a discount, we can do nothing") so when I see the price that I am offered elsewhere and his answer, I say that she must necessarily be able to do something, still very reluctant, I explain that even my sister for her first cheaper pay .. (am I therefore a pigeon?) She answers me very mockingly that we assure Not everyone the same. So there it is too so jlui requires a superior, at the beginning she did not want to pass it to me ... in short after all that, I really not happy, she therefore passes me someone who "said" chief, I re -explain my problem ( That inevitably my goal is to pay cheaper, logical?), In short, he wants to do nothing, so ok but I signal him that I still intend to write directly by letter to express my dissatisfaction and there as if this person n 'is more chief but "senior advisor" ..
The call recorded in any case shows the lack of professionalism. When I have the other messages I don't even imagine if I had a disaster.</v>
      </c>
    </row>
    <row r="480" spans="1:9" ht="15.75" customHeight="1" x14ac:dyDescent="0.3">
      <c r="A480" s="2">
        <v>2</v>
      </c>
      <c r="B480" s="2" t="s">
        <v>1435</v>
      </c>
      <c r="C480" s="2" t="s">
        <v>1436</v>
      </c>
      <c r="D480" s="2" t="s">
        <v>145</v>
      </c>
      <c r="E480" s="2" t="s">
        <v>14</v>
      </c>
      <c r="F480" s="2" t="s">
        <v>15</v>
      </c>
      <c r="G480" s="2" t="s">
        <v>1401</v>
      </c>
      <c r="H480" s="2" t="s">
        <v>661</v>
      </c>
      <c r="I480" s="2" t="str">
        <f ca="1">IFERROR(__xludf.DUMMYFUNCTION("GOOGLETRANSLATE(C480,""fr"",""en"")"),"It is not the maaf that I prefer")</f>
        <v>It is not the maaf that I prefer</v>
      </c>
    </row>
    <row r="481" spans="1:9" ht="15.75" customHeight="1" x14ac:dyDescent="0.3">
      <c r="A481" s="2">
        <v>3</v>
      </c>
      <c r="B481" s="2" t="s">
        <v>1437</v>
      </c>
      <c r="C481" s="2" t="s">
        <v>1438</v>
      </c>
      <c r="D481" s="2" t="s">
        <v>13</v>
      </c>
      <c r="E481" s="2" t="s">
        <v>14</v>
      </c>
      <c r="F481" s="2" t="s">
        <v>15</v>
      </c>
      <c r="G481" s="2" t="s">
        <v>696</v>
      </c>
      <c r="H481" s="2" t="s">
        <v>111</v>
      </c>
      <c r="I481" s="2" t="str">
        <f ca="1">IFERROR(__xludf.DUMMYFUNCTION("GOOGLETRANSLATE(C481,""fr"",""en"")"),"Satisfied with the completely independent and fast online subscription formality. It remains to be seen the service to follow. Good experience in the past.")</f>
        <v>Satisfied with the completely independent and fast online subscription formality. It remains to be seen the service to follow. Good experience in the past.</v>
      </c>
    </row>
    <row r="482" spans="1:9" ht="15.75" customHeight="1" x14ac:dyDescent="0.3">
      <c r="A482" s="2">
        <v>1</v>
      </c>
      <c r="B482" s="2" t="s">
        <v>1439</v>
      </c>
      <c r="C482" s="2" t="s">
        <v>1440</v>
      </c>
      <c r="D482" s="2" t="s">
        <v>65</v>
      </c>
      <c r="E482" s="2" t="s">
        <v>14</v>
      </c>
      <c r="F482" s="2" t="s">
        <v>15</v>
      </c>
      <c r="G482" s="2" t="s">
        <v>1441</v>
      </c>
      <c r="H482" s="2" t="s">
        <v>181</v>
      </c>
      <c r="I482" s="2" t="str">
        <f ca="1">IFERROR(__xludf.DUMMYFUNCTION("GOOGLETRANSLATE(C482,""fr"",""en"")"),"Desastreuse of assistance at Allianz:
My parents (over 80 years of age each) insured for several years, broke down on the road on Saturday afternoon on a national road between Laval and Rennes around 2 p.m., they tried to reach the audience and could not"&amp;" obtain qqun that several calls of more than a quarter of an hour each, only the music was present at the end of the line! Between the start of the call and the provision of a car almost 5 hours later! The car was an automatic hybrid, and the explanations"&amp;" of the rental companies were more than brews, which earned some debit on the return (but in short) ...
To recover their repaired vehicle, Allianz offered them taxi and train, but to go. As they were going through Paris there was a taxi transfer between "&amp;"the two stations. The first taxi that was to take them to the station did not come, they had to fend for themselves, when in the second taxi in Paris the numero provided was not good, and could not find him, and they have to take a taxi at their expense.
"&amp;"
In the precipitation my mother fell and fractured her knee. She still continued her trip to recover the car.
After having arrived and recovered the car, it again broke out around Le Mans on the highway on a rest area.
Again impossible to attach assista"&amp;"nce, despite several calls. I myself tried to reach the assistance via my laptop and apart from the music I had no one. It was the assistance of the highway that was able to help them out, but not for free obviously, they had to pay again!
The fornutor a"&amp;"lso tried to call assistance but did not succeed either!
My parents ended up leaving and arriving late at night, but my mother's knee being too painful it ended in the emergency room of Montargis-Amilly. So broken ball joint, and hospitalization of two d"&amp;"ays before return with crutches and wheelchair.
Impossible to reach their Allianz advisor, and replacing it if it exists is absent subscribers.
I went to an Allianz agency where I was told that my parents had to see this with their advisor and not with "&amp;"an agency!
Totally unacceptable from this insurance to leave people delivered with their problems. I will not stop there and make it known to consumer associations, this is not normal, if no rapid solution is offered and implemented by Allianz.
")</f>
        <v xml:space="preserve">Desastreuse of assistance at Allianz:
My parents (over 80 years of age each) insured for several years, broke down on the road on Saturday afternoon on a national road between Laval and Rennes around 2 p.m., they tried to reach the audience and could not obtain qqun that several calls of more than a quarter of an hour each, only the music was present at the end of the line! Between the start of the call and the provision of a car almost 5 hours later! The car was an automatic hybrid, and the explanations of the rental companies were more than brews, which earned some debit on the return (but in short) ...
To recover their repaired vehicle, Allianz offered them taxi and train, but to go. As they were going through Paris there was a taxi transfer between the two stations. The first taxi that was to take them to the station did not come, they had to fend for themselves, when in the second taxi in Paris the numero provided was not good, and could not find him, and they have to take a taxi at their expense.
In the precipitation my mother fell and fractured her knee. She still continued her trip to recover the car.
After having arrived and recovered the car, it again broke out around Le Mans on the highway on a rest area.
Again impossible to attach assistance, despite several calls. I myself tried to reach the assistance via my laptop and apart from the music I had no one. It was the assistance of the highway that was able to help them out, but not for free obviously, they had to pay again!
The fornutor also tried to call assistance but did not succeed either!
My parents ended up leaving and arriving late at night, but my mother's knee being too painful it ended in the emergency room of Montargis-Amilly. So broken ball joint, and hospitalization of two days before return with crutches and wheelchair.
Impossible to reach their Allianz advisor, and replacing it if it exists is absent subscribers.
I went to an Allianz agency where I was told that my parents had to see this with their advisor and not with an agency!
Totally unacceptable from this insurance to leave people delivered with their problems. I will not stop there and make it known to consumer associations, this is not normal, if no rapid solution is offered and implemented by Allianz.
</v>
      </c>
    </row>
    <row r="483" spans="1:9" ht="15.75" customHeight="1" x14ac:dyDescent="0.3">
      <c r="A483" s="2">
        <v>1</v>
      </c>
      <c r="B483" s="2" t="s">
        <v>1442</v>
      </c>
      <c r="C483" s="2" t="s">
        <v>1443</v>
      </c>
      <c r="D483" s="2" t="s">
        <v>303</v>
      </c>
      <c r="E483" s="2" t="s">
        <v>129</v>
      </c>
      <c r="F483" s="2" t="s">
        <v>15</v>
      </c>
      <c r="G483" s="2" t="s">
        <v>1444</v>
      </c>
      <c r="H483" s="2" t="s">
        <v>139</v>
      </c>
      <c r="I483" s="2" t="str">
        <f ca="1">IFERROR(__xludf.DUMMYFUNCTION("GOOGLETRANSLATE(C483,""fr"",""en"")"),"Do not have a problem in your home")</f>
        <v>Do not have a problem in your home</v>
      </c>
    </row>
    <row r="484" spans="1:9" ht="15.75" customHeight="1" x14ac:dyDescent="0.3">
      <c r="A484" s="2">
        <v>1</v>
      </c>
      <c r="B484" s="2" t="s">
        <v>1445</v>
      </c>
      <c r="C484" s="2" t="s">
        <v>1446</v>
      </c>
      <c r="D484" s="2" t="s">
        <v>33</v>
      </c>
      <c r="E484" s="2" t="s">
        <v>14</v>
      </c>
      <c r="F484" s="2" t="s">
        <v>15</v>
      </c>
      <c r="G484" s="2" t="s">
        <v>1447</v>
      </c>
      <c r="H484" s="2" t="s">
        <v>385</v>
      </c>
      <c r="I484" s="2" t="str">
        <f ca="1">IFERROR(__xludf.DUMMYFUNCTION("GOOGLETRANSLATE(C484,""fr"",""en"")"),"Matmut is good insurance until the day you have a disaster! Since December 1, 2018 my vehicle has been stolen, 10 months later I have still not been compensated and I am still asked and still documents, many of which I have already sent! They even ask me "&amp;"very indiscreet questions! We even try to pretend to be a fraudster when everything proves the opposite, including the gendarmerie investigation! After several recommended letters sent, no response! I cannot afford to buy a car so I have been under transp"&amp;"ort for 10 months, it's unacceptable !! We pay to be insured and we finish on the straw! They destroy a life!")</f>
        <v>Matmut is good insurance until the day you have a disaster! Since December 1, 2018 my vehicle has been stolen, 10 months later I have still not been compensated and I am still asked and still documents, many of which I have already sent! They even ask me very indiscreet questions! We even try to pretend to be a fraudster when everything proves the opposite, including the gendarmerie investigation! After several recommended letters sent, no response! I cannot afford to buy a car so I have been under transport for 10 months, it's unacceptable !! We pay to be insured and we finish on the straw! They destroy a life!</v>
      </c>
    </row>
    <row r="485" spans="1:9" ht="15.75" customHeight="1" x14ac:dyDescent="0.3">
      <c r="A485" s="2">
        <v>4</v>
      </c>
      <c r="B485" s="2" t="s">
        <v>1448</v>
      </c>
      <c r="C485" s="2" t="s">
        <v>1449</v>
      </c>
      <c r="D485" s="2" t="s">
        <v>28</v>
      </c>
      <c r="E485" s="2" t="s">
        <v>14</v>
      </c>
      <c r="F485" s="2" t="s">
        <v>15</v>
      </c>
      <c r="G485" s="2" t="s">
        <v>611</v>
      </c>
      <c r="H485" s="2" t="s">
        <v>612</v>
      </c>
      <c r="I485" s="2" t="str">
        <f ca="1">IFERROR(__xludf.DUMMYFUNCTION("GOOGLETRANSLATE(C485,""fr"",""en"")"),"Attractive rates, friendly and responsive commercial and customer services")</f>
        <v>Attractive rates, friendly and responsive commercial and customer services</v>
      </c>
    </row>
    <row r="486" spans="1:9" ht="15.75" customHeight="1" x14ac:dyDescent="0.3">
      <c r="A486" s="2">
        <v>5</v>
      </c>
      <c r="B486" s="2" t="s">
        <v>1450</v>
      </c>
      <c r="C486" s="2" t="s">
        <v>1451</v>
      </c>
      <c r="D486" s="2" t="s">
        <v>13</v>
      </c>
      <c r="E486" s="2" t="s">
        <v>14</v>
      </c>
      <c r="F486" s="2" t="s">
        <v>15</v>
      </c>
      <c r="G486" s="2" t="s">
        <v>673</v>
      </c>
      <c r="H486" s="2" t="s">
        <v>111</v>
      </c>
      <c r="I486" s="2" t="str">
        <f ca="1">IFERROR(__xludf.DUMMYFUNCTION("GOOGLETRANSLATE(C486,""fr"",""en"")"),"Satisfied with simple and fast service nothing to say and cheaper than GMF, other vehicles may also go under Direct Assurances Thank you")</f>
        <v>Satisfied with simple and fast service nothing to say and cheaper than GMF, other vehicles may also go under Direct Assurances Thank you</v>
      </c>
    </row>
    <row r="487" spans="1:9" ht="15.75" customHeight="1" x14ac:dyDescent="0.3">
      <c r="A487" s="2">
        <v>3</v>
      </c>
      <c r="B487" s="2" t="s">
        <v>1452</v>
      </c>
      <c r="C487" s="2" t="s">
        <v>1453</v>
      </c>
      <c r="D487" s="2" t="s">
        <v>13</v>
      </c>
      <c r="E487" s="2" t="s">
        <v>14</v>
      </c>
      <c r="F487" s="2" t="s">
        <v>15</v>
      </c>
      <c r="G487" s="2" t="s">
        <v>1454</v>
      </c>
      <c r="H487" s="2" t="s">
        <v>286</v>
      </c>
      <c r="I487" s="2" t="str">
        <f ca="1">IFERROR(__xludf.DUMMYFUNCTION("GOOGLETRANSLATE(C487,""fr"",""en"")"),"I am satisfied with the possibility of having a quick quote but requesting a compulsory opinion before having been able to receive and testing the quote is a bit painful")</f>
        <v>I am satisfied with the possibility of having a quick quote but requesting a compulsory opinion before having been able to receive and testing the quote is a bit painful</v>
      </c>
    </row>
    <row r="488" spans="1:9" ht="15.75" customHeight="1" x14ac:dyDescent="0.3">
      <c r="A488" s="2">
        <v>3</v>
      </c>
      <c r="B488" s="2" t="s">
        <v>1455</v>
      </c>
      <c r="C488" s="2" t="s">
        <v>1456</v>
      </c>
      <c r="D488" s="2" t="s">
        <v>49</v>
      </c>
      <c r="E488" s="2" t="s">
        <v>50</v>
      </c>
      <c r="F488" s="2" t="s">
        <v>15</v>
      </c>
      <c r="G488" s="2" t="s">
        <v>1457</v>
      </c>
      <c r="H488" s="2" t="s">
        <v>361</v>
      </c>
      <c r="I488" s="2" t="str">
        <f ca="1">IFERROR(__xludf.DUMMYFUNCTION("GOOGLETRANSLATE(C488,""fr"",""en"")"),"Hello,
I have two cats and I wanted to find out about veterinary insurance for one of them (pepita), because my second is too old and I therefore asked online quotes on several insurance sites, including Santevet.
They sent me my quote by email and reca"&amp;"lled in stride (August 26 at 3:06 p.m.)
The phone advisor (if we can call her like that) told me that if my cat already had health problems he was not eligible for insurance and that he had to think about it before, when he n 'has no health concerns yet."&amp;" What I fully understand.
I just wanted advice but this woman was horrible! She clearly yered at me and looked annoyed. The conversation cut short. His attitude is disrespectful!
I especially wanted to find out for later when I want to contract a
Insur"&amp;"ance and it is clear that it will never be with them, they are blacklisted for my part.
That's good, like that they help me sort through alone.
")</f>
        <v xml:space="preserve">Hello,
I have two cats and I wanted to find out about veterinary insurance for one of them (pepita), because my second is too old and I therefore asked online quotes on several insurance sites, including Santevet.
They sent me my quote by email and recalled in stride (August 26 at 3:06 p.m.)
The phone advisor (if we can call her like that) told me that if my cat already had health problems he was not eligible for insurance and that he had to think about it before, when he n 'has no health concerns yet. What I fully understand.
I just wanted advice but this woman was horrible! She clearly yered at me and looked annoyed. The conversation cut short. His attitude is disrespectful!
I especially wanted to find out for later when I want to contract a
Insurance and it is clear that it will never be with them, they are blacklisted for my part.
That's good, like that they help me sort through alone.
</v>
      </c>
    </row>
    <row r="489" spans="1:9" ht="15.75" customHeight="1" x14ac:dyDescent="0.3">
      <c r="A489" s="2">
        <v>2</v>
      </c>
      <c r="B489" s="2" t="s">
        <v>1458</v>
      </c>
      <c r="C489" s="2" t="s">
        <v>1459</v>
      </c>
      <c r="D489" s="2" t="s">
        <v>310</v>
      </c>
      <c r="E489" s="2" t="s">
        <v>14</v>
      </c>
      <c r="F489" s="2" t="s">
        <v>15</v>
      </c>
      <c r="G489" s="2" t="s">
        <v>1447</v>
      </c>
      <c r="H489" s="2" t="s">
        <v>385</v>
      </c>
      <c r="I489" s="2" t="str">
        <f ca="1">IFERROR(__xludf.DUMMYFUNCTION("GOOGLETRANSLATE(C489,""fr"",""en"")"),"Customer since 2012 with a bonus at 0.54, that is to say 12 years without responsible accidents, but that is after a break in ice last winter, vandalism at the start of the year and unfortunately a slight accident this summer (but responsible), I see myse"&amp;"lf notifying a termination. While I have accumulated several contracts with them with many years without the slightest incidents. I would have liked to be warned to negotiate the termination. I tried to contact the customer service by email (email given b"&amp;"y telephone support) and 3 weeks later, I still have no answers.
Now I'm going to be relieved and having difficulty reassuring myself. And I'm not even talking about the way my previous loss was managed.
When I think I have sponsored many friends, I hop"&amp;"e they will not have any problems ...")</f>
        <v>Customer since 2012 with a bonus at 0.54, that is to say 12 years without responsible accidents, but that is after a break in ice last winter, vandalism at the start of the year and unfortunately a slight accident this summer (but responsible), I see myself notifying a termination. While I have accumulated several contracts with them with many years without the slightest incidents. I would have liked to be warned to negotiate the termination. I tried to contact the customer service by email (email given by telephone support) and 3 weeks later, I still have no answers.
Now I'm going to be relieved and having difficulty reassuring myself. And I'm not even talking about the way my previous loss was managed.
When I think I have sponsored many friends, I hope they will not have any problems ...</v>
      </c>
    </row>
    <row r="490" spans="1:9" ht="15.75" customHeight="1" x14ac:dyDescent="0.3">
      <c r="A490" s="2">
        <v>2</v>
      </c>
      <c r="B490" s="2" t="s">
        <v>1460</v>
      </c>
      <c r="C490" s="2" t="s">
        <v>1461</v>
      </c>
      <c r="D490" s="2" t="s">
        <v>13</v>
      </c>
      <c r="E490" s="2" t="s">
        <v>14</v>
      </c>
      <c r="F490" s="2" t="s">
        <v>15</v>
      </c>
      <c r="G490" s="2" t="s">
        <v>1462</v>
      </c>
      <c r="H490" s="2" t="s">
        <v>414</v>
      </c>
      <c r="I490" s="2" t="str">
        <f ca="1">IFERROR(__xludf.DUMMYFUNCTION("GOOGLETRANSLATE(C490,""fr"",""en"")"),"Inadmissible to support an increase on January 1, 2019 by 9.2%.
Interesting prices for subscription but we are massacred on the birthday dates that follow")</f>
        <v>Inadmissible to support an increase on January 1, 2019 by 9.2%.
Interesting prices for subscription but we are massacred on the birthday dates that follow</v>
      </c>
    </row>
    <row r="491" spans="1:9" ht="15.75" customHeight="1" x14ac:dyDescent="0.3">
      <c r="A491" s="2">
        <v>5</v>
      </c>
      <c r="B491" s="2" t="s">
        <v>1463</v>
      </c>
      <c r="C491" s="2" t="s">
        <v>1464</v>
      </c>
      <c r="D491" s="2" t="s">
        <v>13</v>
      </c>
      <c r="E491" s="2" t="s">
        <v>14</v>
      </c>
      <c r="F491" s="2" t="s">
        <v>15</v>
      </c>
      <c r="G491" s="2" t="s">
        <v>1165</v>
      </c>
      <c r="H491" s="2" t="s">
        <v>21</v>
      </c>
      <c r="I491" s="2" t="str">
        <f ca="1">IFERROR(__xludf.DUMMYFUNCTION("GOOGLETRANSLATE(C491,""fr"",""en"")"),"I am fine, I find that the price is affordable and that the after -sales service department is very quick to reach and very competent. I just expect a drop in price given my coefficient and the number of accidents that is 0")</f>
        <v>I am fine, I find that the price is affordable and that the after -sales service department is very quick to reach and very competent. I just expect a drop in price given my coefficient and the number of accidents that is 0</v>
      </c>
    </row>
    <row r="492" spans="1:9" ht="15.75" customHeight="1" x14ac:dyDescent="0.3">
      <c r="A492" s="2">
        <v>5</v>
      </c>
      <c r="B492" s="2" t="s">
        <v>1465</v>
      </c>
      <c r="C492" s="2" t="s">
        <v>1466</v>
      </c>
      <c r="D492" s="2" t="s">
        <v>493</v>
      </c>
      <c r="E492" s="2" t="s">
        <v>101</v>
      </c>
      <c r="F492" s="2" t="s">
        <v>15</v>
      </c>
      <c r="G492" s="2" t="s">
        <v>790</v>
      </c>
      <c r="H492" s="2" t="s">
        <v>71</v>
      </c>
      <c r="I492" s="2" t="str">
        <f ca="1">IFERROR(__xludf.DUMMYFUNCTION("GOOGLETRANSLATE(C492,""fr"",""en"")"),"Fast and efficient thank you for the advice and preferential price. In addition there is a sponsorship system is a very good thing. I recommend")</f>
        <v>Fast and efficient thank you for the advice and preferential price. In addition there is a sponsorship system is a very good thing. I recommend</v>
      </c>
    </row>
    <row r="493" spans="1:9" ht="15.75" customHeight="1" x14ac:dyDescent="0.3">
      <c r="A493" s="2">
        <v>4</v>
      </c>
      <c r="B493" s="2" t="s">
        <v>1467</v>
      </c>
      <c r="C493" s="2" t="s">
        <v>1468</v>
      </c>
      <c r="D493" s="2" t="s">
        <v>28</v>
      </c>
      <c r="E493" s="2" t="s">
        <v>14</v>
      </c>
      <c r="F493" s="2" t="s">
        <v>15</v>
      </c>
      <c r="G493" s="2" t="s">
        <v>1117</v>
      </c>
      <c r="H493" s="2" t="s">
        <v>30</v>
      </c>
      <c r="I493" s="2" t="str">
        <f ca="1">IFERROR(__xludf.DUMMYFUNCTION("GOOGLETRANSLATE(C493,""fr"",""en"")"),"I quickly had my quote and was able to have someone on the phone to guide me in my efforts. I find this insurance very affordable for young drivers.
Fast and efficient service")</f>
        <v>I quickly had my quote and was able to have someone on the phone to guide me in my efforts. I find this insurance very affordable for young drivers.
Fast and efficient service</v>
      </c>
    </row>
    <row r="494" spans="1:9" ht="15.75" customHeight="1" x14ac:dyDescent="0.3">
      <c r="A494" s="2">
        <v>1</v>
      </c>
      <c r="B494" s="2" t="s">
        <v>1469</v>
      </c>
      <c r="C494" s="2" t="s">
        <v>1470</v>
      </c>
      <c r="D494" s="2" t="s">
        <v>601</v>
      </c>
      <c r="E494" s="2" t="s">
        <v>39</v>
      </c>
      <c r="F494" s="2" t="s">
        <v>15</v>
      </c>
      <c r="G494" s="2" t="s">
        <v>615</v>
      </c>
      <c r="H494" s="2" t="s">
        <v>25</v>
      </c>
      <c r="I494" s="2" t="str">
        <f ca="1">IFERROR(__xludf.DUMMYFUNCTION("GOOGLETRANSLATE(C494,""fr"",""en"")"),"Generation Mutual Entreprise Null I have been contributing for years and for the first time I call on them for dental care a bridge of 2000 euros Social security reimburses me 209 euros and generation 159 euros of unheard of I am forced to take another mu"&amp;"tual Exterior to have a serious refund but the worst is that generation always takes me on my salary my contributions of each month when they reimburse only slab therefore imagined the number of employees who have contributions taken every month for nothi"&amp;"ng given that It is a mandatory mutual we have no choice. if well protected by generation a big joke but above all a shame I am more forced to put a star to make me hear otherwise you cannot validate")</f>
        <v>Generation Mutual Entreprise Null I have been contributing for years and for the first time I call on them for dental care a bridge of 2000 euros Social security reimburses me 209 euros and generation 159 euros of unheard of I am forced to take another mutual Exterior to have a serious refund but the worst is that generation always takes me on my salary my contributions of each month when they reimburse only slab therefore imagined the number of employees who have contributions taken every month for nothing given that It is a mandatory mutual we have no choice. if well protected by generation a big joke but above all a shame I am more forced to put a star to make me hear otherwise you cannot validate</v>
      </c>
    </row>
    <row r="495" spans="1:9" ht="15.75" customHeight="1" x14ac:dyDescent="0.3">
      <c r="A495" s="2">
        <v>5</v>
      </c>
      <c r="B495" s="2" t="s">
        <v>1471</v>
      </c>
      <c r="C495" s="2" t="s">
        <v>1472</v>
      </c>
      <c r="D495" s="2" t="s">
        <v>197</v>
      </c>
      <c r="E495" s="2" t="s">
        <v>81</v>
      </c>
      <c r="F495" s="2" t="s">
        <v>15</v>
      </c>
      <c r="G495" s="2" t="s">
        <v>314</v>
      </c>
      <c r="H495" s="2" t="s">
        <v>111</v>
      </c>
      <c r="I495" s="2" t="str">
        <f ca="1">IFERROR(__xludf.DUMMYFUNCTION("GOOGLETRANSLATE(C495,""fr"",""en"")"),"I am very satisfied and I find that it is very simple to use, the price is very attractive. Entirely satisfied with the ease with which we can ensure so quickly")</f>
        <v>I am very satisfied and I find that it is very simple to use, the price is very attractive. Entirely satisfied with the ease with which we can ensure so quickly</v>
      </c>
    </row>
    <row r="496" spans="1:9" ht="15.75" customHeight="1" x14ac:dyDescent="0.3">
      <c r="A496" s="2">
        <v>1</v>
      </c>
      <c r="B496" s="2" t="s">
        <v>1473</v>
      </c>
      <c r="C496" s="2" t="s">
        <v>1474</v>
      </c>
      <c r="D496" s="2" t="s">
        <v>13</v>
      </c>
      <c r="E496" s="2" t="s">
        <v>14</v>
      </c>
      <c r="F496" s="2" t="s">
        <v>15</v>
      </c>
      <c r="G496" s="2" t="s">
        <v>1475</v>
      </c>
      <c r="H496" s="2" t="s">
        <v>25</v>
      </c>
      <c r="I496" s="2" t="str">
        <f ca="1">IFERROR(__xludf.DUMMYFUNCTION("GOOGLETRANSLATE(C496,""fr"",""en"")"),"+ 20 min waiting without having a customer service advisor, then end of communication.
Request for a commercial gesture following an increase 4 years in a row -&gt; nothing.
My next step will be the termination!")</f>
        <v>+ 20 min waiting without having a customer service advisor, then end of communication.
Request for a commercial gesture following an increase 4 years in a row -&gt; nothing.
My next step will be the termination!</v>
      </c>
    </row>
    <row r="497" spans="1:9" ht="15.75" customHeight="1" x14ac:dyDescent="0.3">
      <c r="A497" s="2">
        <v>5</v>
      </c>
      <c r="B497" s="2" t="s">
        <v>1476</v>
      </c>
      <c r="C497" s="2" t="s">
        <v>1477</v>
      </c>
      <c r="D497" s="2" t="s">
        <v>13</v>
      </c>
      <c r="E497" s="2" t="s">
        <v>14</v>
      </c>
      <c r="F497" s="2" t="s">
        <v>15</v>
      </c>
      <c r="G497" s="2" t="s">
        <v>161</v>
      </c>
      <c r="H497" s="2" t="s">
        <v>83</v>
      </c>
      <c r="I497" s="2" t="str">
        <f ca="1">IFERROR(__xludf.DUMMYFUNCTION("GOOGLETRANSLATE(C497,""fr"",""en"")"),"Very attractive price, speed of execution. Quote received by email on time. By cons length of the opinion a little long for my taste. Cordially")</f>
        <v>Very attractive price, speed of execution. Quote received by email on time. By cons length of the opinion a little long for my taste. Cordially</v>
      </c>
    </row>
    <row r="498" spans="1:9" ht="15.75" customHeight="1" x14ac:dyDescent="0.3">
      <c r="A498" s="2">
        <v>1</v>
      </c>
      <c r="B498" s="2" t="s">
        <v>1478</v>
      </c>
      <c r="C498" s="2" t="s">
        <v>1479</v>
      </c>
      <c r="D498" s="2" t="s">
        <v>128</v>
      </c>
      <c r="E498" s="2" t="s">
        <v>14</v>
      </c>
      <c r="F498" s="2" t="s">
        <v>15</v>
      </c>
      <c r="G498" s="2" t="s">
        <v>1480</v>
      </c>
      <c r="H498" s="2" t="s">
        <v>46</v>
      </c>
      <c r="I498" s="2" t="str">
        <f ca="1">IFERROR(__xludf.DUMMYFUNCTION("GOOGLETRANSLATE(C498,""fr"",""en"")"),"I had a traffic accident I lost my vehicle 2 injured and Pacifica does not want to take care of my disaster she had a report made by the gendarmerie who summoned me to find out how it is the accident I have nothing Including, they found a letter in the na"&amp;"me of my son and asked me c who this person I answered c my son yes I have business and documents of my son because my husband does not want anything at home suddenly him I leave everything in my car. The expert said to the auto breakage that insurance do"&amp;"es not take care of and that I had to recover my vehicle which is out of circulation, but in which world have lives I am assured of any risk and I must intervene towards my lawyer or how to do in order to prosecute Pacifica in justice. Thanks for your adv"&amp;"ices.")</f>
        <v>I had a traffic accident I lost my vehicle 2 injured and Pacifica does not want to take care of my disaster she had a report made by the gendarmerie who summoned me to find out how it is the accident I have nothing Including, they found a letter in the name of my son and asked me c who this person I answered c my son yes I have business and documents of my son because my husband does not want anything at home suddenly him I leave everything in my car. The expert said to the auto breakage that insurance does not take care of and that I had to recover my vehicle which is out of circulation, but in which world have lives I am assured of any risk and I must intervene towards my lawyer or how to do in order to prosecute Pacifica in justice. Thanks for your advices.</v>
      </c>
    </row>
    <row r="499" spans="1:9" ht="15.75" customHeight="1" x14ac:dyDescent="0.3">
      <c r="A499" s="2">
        <v>1</v>
      </c>
      <c r="B499" s="2" t="s">
        <v>1481</v>
      </c>
      <c r="C499" s="2" t="s">
        <v>1482</v>
      </c>
      <c r="D499" s="2" t="s">
        <v>412</v>
      </c>
      <c r="E499" s="2" t="s">
        <v>39</v>
      </c>
      <c r="F499" s="2" t="s">
        <v>15</v>
      </c>
      <c r="G499" s="2" t="s">
        <v>1483</v>
      </c>
      <c r="H499" s="2" t="s">
        <v>83</v>
      </c>
      <c r="I499" s="2" t="str">
        <f ca="1">IFERROR(__xludf.DUMMYFUNCTION("GOOGLETRANSLATE(C499,""fr"",""en"")"),"Flee this group, they never respond to emails, employers must choose this mutual for its price, imprisoning employees with a low -end group where you have no one to whom you
Turn in case of concerns and I know what I am talking about for 2 months for a s"&amp;"imple problem and ... I only have: send an email from their site (where they never answer) and the phone ... where I am politely says
that my concern is taken care of (which is not the case)
run away!!")</f>
        <v>Flee this group, they never respond to emails, employers must choose this mutual for its price, imprisoning employees with a low -end group where you have no one to whom you
Turn in case of concerns and I know what I am talking about for 2 months for a simple problem and ... I only have: send an email from their site (where they never answer) and the phone ... where I am politely says
that my concern is taken care of (which is not the case)
run away!!</v>
      </c>
    </row>
    <row r="500" spans="1:9" ht="15.75" customHeight="1" x14ac:dyDescent="0.3">
      <c r="A500" s="2">
        <v>3</v>
      </c>
      <c r="B500" s="2" t="s">
        <v>1484</v>
      </c>
      <c r="C500" s="2" t="s">
        <v>1485</v>
      </c>
      <c r="D500" s="2" t="s">
        <v>190</v>
      </c>
      <c r="E500" s="2" t="s">
        <v>14</v>
      </c>
      <c r="F500" s="2" t="s">
        <v>15</v>
      </c>
      <c r="G500" s="2" t="s">
        <v>1357</v>
      </c>
      <c r="H500" s="2" t="s">
        <v>30</v>
      </c>
      <c r="I500" s="2" t="str">
        <f ca="1">IFERROR(__xludf.DUMMYFUNCTION("GOOGLETRANSLATE(C500,""fr"",""en"")"),"I am satisfied with the simple and practical services. Taking into account a request on space is fast and clear on the use of online space.")</f>
        <v>I am satisfied with the simple and practical services. Taking into account a request on space is fast and clear on the use of online space.</v>
      </c>
    </row>
    <row r="501" spans="1:9" ht="15.75" customHeight="1" x14ac:dyDescent="0.3">
      <c r="A501" s="2">
        <v>3</v>
      </c>
      <c r="B501" s="2" t="s">
        <v>1486</v>
      </c>
      <c r="C501" s="2" t="s">
        <v>1487</v>
      </c>
      <c r="D501" s="2" t="s">
        <v>13</v>
      </c>
      <c r="E501" s="2" t="s">
        <v>14</v>
      </c>
      <c r="F501" s="2" t="s">
        <v>15</v>
      </c>
      <c r="G501" s="2" t="s">
        <v>1488</v>
      </c>
      <c r="H501" s="2" t="s">
        <v>25</v>
      </c>
      <c r="I501" s="2" t="str">
        <f ca="1">IFERROR(__xludf.DUMMYFUNCTION("GOOGLETRANSLATE(C501,""fr"",""en"")"),"I am satisfied with the ease of subscription.
Correct price even if very high for a young driver.
.................................................. ...........................
")</f>
        <v xml:space="preserve">I am satisfied with the ease of subscription.
Correct price even if very high for a young driver.
.................................................. ...........................
</v>
      </c>
    </row>
    <row r="502" spans="1:9" ht="15.75" customHeight="1" x14ac:dyDescent="0.3">
      <c r="A502" s="2">
        <v>2</v>
      </c>
      <c r="B502" s="2" t="s">
        <v>1489</v>
      </c>
      <c r="C502" s="2" t="s">
        <v>1490</v>
      </c>
      <c r="D502" s="2" t="s">
        <v>281</v>
      </c>
      <c r="E502" s="2" t="s">
        <v>39</v>
      </c>
      <c r="F502" s="2" t="s">
        <v>15</v>
      </c>
      <c r="G502" s="2" t="s">
        <v>346</v>
      </c>
      <c r="H502" s="2" t="s">
        <v>347</v>
      </c>
      <c r="I502" s="2" t="str">
        <f ca="1">IFERROR(__xludf.DUMMYFUNCTION("GOOGLETRANSLATE(C502,""fr"",""en"")"),"Despite my efforts to the local agency and that they admitted their error, Harmonie Mutuelle never reimbursed me 200 euros of too much perceived of the contribution that they granted themselves during my termination in early 2016.
The whole file is her"&amp;"e:
http://jroger.net/harmonie-mutuelle-la-fleche-72200.htm")</f>
        <v>Despite my efforts to the local agency and that they admitted their error, Harmonie Mutuelle never reimbursed me 200 euros of too much perceived of the contribution that they granted themselves during my termination in early 2016.
The whole file is here:
http://jroger.net/harmonie-mutuelle-la-fleche-72200.htm</v>
      </c>
    </row>
    <row r="503" spans="1:9" ht="15.75" customHeight="1" x14ac:dyDescent="0.3">
      <c r="A503" s="2">
        <v>5</v>
      </c>
      <c r="B503" s="2" t="s">
        <v>1491</v>
      </c>
      <c r="C503" s="2" t="s">
        <v>1492</v>
      </c>
      <c r="D503" s="2" t="s">
        <v>13</v>
      </c>
      <c r="E503" s="2" t="s">
        <v>14</v>
      </c>
      <c r="F503" s="2" t="s">
        <v>15</v>
      </c>
      <c r="G503" s="2" t="s">
        <v>1493</v>
      </c>
      <c r="H503" s="2" t="s">
        <v>71</v>
      </c>
      <c r="I503" s="2" t="str">
        <f ca="1">IFERROR(__xludf.DUMMYFUNCTION("GOOGLETRANSLATE(C503,""fr"",""en"")"),"I am satisfied with the price and the facilitated registration as well as the guarantees compared to my contract;
The resilation of my old contract was made very quickly.")</f>
        <v>I am satisfied with the price and the facilitated registration as well as the guarantees compared to my contract;
The resilation of my old contract was made very quickly.</v>
      </c>
    </row>
    <row r="504" spans="1:9" ht="15.75" customHeight="1" x14ac:dyDescent="0.3">
      <c r="A504" s="2">
        <v>1</v>
      </c>
      <c r="B504" s="2" t="s">
        <v>1494</v>
      </c>
      <c r="C504" s="2" t="s">
        <v>1495</v>
      </c>
      <c r="D504" s="2" t="s">
        <v>394</v>
      </c>
      <c r="E504" s="2" t="s">
        <v>129</v>
      </c>
      <c r="F504" s="2" t="s">
        <v>15</v>
      </c>
      <c r="G504" s="2" t="s">
        <v>829</v>
      </c>
      <c r="H504" s="2" t="s">
        <v>286</v>
      </c>
      <c r="I504" s="2" t="str">
        <f ca="1">IFERROR(__xludf.DUMMYFUNCTION("GOOGLETRANSLATE(C504,""fr"",""en"")"),"Customer service is inaccessible. Having had a claim, I cannot call the loss management service, apparently all the advisers are occupied and there is no expectation, the telephone server hangs up. By going through the declaration of an incident it passes"&amp;" but I am put in touch with the management service and there the same I am hung up on the nose.
By email, nobody answers!
They are good for collecting contributions.")</f>
        <v>Customer service is inaccessible. Having had a claim, I cannot call the loss management service, apparently all the advisers are occupied and there is no expectation, the telephone server hangs up. By going through the declaration of an incident it passes but I am put in touch with the management service and there the same I am hung up on the nose.
By email, nobody answers!
They are good for collecting contributions.</v>
      </c>
    </row>
    <row r="505" spans="1:9" ht="15.75" customHeight="1" x14ac:dyDescent="0.3">
      <c r="A505" s="2">
        <v>2</v>
      </c>
      <c r="B505" s="2" t="s">
        <v>1496</v>
      </c>
      <c r="C505" s="2" t="s">
        <v>1497</v>
      </c>
      <c r="D505" s="2" t="s">
        <v>13</v>
      </c>
      <c r="E505" s="2" t="s">
        <v>14</v>
      </c>
      <c r="F505" s="2" t="s">
        <v>15</v>
      </c>
      <c r="G505" s="2" t="s">
        <v>1005</v>
      </c>
      <c r="H505" s="2" t="s">
        <v>21</v>
      </c>
      <c r="I505" s="2" t="str">
        <f ca="1">IFERROR(__xludf.DUMMYFUNCTION("GOOGLETRANSLATE(C505,""fr"",""en"")"),"Null services and practice of direct insurance insurer at the limit of illegality .... Make sure you at Direct Insurance for 0 claims otherwise we eject you ....")</f>
        <v>Null services and practice of direct insurance insurer at the limit of illegality .... Make sure you at Direct Insurance for 0 claims otherwise we eject you ....</v>
      </c>
    </row>
    <row r="506" spans="1:9" ht="15.75" customHeight="1" x14ac:dyDescent="0.3">
      <c r="A506" s="2">
        <v>2</v>
      </c>
      <c r="B506" s="2" t="s">
        <v>1498</v>
      </c>
      <c r="C506" s="2" t="s">
        <v>1499</v>
      </c>
      <c r="D506" s="2" t="s">
        <v>13</v>
      </c>
      <c r="E506" s="2" t="s">
        <v>14</v>
      </c>
      <c r="F506" s="2" t="s">
        <v>15</v>
      </c>
      <c r="G506" s="2" t="s">
        <v>719</v>
      </c>
      <c r="H506" s="2" t="s">
        <v>30</v>
      </c>
      <c r="I506" s="2" t="str">
        <f ca="1">IFERROR(__xludf.DUMMYFUNCTION("GOOGLETRANSLATE(C506,""fr"",""en"")"),"Customer service easily reachable but sloppy work and deadlines not respected. You really have to want to win a few euros !!! To flee if you want to take care worthy of a real insurer.")</f>
        <v>Customer service easily reachable but sloppy work and deadlines not respected. You really have to want to win a few euros !!! To flee if you want to take care worthy of a real insurer.</v>
      </c>
    </row>
    <row r="507" spans="1:9" ht="15.75" customHeight="1" x14ac:dyDescent="0.3">
      <c r="A507" s="2">
        <v>4</v>
      </c>
      <c r="B507" s="2" t="s">
        <v>1500</v>
      </c>
      <c r="C507" s="2" t="s">
        <v>1501</v>
      </c>
      <c r="D507" s="2" t="s">
        <v>28</v>
      </c>
      <c r="E507" s="2" t="s">
        <v>14</v>
      </c>
      <c r="F507" s="2" t="s">
        <v>15</v>
      </c>
      <c r="G507" s="2" t="s">
        <v>260</v>
      </c>
      <c r="H507" s="2" t="s">
        <v>71</v>
      </c>
      <c r="I507" s="2" t="str">
        <f ca="1">IFERROR(__xludf.DUMMYFUNCTION("GOOGLETRANSLATE(C507,""fr"",""en"")"),"I am very satisfied with the customer service which is offered
The prices are satisfactory and attractive
The signature is fast and very simple and fast")</f>
        <v>I am very satisfied with the customer service which is offered
The prices are satisfactory and attractive
The signature is fast and very simple and fast</v>
      </c>
    </row>
    <row r="508" spans="1:9" ht="15.75" customHeight="1" x14ac:dyDescent="0.3">
      <c r="A508" s="2">
        <v>1</v>
      </c>
      <c r="B508" s="2" t="s">
        <v>1502</v>
      </c>
      <c r="C508" s="2" t="s">
        <v>1503</v>
      </c>
      <c r="D508" s="2" t="s">
        <v>13</v>
      </c>
      <c r="E508" s="2" t="s">
        <v>14</v>
      </c>
      <c r="F508" s="2" t="s">
        <v>15</v>
      </c>
      <c r="G508" s="2" t="s">
        <v>1504</v>
      </c>
      <c r="H508" s="2" t="s">
        <v>1022</v>
      </c>
      <c r="I508" s="2" t="str">
        <f ca="1">IFERROR(__xludf.DUMMYFUNCTION("GOOGLETRANSLATE(C508,""fr"",""en"")"),"Hello I subscribed to Youdrive who is with direct insurance I pay by card blue the two months outside I did not receive the papers that had this problem? I am in stress I need papers today because the insurance of the former owner of the car ends today")</f>
        <v>Hello I subscribed to Youdrive who is with direct insurance I pay by card blue the two months outside I did not receive the papers that had this problem? I am in stress I need papers today because the insurance of the former owner of the car ends today</v>
      </c>
    </row>
    <row r="509" spans="1:9" ht="15.75" customHeight="1" x14ac:dyDescent="0.3">
      <c r="A509" s="2">
        <v>5</v>
      </c>
      <c r="B509" s="2" t="s">
        <v>1505</v>
      </c>
      <c r="C509" s="2" t="s">
        <v>1506</v>
      </c>
      <c r="D509" s="2" t="s">
        <v>664</v>
      </c>
      <c r="E509" s="2" t="s">
        <v>39</v>
      </c>
      <c r="F509" s="2" t="s">
        <v>15</v>
      </c>
      <c r="G509" s="2" t="s">
        <v>1507</v>
      </c>
      <c r="H509" s="2" t="s">
        <v>899</v>
      </c>
      <c r="I509" s="2" t="str">
        <f ca="1">IFERROR(__xludf.DUMMYFUNCTION("GOOGLETRANSLATE(C509,""fr"",""en"")"),"Professionals, very serious, a tailor -made approach ... RAS !! A Santiane.fr advisor made me make a tailor -made choice ... Thank you Santiane.fr")</f>
        <v>Professionals, very serious, a tailor -made approach ... RAS !! A Santiane.fr advisor made me make a tailor -made choice ... Thank you Santiane.fr</v>
      </c>
    </row>
    <row r="510" spans="1:9" ht="15.75" customHeight="1" x14ac:dyDescent="0.3">
      <c r="A510" s="2">
        <v>1</v>
      </c>
      <c r="B510" s="2" t="s">
        <v>1508</v>
      </c>
      <c r="C510" s="2" t="s">
        <v>1509</v>
      </c>
      <c r="D510" s="2" t="s">
        <v>44</v>
      </c>
      <c r="E510" s="2" t="s">
        <v>39</v>
      </c>
      <c r="F510" s="2" t="s">
        <v>15</v>
      </c>
      <c r="G510" s="2" t="s">
        <v>1510</v>
      </c>
      <c r="H510" s="2" t="s">
        <v>634</v>
      </c>
      <c r="I510" s="2" t="str">
        <f ca="1">IFERROR(__xludf.DUMMYFUNCTION("GOOGLETRANSLATE(C510,""fr"",""en"")"),"Incompetent customer service
Request for termination in October 2019 not taken into account for 3 months to ask you later the future contributions by threatening you.")</f>
        <v>Incompetent customer service
Request for termination in October 2019 not taken into account for 3 months to ask you later the future contributions by threatening you.</v>
      </c>
    </row>
    <row r="511" spans="1:9" ht="15.75" customHeight="1" x14ac:dyDescent="0.3">
      <c r="A511" s="2">
        <v>3</v>
      </c>
      <c r="B511" s="2" t="s">
        <v>1511</v>
      </c>
      <c r="C511" s="2" t="s">
        <v>1512</v>
      </c>
      <c r="D511" s="2" t="s">
        <v>28</v>
      </c>
      <c r="E511" s="2" t="s">
        <v>14</v>
      </c>
      <c r="F511" s="2" t="s">
        <v>15</v>
      </c>
      <c r="G511" s="2" t="s">
        <v>117</v>
      </c>
      <c r="H511" s="2" t="s">
        <v>17</v>
      </c>
      <c r="I511" s="2" t="str">
        <f ca="1">IFERROR(__xludf.DUMMYFUNCTION("GOOGLETRANSLATE(C511,""fr"",""en"")"),"The 10% discount on a second contract was made on the cheapest contract. Because of a resumption of bad online quote. No way to change !!
")</f>
        <v xml:space="preserve">The 10% discount on a second contract was made on the cheapest contract. Because of a resumption of bad online quote. No way to change !!
</v>
      </c>
    </row>
    <row r="512" spans="1:9" ht="15.75" customHeight="1" x14ac:dyDescent="0.3">
      <c r="A512" s="2">
        <v>3</v>
      </c>
      <c r="B512" s="2" t="s">
        <v>1513</v>
      </c>
      <c r="C512" s="2" t="s">
        <v>1514</v>
      </c>
      <c r="D512" s="2" t="s">
        <v>13</v>
      </c>
      <c r="E512" s="2" t="s">
        <v>129</v>
      </c>
      <c r="F512" s="2" t="s">
        <v>15</v>
      </c>
      <c r="G512" s="2" t="s">
        <v>1515</v>
      </c>
      <c r="H512" s="2" t="s">
        <v>484</v>
      </c>
      <c r="I512" s="2" t="str">
        <f ca="1">IFERROR(__xludf.DUMMYFUNCTION("GOOGLETRANSLATE(C512,""fr"",""en"")"),"I chose Direct Assurances because I wanted to save money. But behind this price is actually hiding a total absence of customer service and an impressive number of ""commercial clauses"" which result in concrete terms by a total absence of insurance covera"&amp;"ge. Clearly you pay for nothing. In addition, you will have to be very careful when you want to separate from this insurer because again everything is done to continue to make you pay. This is how Direct Insurance made me pay for a year of additional cont"&amp;"ributions while terminating my contract because I did not send my departure mail exactly at the right time. Customer service did not want to know anything since I left anyway and it is written in one of their inombrable clauses. To avoid absolutely.")</f>
        <v>I chose Direct Assurances because I wanted to save money. But behind this price is actually hiding a total absence of customer service and an impressive number of "commercial clauses" which result in concrete terms by a total absence of insurance coverage. Clearly you pay for nothing. In addition, you will have to be very careful when you want to separate from this insurer because again everything is done to continue to make you pay. This is how Direct Insurance made me pay for a year of additional contributions while terminating my contract because I did not send my departure mail exactly at the right time. Customer service did not want to know anything since I left anyway and it is written in one of their inombrable clauses. To avoid absolutely.</v>
      </c>
    </row>
    <row r="513" spans="1:9" ht="15.75" customHeight="1" x14ac:dyDescent="0.3">
      <c r="A513" s="2">
        <v>4</v>
      </c>
      <c r="B513" s="2" t="s">
        <v>1516</v>
      </c>
      <c r="C513" s="2" t="s">
        <v>1517</v>
      </c>
      <c r="D513" s="2" t="s">
        <v>190</v>
      </c>
      <c r="E513" s="2" t="s">
        <v>14</v>
      </c>
      <c r="F513" s="2" t="s">
        <v>15</v>
      </c>
      <c r="G513" s="2" t="s">
        <v>17</v>
      </c>
      <c r="H513" s="2" t="s">
        <v>17</v>
      </c>
      <c r="I513" s="2" t="str">
        <f ca="1">IFERROR(__xludf.DUMMYFUNCTION("GOOGLETRANSLATE(C513,""fr"",""en"")"),"I am very satisfied with the services, a team attentive and available.
I recommend GMF in insurance
In terms of prices they are affordable and adapts according to your needs")</f>
        <v>I am very satisfied with the services, a team attentive and available.
I recommend GMF in insurance
In terms of prices they are affordable and adapts according to your needs</v>
      </c>
    </row>
    <row r="514" spans="1:9" ht="15.75" customHeight="1" x14ac:dyDescent="0.3">
      <c r="A514" s="2">
        <v>4</v>
      </c>
      <c r="B514" s="2" t="s">
        <v>1518</v>
      </c>
      <c r="C514" s="2" t="s">
        <v>1519</v>
      </c>
      <c r="D514" s="2" t="s">
        <v>145</v>
      </c>
      <c r="E514" s="2" t="s">
        <v>14</v>
      </c>
      <c r="F514" s="2" t="s">
        <v>15</v>
      </c>
      <c r="G514" s="2" t="s">
        <v>1520</v>
      </c>
      <c r="H514" s="2" t="s">
        <v>474</v>
      </c>
      <c r="I514" s="2" t="str">
        <f ca="1">IFERROR(__xludf.DUMMYFUNCTION("GOOGLETRANSLATE(C514,""fr"",""en"")"),"A super well organized customer service because of the choice of agencies combined with a telephone platform if your agency is not available.")</f>
        <v>A super well organized customer service because of the choice of agencies combined with a telephone platform if your agency is not available.</v>
      </c>
    </row>
    <row r="515" spans="1:9" ht="15.75" customHeight="1" x14ac:dyDescent="0.3">
      <c r="A515" s="2">
        <v>2</v>
      </c>
      <c r="B515" s="2" t="s">
        <v>1521</v>
      </c>
      <c r="C515" s="2" t="s">
        <v>1522</v>
      </c>
      <c r="D515" s="2" t="s">
        <v>1523</v>
      </c>
      <c r="E515" s="2" t="s">
        <v>101</v>
      </c>
      <c r="F515" s="2" t="s">
        <v>15</v>
      </c>
      <c r="G515" s="2" t="s">
        <v>1524</v>
      </c>
      <c r="H515" s="2" t="s">
        <v>612</v>
      </c>
      <c r="I515" s="2" t="str">
        <f ca="1">IFERROR(__xludf.DUMMYFUNCTION("GOOGLETRANSLATE(C515,""fr"",""en"")"),"Life insurance subscribed: assessment: incompetent commercial and big difficulties in unlocking its assets: to flee. Fund still not unlocked for a year and a half, a salesperson who never responds, great difficulties in attaching administrative services
")</f>
        <v xml:space="preserve">Life insurance subscribed: assessment: incompetent commercial and big difficulties in unlocking its assets: to flee. Fund still not unlocked for a year and a half, a salesperson who never responds, great difficulties in attaching administrative services
</v>
      </c>
    </row>
    <row r="516" spans="1:9" ht="15.75" customHeight="1" x14ac:dyDescent="0.3">
      <c r="A516" s="2">
        <v>4</v>
      </c>
      <c r="B516" s="2" t="s">
        <v>1525</v>
      </c>
      <c r="C516" s="2" t="s">
        <v>1526</v>
      </c>
      <c r="D516" s="2" t="s">
        <v>28</v>
      </c>
      <c r="E516" s="2" t="s">
        <v>14</v>
      </c>
      <c r="F516" s="2" t="s">
        <v>15</v>
      </c>
      <c r="G516" s="2" t="s">
        <v>1527</v>
      </c>
      <c r="H516" s="2" t="s">
        <v>71</v>
      </c>
      <c r="I516" s="2" t="str">
        <f ca="1">IFERROR(__xludf.DUMMYFUNCTION("GOOGLETRANSLATE(C516,""fr"",""en"")"),"I am satisfied with the service. The services are up to my expectations and I hope to be happy with customer service afterwards. Good car insurance")</f>
        <v>I am satisfied with the service. The services are up to my expectations and I hope to be happy with customer service afterwards. Good car insurance</v>
      </c>
    </row>
    <row r="517" spans="1:9" ht="15.75" customHeight="1" x14ac:dyDescent="0.3">
      <c r="A517" s="2">
        <v>2</v>
      </c>
      <c r="B517" s="2" t="s">
        <v>1528</v>
      </c>
      <c r="C517" s="2" t="s">
        <v>1529</v>
      </c>
      <c r="D517" s="2" t="s">
        <v>13</v>
      </c>
      <c r="E517" s="2" t="s">
        <v>14</v>
      </c>
      <c r="F517" s="2" t="s">
        <v>15</v>
      </c>
      <c r="G517" s="2" t="s">
        <v>1530</v>
      </c>
      <c r="H517" s="2" t="s">
        <v>17</v>
      </c>
      <c r="I517" s="2" t="str">
        <f ca="1">IFERROR(__xludf.DUMMYFUNCTION("GOOGLETRANSLATE(C517,""fr"",""en"")"),"Simple and quick .. see if in time everything is going well and that the conditions of the contract are well respected ... that it was difficult to reach an advisor")</f>
        <v>Simple and quick .. see if in time everything is going well and that the conditions of the contract are well respected ... that it was difficult to reach an advisor</v>
      </c>
    </row>
    <row r="518" spans="1:9" ht="15.75" customHeight="1" x14ac:dyDescent="0.3">
      <c r="A518" s="2">
        <v>5</v>
      </c>
      <c r="B518" s="2" t="s">
        <v>1531</v>
      </c>
      <c r="C518" s="2" t="s">
        <v>1532</v>
      </c>
      <c r="D518" s="2" t="s">
        <v>13</v>
      </c>
      <c r="E518" s="2" t="s">
        <v>14</v>
      </c>
      <c r="F518" s="2" t="s">
        <v>15</v>
      </c>
      <c r="G518" s="2" t="s">
        <v>1533</v>
      </c>
      <c r="H518" s="2" t="s">
        <v>248</v>
      </c>
      <c r="I518" s="2" t="str">
        <f ca="1">IFERROR(__xludf.DUMMYFUNCTION("GOOGLETRANSLATE(C518,""fr"",""en"")"),"Surprised by the prices charged, hyper competitive compared to the competitors, I am waiting to be recalled to be able to compare my other insurance contracts.")</f>
        <v>Surprised by the prices charged, hyper competitive compared to the competitors, I am waiting to be recalled to be able to compare my other insurance contracts.</v>
      </c>
    </row>
    <row r="519" spans="1:9" ht="15.75" customHeight="1" x14ac:dyDescent="0.3">
      <c r="A519" s="2">
        <v>5</v>
      </c>
      <c r="B519" s="2" t="s">
        <v>1534</v>
      </c>
      <c r="C519" s="2" t="s">
        <v>1535</v>
      </c>
      <c r="D519" s="2" t="s">
        <v>28</v>
      </c>
      <c r="E519" s="2" t="s">
        <v>14</v>
      </c>
      <c r="F519" s="2" t="s">
        <v>15</v>
      </c>
      <c r="G519" s="2" t="s">
        <v>1536</v>
      </c>
      <c r="H519" s="2" t="s">
        <v>83</v>
      </c>
      <c r="I519" s="2" t="str">
        <f ca="1">IFERROR(__xludf.DUMMYFUNCTION("GOOGLETRANSLATE(C519,""fr"",""en"")"),"Very satisfied by prices and also the care at such during the first call. We are well advised and the advisor takes our expectations into account.")</f>
        <v>Very satisfied by prices and also the care at such during the first call. We are well advised and the advisor takes our expectations into account.</v>
      </c>
    </row>
    <row r="520" spans="1:9" ht="15.75" customHeight="1" x14ac:dyDescent="0.3">
      <c r="A520" s="2">
        <v>1</v>
      </c>
      <c r="B520" s="2" t="s">
        <v>1537</v>
      </c>
      <c r="C520" s="2" t="s">
        <v>1538</v>
      </c>
      <c r="D520" s="2" t="s">
        <v>28</v>
      </c>
      <c r="E520" s="2" t="s">
        <v>14</v>
      </c>
      <c r="F520" s="2" t="s">
        <v>15</v>
      </c>
      <c r="G520" s="2" t="s">
        <v>1539</v>
      </c>
      <c r="H520" s="2" t="s">
        <v>1332</v>
      </c>
      <c r="I520" s="2" t="str">
        <f ca="1">IFERROR(__xludf.DUMMYFUNCTION("GOOGLETRANSLATE(C520,""fr"",""en"")"),"I put a Star because obliged if we want to leave a comment. As a support to flee urgently (thing done for me) insured at home for 4 years without any worries, 1st non -responsible loss in February. Always no news except the ""it can take time, you had to "&amp;"be assured in any risk ..."" customer service. It is true that we have all the means to ensure in any risk of course ... the Worse is that you tell you that it can take from 6 months to 1 year !!!! And during this time I drive with an exploded car ?? In s"&amp;"hort, they are great as long as nothing happens ..... in short I change insurer thanks to the Hamon law")</f>
        <v>I put a Star because obliged if we want to leave a comment. As a support to flee urgently (thing done for me) insured at home for 4 years without any worries, 1st non -responsible loss in February. Always no news except the "it can take time, you had to be assured in any risk ..." customer service. It is true that we have all the means to ensure in any risk of course ... the Worse is that you tell you that it can take from 6 months to 1 year !!!! And during this time I drive with an exploded car ?? In short, they are great as long as nothing happens ..... in short I change insurer thanks to the Hamon law</v>
      </c>
    </row>
    <row r="521" spans="1:9" ht="15.75" customHeight="1" x14ac:dyDescent="0.3">
      <c r="A521" s="2">
        <v>2</v>
      </c>
      <c r="B521" s="2" t="s">
        <v>1540</v>
      </c>
      <c r="C521" s="2" t="s">
        <v>1541</v>
      </c>
      <c r="D521" s="2" t="s">
        <v>281</v>
      </c>
      <c r="E521" s="2" t="s">
        <v>39</v>
      </c>
      <c r="F521" s="2" t="s">
        <v>15</v>
      </c>
      <c r="G521" s="2" t="s">
        <v>943</v>
      </c>
      <c r="H521" s="2" t="s">
        <v>30</v>
      </c>
      <c r="I521" s="2" t="str">
        <f ca="1">IFERROR(__xludf.DUMMYFUNCTION("GOOGLETRANSLATE(C521,""fr"",""en"")"),"I realize that I am not the only person to be satisfied with this mutual. I've been insured for a few years. The service degrades.
Examples:
1) For months I have been going through my internet account to report a change of email address.
2) I receive a"&amp;"n opinion that they reimburse from May 1 and until December 31, 2021 consultations. I transmit the invoices via my account. Still nothing received for 1 good month. I even realize that my bills have disappeared from my account! Is it possible and well yes"&amp;". So I started again and will not let go.
3) Operation with excess fees. Return of the quote with what really reimbursed. Well they were wrong and asked me to reimburse when I have the support in support.
4) I go to the agency, I wait wisely that I am c"&amp;"alled. The agent answers a telephone call, I wait and wait. Finally I will pass. Well no ! He resumes his phone and calls. No I was not hidden, no I did not scraped. I left….
I assure you that I do not invent.
I will seriously think about changing mutua"&amp;"l.")</f>
        <v>I realize that I am not the only person to be satisfied with this mutual. I've been insured for a few years. The service degrades.
Examples:
1) For months I have been going through my internet account to report a change of email address.
2) I receive an opinion that they reimburse from May 1 and until December 31, 2021 consultations. I transmit the invoices via my account. Still nothing received for 1 good month. I even realize that my bills have disappeared from my account! Is it possible and well yes. So I started again and will not let go.
3) Operation with excess fees. Return of the quote with what really reimbursed. Well they were wrong and asked me to reimburse when I have the support in support.
4) I go to the agency, I wait wisely that I am called. The agent answers a telephone call, I wait and wait. Finally I will pass. Well no ! He resumes his phone and calls. No I was not hidden, no I did not scraped. I left….
I assure you that I do not invent.
I will seriously think about changing mutual.</v>
      </c>
    </row>
    <row r="522" spans="1:9" ht="15.75" customHeight="1" x14ac:dyDescent="0.3">
      <c r="A522" s="2">
        <v>5</v>
      </c>
      <c r="B522" s="2" t="s">
        <v>1542</v>
      </c>
      <c r="C522" s="2" t="s">
        <v>1543</v>
      </c>
      <c r="D522" s="2" t="s">
        <v>28</v>
      </c>
      <c r="E522" s="2" t="s">
        <v>14</v>
      </c>
      <c r="F522" s="2" t="s">
        <v>15</v>
      </c>
      <c r="G522" s="2" t="s">
        <v>1544</v>
      </c>
      <c r="H522" s="2" t="s">
        <v>207</v>
      </c>
      <c r="I522" s="2" t="str">
        <f ca="1">IFERROR(__xludf.DUMMYFUNCTION("GOOGLETRANSLATE(C522,""fr"",""en"")"),"Available customer service and very responsive. Personal, very competitive car insurance price compared to the guarantees offered. Rapidit of the reception of the final green card.")</f>
        <v>Available customer service and very responsive. Personal, very competitive car insurance price compared to the guarantees offered. Rapidit of the reception of the final green card.</v>
      </c>
    </row>
    <row r="523" spans="1:9" ht="15.75" customHeight="1" x14ac:dyDescent="0.3">
      <c r="A523" s="2">
        <v>1</v>
      </c>
      <c r="B523" s="2" t="s">
        <v>1545</v>
      </c>
      <c r="C523" s="2" t="s">
        <v>1546</v>
      </c>
      <c r="D523" s="2" t="s">
        <v>13</v>
      </c>
      <c r="E523" s="2" t="s">
        <v>14</v>
      </c>
      <c r="F523" s="2" t="s">
        <v>15</v>
      </c>
      <c r="G523" s="2" t="s">
        <v>790</v>
      </c>
      <c r="H523" s="2" t="s">
        <v>71</v>
      </c>
      <c r="I523" s="2" t="str">
        <f ca="1">IFERROR(__xludf.DUMMYFUNCTION("GOOGLETRANSLATE(C523,""fr"",""en"")"),"I am very unhappy for two years in a row that my insurance increases when I did not do any accident so I am very very dissatisfied with direct insurance")</f>
        <v>I am very unhappy for two years in a row that my insurance increases when I did not do any accident so I am very very dissatisfied with direct insurance</v>
      </c>
    </row>
    <row r="524" spans="1:9" ht="15.75" customHeight="1" x14ac:dyDescent="0.3">
      <c r="A524" s="2">
        <v>1</v>
      </c>
      <c r="B524" s="2" t="s">
        <v>1547</v>
      </c>
      <c r="C524" s="2" t="s">
        <v>1548</v>
      </c>
      <c r="D524" s="2" t="s">
        <v>28</v>
      </c>
      <c r="E524" s="2" t="s">
        <v>14</v>
      </c>
      <c r="F524" s="2" t="s">
        <v>15</v>
      </c>
      <c r="G524" s="2" t="s">
        <v>1549</v>
      </c>
      <c r="H524" s="2" t="s">
        <v>661</v>
      </c>
      <c r="I524" s="2" t="str">
        <f ca="1">IFERROR(__xludf.DUMMYFUNCTION("GOOGLETRANSLATE(C524,""fr"",""en"")"),"Not even able to release a quote with my correct contact details in a year!
With any recovery on my part (more than a dozen)
And to crowned everything a catch -up of the insurance price of more than 700 euros in my last contract without warning me and v"&amp;"ery small in the contract.
Good luck with them!")</f>
        <v>Not even able to release a quote with my correct contact details in a year!
With any recovery on my part (more than a dozen)
And to crowned everything a catch -up of the insurance price of more than 700 euros in my last contract without warning me and very small in the contract.
Good luck with them!</v>
      </c>
    </row>
    <row r="525" spans="1:9" ht="15.75" customHeight="1" x14ac:dyDescent="0.3">
      <c r="A525" s="2">
        <v>5</v>
      </c>
      <c r="B525" s="2" t="s">
        <v>1550</v>
      </c>
      <c r="C525" s="2" t="s">
        <v>1551</v>
      </c>
      <c r="D525" s="2" t="s">
        <v>80</v>
      </c>
      <c r="E525" s="2" t="s">
        <v>81</v>
      </c>
      <c r="F525" s="2" t="s">
        <v>15</v>
      </c>
      <c r="G525" s="2" t="s">
        <v>1552</v>
      </c>
      <c r="H525" s="2" t="s">
        <v>94</v>
      </c>
      <c r="I525" s="2" t="str">
        <f ca="1">IFERROR(__xludf.DUMMYFUNCTION("GOOGLETRANSLATE(C525,""fr"",""en"")"),"Very satisfied with all the options offer very well the amounts in the event of death I do not hope that something happens to me because it would bother me thank you")</f>
        <v>Very satisfied with all the options offer very well the amounts in the event of death I do not hope that something happens to me because it would bother me thank you</v>
      </c>
    </row>
    <row r="526" spans="1:9" ht="15.75" customHeight="1" x14ac:dyDescent="0.3">
      <c r="A526" s="2">
        <v>5</v>
      </c>
      <c r="B526" s="2" t="s">
        <v>1553</v>
      </c>
      <c r="C526" s="2" t="s">
        <v>1554</v>
      </c>
      <c r="D526" s="2" t="s">
        <v>601</v>
      </c>
      <c r="E526" s="2" t="s">
        <v>39</v>
      </c>
      <c r="F526" s="2" t="s">
        <v>15</v>
      </c>
      <c r="G526" s="2" t="s">
        <v>821</v>
      </c>
      <c r="H526" s="2" t="s">
        <v>71</v>
      </c>
      <c r="I526" s="2" t="str">
        <f ca="1">IFERROR(__xludf.DUMMYFUNCTION("GOOGLETRANSLATE(C526,""fr"",""en"")"),"Very limited telephone wait (Max 2/3min), the interlocutor we have on the phone is very pleasant, polite, and even smiling) and as a bonus an immediate processing of the request.")</f>
        <v>Very limited telephone wait (Max 2/3min), the interlocutor we have on the phone is very pleasant, polite, and even smiling) and as a bonus an immediate processing of the request.</v>
      </c>
    </row>
    <row r="527" spans="1:9" ht="15.75" customHeight="1" x14ac:dyDescent="0.3">
      <c r="A527" s="2">
        <v>3</v>
      </c>
      <c r="B527" s="2" t="s">
        <v>1555</v>
      </c>
      <c r="C527" s="2" t="s">
        <v>1556</v>
      </c>
      <c r="D527" s="2" t="s">
        <v>80</v>
      </c>
      <c r="E527" s="2" t="s">
        <v>81</v>
      </c>
      <c r="F527" s="2" t="s">
        <v>15</v>
      </c>
      <c r="G527" s="2" t="s">
        <v>757</v>
      </c>
      <c r="H527" s="2" t="s">
        <v>21</v>
      </c>
      <c r="I527" s="2" t="str">
        <f ca="1">IFERROR(__xludf.DUMMYFUNCTION("GOOGLETRANSLATE(C527,""fr"",""en"")"),"I am satisfied the interlocutor was very nice everything is good in the best of worlds and long live the decay
It is not beautiful and I wanted to take a motorbike ride")</f>
        <v>I am satisfied the interlocutor was very nice everything is good in the best of worlds and long live the decay
It is not beautiful and I wanted to take a motorbike ride</v>
      </c>
    </row>
    <row r="528" spans="1:9" ht="15.75" customHeight="1" x14ac:dyDescent="0.3">
      <c r="A528" s="2">
        <v>1</v>
      </c>
      <c r="B528" s="2" t="s">
        <v>1557</v>
      </c>
      <c r="C528" s="2" t="s">
        <v>1558</v>
      </c>
      <c r="D528" s="2" t="s">
        <v>254</v>
      </c>
      <c r="E528" s="2" t="s">
        <v>14</v>
      </c>
      <c r="F528" s="2" t="s">
        <v>15</v>
      </c>
      <c r="G528" s="2" t="s">
        <v>247</v>
      </c>
      <c r="H528" s="2" t="s">
        <v>248</v>
      </c>
      <c r="I528" s="2" t="str">
        <f ca="1">IFERROR(__xludf.DUMMYFUNCTION("GOOGLETRANSLATE(C528,""fr"",""en"")"),"MAIF member for 33 years (auto+housing), fully satisfied so far. I asked for a quote in anticipation of a change of vehicle for a BMW330E hybrid model: insurance premium 2 times more expensive than what I currently pay for a BMW 420D. Reason invoked: the "&amp;"power of the vehicle because the maif is based on the cumulative power (electric + thermal = 292hp), in contradiction with the maximum net power indicated on the gray card (P2) which is 135kW, or 184ch. This P2 takes into account that these two engines do"&amp;" not work simultaneously: for the urban journeys the electric (113hp) is privileged, and when the battery no longer has autonomy, the thermal engine (184ch) takes over And helps recharge the battery. Of course the cumulative power is important, but theore"&amp;"tically or exceptional mobilizable.
How is it possible that a ""militant insurer"" can apply such a crippling rate by applying calculation criteria unsuitable for the specifics of a hybrid vehicle, even of premium brand? We could expect from MAIF that it"&amp;" encourages the purchase of hybrid vehicles, cleaner and environmentally friendly, as the government is currently doing through electrical conversion aid.
With comparable guarantees, the MXXXX offers me a quote half cheaper for this same vehicle referenc"&amp;"ed in 184 hp. “In an approach favorable to environmental protection and taking into account the lower rate of self -sufficient vehicle claims, insurers apply lower rates for these cars. They are generally 10 to 30 % cheaper than those of conventional auto"&amp;" insurances ”while MAIF does not hesitate to offer me a higher 62 % price! I am shocked and disappointed, and I will therefore have to change insurer….")</f>
        <v>MAIF member for 33 years (auto+housing), fully satisfied so far. I asked for a quote in anticipation of a change of vehicle for a BMW330E hybrid model: insurance premium 2 times more expensive than what I currently pay for a BMW 420D. Reason invoked: the power of the vehicle because the maif is based on the cumulative power (electric + thermal = 292hp), in contradiction with the maximum net power indicated on the gray card (P2) which is 135kW, or 184ch. This P2 takes into account that these two engines do not work simultaneously: for the urban journeys the electric (113hp) is privileged, and when the battery no longer has autonomy, the thermal engine (184ch) takes over And helps recharge the battery. Of course the cumulative power is important, but theoretically or exceptional mobilizable.
How is it possible that a "militant insurer" can apply such a crippling rate by applying calculation criteria unsuitable for the specifics of a hybrid vehicle, even of premium brand? We could expect from MAIF that it encourages the purchase of hybrid vehicles, cleaner and environmentally friendly, as the government is currently doing through electrical conversion aid.
With comparable guarantees, the MXXXX offers me a quote half cheaper for this same vehicle referenced in 184 hp. “In an approach favorable to environmental protection and taking into account the lower rate of self -sufficient vehicle claims, insurers apply lower rates for these cars. They are generally 10 to 30 % cheaper than those of conventional auto insurances ”while MAIF does not hesitate to offer me a higher 62 % price! I am shocked and disappointed, and I will therefore have to change insurer….</v>
      </c>
    </row>
    <row r="529" spans="1:9" ht="15.75" customHeight="1" x14ac:dyDescent="0.3">
      <c r="A529" s="2">
        <v>1</v>
      </c>
      <c r="B529" s="2" t="s">
        <v>1559</v>
      </c>
      <c r="C529" s="2" t="s">
        <v>1560</v>
      </c>
      <c r="D529" s="2" t="s">
        <v>13</v>
      </c>
      <c r="E529" s="2" t="s">
        <v>14</v>
      </c>
      <c r="F529" s="2" t="s">
        <v>15</v>
      </c>
      <c r="G529" s="2" t="s">
        <v>1561</v>
      </c>
      <c r="H529" s="2" t="s">
        <v>343</v>
      </c>
      <c r="I529" s="2" t="str">
        <f ca="1">IFERROR(__xludf.DUMMYFUNCTION("GOOGLETRANSLATE(C529,""fr"",""en"")"),"It was good ... Unfortunately, it changed! I did a test with a simulator on the internet to find out the price of my insurance with them ... 295 instead of 400 euros ... I post them by phone, in fact, it is a preferential rate for new clients !! For those"&amp;" who are already customers, it is better to terminate .... hey yes, I am 38 years old, the permit at 18 years of permier. 0 accidents; 0 license withdrawal; 0 termination of insurance (ditto for my wife) and I pay 400 euros to the minimum third party with"&amp;"out sandero of 2009 (without power steering or central closure which represents 20% of the price of the car) with 50 km For an intervention on a breakdown .... well done, you will earn money ... or not ...")</f>
        <v>It was good ... Unfortunately, it changed! I did a test with a simulator on the internet to find out the price of my insurance with them ... 295 instead of 400 euros ... I post them by phone, in fact, it is a preferential rate for new clients !! For those who are already customers, it is better to terminate .... hey yes, I am 38 years old, the permit at 18 years of permier. 0 accidents; 0 license withdrawal; 0 termination of insurance (ditto for my wife) and I pay 400 euros to the minimum third party without sandero of 2009 (without power steering or central closure which represents 20% of the price of the car) with 50 km For an intervention on a breakdown .... well done, you will earn money ... or not ...</v>
      </c>
    </row>
    <row r="530" spans="1:9" ht="15.75" customHeight="1" x14ac:dyDescent="0.3">
      <c r="A530" s="2">
        <v>1</v>
      </c>
      <c r="B530" s="2" t="s">
        <v>1562</v>
      </c>
      <c r="C530" s="2" t="s">
        <v>1563</v>
      </c>
      <c r="D530" s="2" t="s">
        <v>145</v>
      </c>
      <c r="E530" s="2" t="s">
        <v>14</v>
      </c>
      <c r="F530" s="2" t="s">
        <v>15</v>
      </c>
      <c r="G530" s="2" t="s">
        <v>1564</v>
      </c>
      <c r="H530" s="2" t="s">
        <v>67</v>
      </c>
      <c r="I530" s="2" t="str">
        <f ca="1">IFERROR(__xludf.DUMMYFUNCTION("GOOGLETRANSLATE(C530,""fr"",""en"")"),"Be careful, even if you terminate your contract, know that the MAAF continues to take you! Customer service informed me that I will no longer be taken, I received a sheet that informed me of the termination of my contract by Hamon law from April. Problem:"&amp;" we are in May and I was still deducted from € 50.66!
I do not recommend by this insurance which, in addition to that, makes us pay dear for not much.")</f>
        <v>Be careful, even if you terminate your contract, know that the MAAF continues to take you! Customer service informed me that I will no longer be taken, I received a sheet that informed me of the termination of my contract by Hamon law from April. Problem: we are in May and I was still deducted from € 50.66!
I do not recommend by this insurance which, in addition to that, makes us pay dear for not much.</v>
      </c>
    </row>
    <row r="531" spans="1:9" ht="15.75" customHeight="1" x14ac:dyDescent="0.3">
      <c r="A531" s="2">
        <v>3</v>
      </c>
      <c r="B531" s="2" t="s">
        <v>1565</v>
      </c>
      <c r="C531" s="2" t="s">
        <v>1566</v>
      </c>
      <c r="D531" s="2" t="s">
        <v>664</v>
      </c>
      <c r="E531" s="2" t="s">
        <v>39</v>
      </c>
      <c r="F531" s="2" t="s">
        <v>15</v>
      </c>
      <c r="G531" s="2" t="s">
        <v>1567</v>
      </c>
      <c r="H531" s="2" t="s">
        <v>467</v>
      </c>
      <c r="I531" s="2" t="str">
        <f ca="1">IFERROR(__xludf.DUMMYFUNCTION("GOOGLETRANSLATE(C531,""fr"",""en"")"),"Customer in the making, if the contract will go as well as its development with Anthony and follow -up with Nadège, I will be delighted.")</f>
        <v>Customer in the making, if the contract will go as well as its development with Anthony and follow -up with Nadège, I will be delighted.</v>
      </c>
    </row>
    <row r="532" spans="1:9" ht="15.75" customHeight="1" x14ac:dyDescent="0.3">
      <c r="A532" s="2">
        <v>4</v>
      </c>
      <c r="B532" s="2" t="s">
        <v>1568</v>
      </c>
      <c r="C532" s="2" t="s">
        <v>1569</v>
      </c>
      <c r="D532" s="2" t="s">
        <v>664</v>
      </c>
      <c r="E532" s="2" t="s">
        <v>39</v>
      </c>
      <c r="F532" s="2" t="s">
        <v>15</v>
      </c>
      <c r="G532" s="2" t="s">
        <v>167</v>
      </c>
      <c r="H532" s="2" t="s">
        <v>17</v>
      </c>
      <c r="I532" s="2" t="str">
        <f ca="1">IFERROR(__xludf.DUMMYFUNCTION("GOOGLETRANSLATE(C532,""fr"",""en"")"),"I needed an additional information on ophthalmology-optics. Very basic guarantees ... compensated by the reception of Khadidiatou, very friendly and very precise interlocutor in her information. Thanks to her.")</f>
        <v>I needed an additional information on ophthalmology-optics. Very basic guarantees ... compensated by the reception of Khadidiatou, very friendly and very precise interlocutor in her information. Thanks to her.</v>
      </c>
    </row>
    <row r="533" spans="1:9" ht="15.75" customHeight="1" x14ac:dyDescent="0.3">
      <c r="A533" s="2">
        <v>2</v>
      </c>
      <c r="B533" s="2" t="s">
        <v>1570</v>
      </c>
      <c r="C533" s="2" t="s">
        <v>1571</v>
      </c>
      <c r="D533" s="2" t="s">
        <v>38</v>
      </c>
      <c r="E533" s="2" t="s">
        <v>39</v>
      </c>
      <c r="F533" s="2" t="s">
        <v>15</v>
      </c>
      <c r="G533" s="2" t="s">
        <v>1572</v>
      </c>
      <c r="H533" s="2" t="s">
        <v>634</v>
      </c>
      <c r="I533" s="2" t="str">
        <f ca="1">IFERROR(__xludf.DUMMYFUNCTION("GOOGLETRANSLATE(C533,""fr"",""en"")"),"I have dental care that date from January 21 for 700 euros which are still not reimbursed despite several calls and messages on the member space that remained unanswered. To have them on the phone, you have to wait almost 40 minutes, and when you have the"&amp;"m, you are asked to be patient !!! To date, still nothing in sight.")</f>
        <v>I have dental care that date from January 21 for 700 euros which are still not reimbursed despite several calls and messages on the member space that remained unanswered. To have them on the phone, you have to wait almost 40 minutes, and when you have them, you are asked to be patient !!! To date, still nothing in sight.</v>
      </c>
    </row>
    <row r="534" spans="1:9" ht="15.75" customHeight="1" x14ac:dyDescent="0.3">
      <c r="A534" s="2">
        <v>1</v>
      </c>
      <c r="B534" s="2" t="s">
        <v>1573</v>
      </c>
      <c r="C534" s="2" t="s">
        <v>1574</v>
      </c>
      <c r="D534" s="2" t="s">
        <v>38</v>
      </c>
      <c r="E534" s="2" t="s">
        <v>39</v>
      </c>
      <c r="F534" s="2" t="s">
        <v>15</v>
      </c>
      <c r="G534" s="2" t="s">
        <v>51</v>
      </c>
      <c r="H534" s="2" t="s">
        <v>52</v>
      </c>
      <c r="I534" s="2" t="str">
        <f ca="1">IFERROR(__xludf.DUMMYFUNCTION("GOOGLETRANSLATE(C534,""fr"",""en"")"),"Abusive canvassing. Call for a pseudo broker. Who had everything in hand except my bank details. Wanted to force me to contract while claiming to ""check information"". These people should be subject to a lawsuit.")</f>
        <v>Abusive canvassing. Call for a pseudo broker. Who had everything in hand except my bank details. Wanted to force me to contract while claiming to "check information". These people should be subject to a lawsuit.</v>
      </c>
    </row>
    <row r="535" spans="1:9" ht="15.75" customHeight="1" x14ac:dyDescent="0.3">
      <c r="A535" s="2">
        <v>4</v>
      </c>
      <c r="B535" s="2" t="s">
        <v>1575</v>
      </c>
      <c r="C535" s="2" t="s">
        <v>1576</v>
      </c>
      <c r="D535" s="2" t="s">
        <v>28</v>
      </c>
      <c r="E535" s="2" t="s">
        <v>14</v>
      </c>
      <c r="F535" s="2" t="s">
        <v>15</v>
      </c>
      <c r="G535" s="2" t="s">
        <v>1114</v>
      </c>
      <c r="H535" s="2" t="s">
        <v>17</v>
      </c>
      <c r="I535" s="2" t="str">
        <f ca="1">IFERROR(__xludf.DUMMYFUNCTION("GOOGLETRANSLATE(C535,""fr"",""en"")"),"For the moment very satisfied with the service, provided very quickly, very good price.
Intuitive approach, I highly recommend.
To see in time")</f>
        <v>For the moment very satisfied with the service, provided very quickly, very good price.
Intuitive approach, I highly recommend.
To see in time</v>
      </c>
    </row>
    <row r="536" spans="1:9" ht="15.75" customHeight="1" x14ac:dyDescent="0.3">
      <c r="A536" s="2">
        <v>4</v>
      </c>
      <c r="B536" s="2" t="s">
        <v>1577</v>
      </c>
      <c r="C536" s="2" t="s">
        <v>1578</v>
      </c>
      <c r="D536" s="2" t="s">
        <v>197</v>
      </c>
      <c r="E536" s="2" t="s">
        <v>81</v>
      </c>
      <c r="F536" s="2" t="s">
        <v>15</v>
      </c>
      <c r="G536" s="2" t="s">
        <v>667</v>
      </c>
      <c r="H536" s="2" t="s">
        <v>83</v>
      </c>
      <c r="I536" s="2" t="str">
        <f ca="1">IFERROR(__xludf.DUMMYFUNCTION("GOOGLETRANSLATE(C536,""fr"",""en"")"),"I am satisfied with the service that AMV offered, fast, the reasonable price, and the ease of execution is super fast. I highly recommend AMV to my friends")</f>
        <v>I am satisfied with the service that AMV offered, fast, the reasonable price, and the ease of execution is super fast. I highly recommend AMV to my friends</v>
      </c>
    </row>
    <row r="537" spans="1:9" ht="15.75" customHeight="1" x14ac:dyDescent="0.3">
      <c r="A537" s="2">
        <v>2</v>
      </c>
      <c r="B537" s="2" t="s">
        <v>1579</v>
      </c>
      <c r="C537" s="2" t="s">
        <v>1580</v>
      </c>
      <c r="D537" s="2" t="s">
        <v>13</v>
      </c>
      <c r="E537" s="2" t="s">
        <v>14</v>
      </c>
      <c r="F537" s="2" t="s">
        <v>15</v>
      </c>
      <c r="G537" s="2" t="s">
        <v>793</v>
      </c>
      <c r="H537" s="2" t="s">
        <v>111</v>
      </c>
      <c r="I537" s="2" t="str">
        <f ca="1">IFERROR(__xludf.DUMMYFUNCTION("GOOGLETRANSLATE(C537,""fr"",""en"")"),"The prices in young permit are expensive. But not the choice to insure. Otherwise for other very well permitted permits and the relationship on social network very well. Thanks")</f>
        <v>The prices in young permit are expensive. But not the choice to insure. Otherwise for other very well permitted permits and the relationship on social network very well. Thanks</v>
      </c>
    </row>
    <row r="538" spans="1:9" ht="15.75" customHeight="1" x14ac:dyDescent="0.3">
      <c r="A538" s="2">
        <v>4</v>
      </c>
      <c r="B538" s="2" t="s">
        <v>1581</v>
      </c>
      <c r="C538" s="2" t="s">
        <v>1582</v>
      </c>
      <c r="D538" s="2" t="s">
        <v>28</v>
      </c>
      <c r="E538" s="2" t="s">
        <v>14</v>
      </c>
      <c r="F538" s="2" t="s">
        <v>15</v>
      </c>
      <c r="G538" s="2" t="s">
        <v>314</v>
      </c>
      <c r="H538" s="2" t="s">
        <v>111</v>
      </c>
      <c r="I538" s="2" t="str">
        <f ca="1">IFERROR(__xludf.DUMMYFUNCTION("GOOGLETRANSLATE(C538,""fr"",""en"")"),"At the top the advisor was nice and understanding decent and just price and I want to go with you to insure other values ​​I hope that it will last long time")</f>
        <v>At the top the advisor was nice and understanding decent and just price and I want to go with you to insure other values ​​I hope that it will last long time</v>
      </c>
    </row>
    <row r="539" spans="1:9" ht="15.75" customHeight="1" x14ac:dyDescent="0.3">
      <c r="A539" s="2">
        <v>4</v>
      </c>
      <c r="B539" s="2" t="s">
        <v>1583</v>
      </c>
      <c r="C539" s="2" t="s">
        <v>1584</v>
      </c>
      <c r="D539" s="2" t="s">
        <v>13</v>
      </c>
      <c r="E539" s="2" t="s">
        <v>14</v>
      </c>
      <c r="F539" s="2" t="s">
        <v>15</v>
      </c>
      <c r="G539" s="2" t="s">
        <v>1233</v>
      </c>
      <c r="H539" s="2" t="s">
        <v>17</v>
      </c>
      <c r="I539" s="2" t="str">
        <f ca="1">IFERROR(__xludf.DUMMYFUNCTION("GOOGLETRANSLATE(C539,""fr"",""en"")"),"Very good telephone reception
Very good advice
Pricing that challenges all competition
Start of the contract hoping that this satisfaction will last over the long term")</f>
        <v>Very good telephone reception
Very good advice
Pricing that challenges all competition
Start of the contract hoping that this satisfaction will last over the long term</v>
      </c>
    </row>
    <row r="540" spans="1:9" ht="15.75" customHeight="1" x14ac:dyDescent="0.3">
      <c r="A540" s="2">
        <v>2</v>
      </c>
      <c r="B540" s="2" t="s">
        <v>1585</v>
      </c>
      <c r="C540" s="2" t="s">
        <v>1586</v>
      </c>
      <c r="D540" s="2" t="s">
        <v>197</v>
      </c>
      <c r="E540" s="2" t="s">
        <v>81</v>
      </c>
      <c r="F540" s="2" t="s">
        <v>15</v>
      </c>
      <c r="G540" s="2" t="s">
        <v>1587</v>
      </c>
      <c r="H540" s="2" t="s">
        <v>328</v>
      </c>
      <c r="I540" s="2" t="str">
        <f ca="1">IFERROR(__xludf.DUMMYFUNCTION("GOOGLETRANSLATE(C540,""fr"",""en"")"),"After many years of carelessness, it is when we have a disaster that we see deplorable follow -up, contradictory letters, the total absence of customer monitoring, relationship, advice, information and of course, compensation.")</f>
        <v>After many years of carelessness, it is when we have a disaster that we see deplorable follow -up, contradictory letters, the total absence of customer monitoring, relationship, advice, information and of course, compensation.</v>
      </c>
    </row>
    <row r="541" spans="1:9" ht="15.75" customHeight="1" x14ac:dyDescent="0.3">
      <c r="A541" s="2">
        <v>5</v>
      </c>
      <c r="B541" s="2" t="s">
        <v>1588</v>
      </c>
      <c r="C541" s="2" t="s">
        <v>1589</v>
      </c>
      <c r="D541" s="2" t="s">
        <v>13</v>
      </c>
      <c r="E541" s="2" t="s">
        <v>14</v>
      </c>
      <c r="F541" s="2" t="s">
        <v>15</v>
      </c>
      <c r="G541" s="2" t="s">
        <v>738</v>
      </c>
      <c r="H541" s="2" t="s">
        <v>46</v>
      </c>
      <c r="I541" s="2" t="str">
        <f ca="1">IFERROR(__xludf.DUMMYFUNCTION("GOOGLETRANSLATE(C541,""fr"",""en"")"),"This is my first experience with online insurance.
Very good experience!
My advisor explained the various contracts very well and offered me the most suitable for my situation.
The Youdrive offer is top for those who want to considerably reduce t"&amp;"he cost of their car insurance.
Online registration and signing documents is simplicity!
I can't wait to receive my box and start making money!
")</f>
        <v xml:space="preserve">This is my first experience with online insurance.
Very good experience!
My advisor explained the various contracts very well and offered me the most suitable for my situation.
The Youdrive offer is top for those who want to considerably reduce the cost of their car insurance.
Online registration and signing documents is simplicity!
I can't wait to receive my box and start making money!
</v>
      </c>
    </row>
    <row r="542" spans="1:9" ht="15.75" customHeight="1" x14ac:dyDescent="0.3">
      <c r="A542" s="2">
        <v>1</v>
      </c>
      <c r="B542" s="2" t="s">
        <v>1590</v>
      </c>
      <c r="C542" s="2" t="s">
        <v>1591</v>
      </c>
      <c r="D542" s="2" t="s">
        <v>13</v>
      </c>
      <c r="E542" s="2" t="s">
        <v>14</v>
      </c>
      <c r="F542" s="2" t="s">
        <v>15</v>
      </c>
      <c r="G542" s="2" t="s">
        <v>751</v>
      </c>
      <c r="H542" s="2" t="s">
        <v>125</v>
      </c>
      <c r="I542" s="2" t="str">
        <f ca="1">IFERROR(__xludf.DUMMYFUNCTION("GOOGLETRANSLATE(C542,""fr"",""en"")"),"To flee my daughter had a hung not too serious two years ago she accepted that she was put on a registered shock more accident since ... Only a small impact on her by breeze which required a small repair from Carglass there is 1st me ... and yesterday he "&amp;"signals him that he does not want it anymore !!! ejected swept away .. I find it scandalous and I will never come to them !! Here you")</f>
        <v>To flee my daughter had a hung not too serious two years ago she accepted that she was put on a registered shock more accident since ... Only a small impact on her by breeze which required a small repair from Carglass there is 1st me ... and yesterday he signals him that he does not want it anymore !!! ejected swept away .. I find it scandalous and I will never come to them !! Here you</v>
      </c>
    </row>
    <row r="543" spans="1:9" ht="15.75" customHeight="1" x14ac:dyDescent="0.3">
      <c r="A543" s="2">
        <v>2</v>
      </c>
      <c r="B543" s="2" t="s">
        <v>1592</v>
      </c>
      <c r="C543" s="2" t="s">
        <v>1593</v>
      </c>
      <c r="D543" s="2" t="s">
        <v>1594</v>
      </c>
      <c r="E543" s="2" t="s">
        <v>137</v>
      </c>
      <c r="F543" s="2" t="s">
        <v>15</v>
      </c>
      <c r="G543" s="2" t="s">
        <v>1595</v>
      </c>
      <c r="H543" s="2" t="s">
        <v>474</v>
      </c>
      <c r="I543" s="2" t="str">
        <f ca="1">IFERROR(__xludf.DUMMYFUNCTION("GOOGLETRANSLATE(C543,""fr"",""en"")")," Very poorly manage a waiting period of 2 months what is unacceptable is that in addition to calling and having advisers on the phone which indicates to us to manage our files when reminding you a week later we tell you I will process your file it is in i"&amp;"ncomprehensible archives 5 months of perpetual combat called every week to have a poor transfer of € 200")</f>
        <v xml:space="preserve"> Very poorly manage a waiting period of 2 months what is unacceptable is that in addition to calling and having advisers on the phone which indicates to us to manage our files when reminding you a week later we tell you I will process your file it is in incomprehensible archives 5 months of perpetual combat called every week to have a poor transfer of € 200</v>
      </c>
    </row>
    <row r="544" spans="1:9" ht="15.75" customHeight="1" x14ac:dyDescent="0.3">
      <c r="A544" s="2">
        <v>1</v>
      </c>
      <c r="B544" s="2" t="s">
        <v>1596</v>
      </c>
      <c r="C544" s="2" t="s">
        <v>1597</v>
      </c>
      <c r="D544" s="2" t="s">
        <v>412</v>
      </c>
      <c r="E544" s="2" t="s">
        <v>39</v>
      </c>
      <c r="F544" s="2" t="s">
        <v>15</v>
      </c>
      <c r="G544" s="2" t="s">
        <v>1598</v>
      </c>
      <c r="H544" s="2" t="s">
        <v>41</v>
      </c>
      <c r="I544" s="2" t="str">
        <f ca="1">IFERROR(__xludf.DUMMYFUNCTION("GOOGLETRANSLATE(C544,""fr"",""en"")"),"It's been 2 months now that my son was born and after sending the papers as planned, the file is not processed, nothing is done, and customer service cares and tells us to wait. month ! Suddenly no refund for my son. By the contributions that we recover t"&amp;"hem without problem. Suddenly I will be obliged to terminate, and in this case I evoke the lack of service on their part (case of force majeure) and if necessary, we can go to court without problem.")</f>
        <v>It's been 2 months now that my son was born and after sending the papers as planned, the file is not processed, nothing is done, and customer service cares and tells us to wait. month ! Suddenly no refund for my son. By the contributions that we recover them without problem. Suddenly I will be obliged to terminate, and in this case I evoke the lack of service on their part (case of force majeure) and if necessary, we can go to court without problem.</v>
      </c>
    </row>
    <row r="545" spans="1:9" ht="15.75" customHeight="1" x14ac:dyDescent="0.3">
      <c r="A545" s="2">
        <v>2</v>
      </c>
      <c r="B545" s="2" t="s">
        <v>1599</v>
      </c>
      <c r="C545" s="2" t="s">
        <v>1600</v>
      </c>
      <c r="D545" s="2" t="s">
        <v>322</v>
      </c>
      <c r="E545" s="2" t="s">
        <v>14</v>
      </c>
      <c r="F545" s="2" t="s">
        <v>15</v>
      </c>
      <c r="G545" s="2" t="s">
        <v>1601</v>
      </c>
      <c r="H545" s="2" t="s">
        <v>612</v>
      </c>
      <c r="I545" s="2" t="str">
        <f ca="1">IFERROR(__xludf.DUMMYFUNCTION("GOOGLETRANSLATE(C545,""fr"",""en"")"),"Absolutely avoid this insurance !!!!!!!
I have currently had self -insurance for more than a year, I have made my request for information statements, without follow -up.
In addition, I wanted to take out a contract for another vehicle, I paid for the ca"&amp;"se fees as well as two self -insurance. I never received provisional insurance paper, and when I wanted to connect to the site to transmit my documents, impossible. So I called customer service (surcharged) has several recovery. I sent my documents by mai"&amp;"l, always without follow -up. And now when I call them they tell me that I have not transmitted my documents in time.
I therefore find myself without an insurance year having payed, and I cannot recover my information statement to change ...
Absolutely "&amp;"avoid this insurance !!!!!!")</f>
        <v>Absolutely avoid this insurance !!!!!!!
I have currently had self -insurance for more than a year, I have made my request for information statements, without follow -up.
In addition, I wanted to take out a contract for another vehicle, I paid for the case fees as well as two self -insurance. I never received provisional insurance paper, and when I wanted to connect to the site to transmit my documents, impossible. So I called customer service (surcharged) has several recovery. I sent my documents by mail, always without follow -up. And now when I call them they tell me that I have not transmitted my documents in time.
I therefore find myself without an insurance year having payed, and I cannot recover my information statement to change ...
Absolutely avoid this insurance !!!!!!</v>
      </c>
    </row>
    <row r="546" spans="1:9" ht="15.75" customHeight="1" x14ac:dyDescent="0.3">
      <c r="A546" s="2">
        <v>5</v>
      </c>
      <c r="B546" s="2" t="s">
        <v>1602</v>
      </c>
      <c r="C546" s="2" t="s">
        <v>1603</v>
      </c>
      <c r="D546" s="2" t="s">
        <v>80</v>
      </c>
      <c r="E546" s="2" t="s">
        <v>81</v>
      </c>
      <c r="F546" s="2" t="s">
        <v>15</v>
      </c>
      <c r="G546" s="2" t="s">
        <v>1536</v>
      </c>
      <c r="H546" s="2" t="s">
        <v>83</v>
      </c>
      <c r="I546" s="2" t="str">
        <f ca="1">IFERROR(__xludf.DUMMYFUNCTION("GOOGLETRANSLATE(C546,""fr"",""en"")"),"Very satisfied with the price price price and facilitate to subscribe online nothing else to say reception and super warranty recommended to the person around me")</f>
        <v>Very satisfied with the price price price and facilitate to subscribe online nothing else to say reception and super warranty recommended to the person around me</v>
      </c>
    </row>
    <row r="547" spans="1:9" ht="15.75" customHeight="1" x14ac:dyDescent="0.3">
      <c r="A547" s="2">
        <v>1</v>
      </c>
      <c r="B547" s="2" t="s">
        <v>1604</v>
      </c>
      <c r="C547" s="2" t="s">
        <v>1605</v>
      </c>
      <c r="D547" s="2" t="s">
        <v>565</v>
      </c>
      <c r="E547" s="2" t="s">
        <v>137</v>
      </c>
      <c r="F547" s="2" t="s">
        <v>15</v>
      </c>
      <c r="G547" s="2" t="s">
        <v>1606</v>
      </c>
      <c r="H547" s="2" t="s">
        <v>30</v>
      </c>
      <c r="I547" s="2" t="str">
        <f ca="1">IFERROR(__xludf.DUMMYFUNCTION("GOOGLETRANSLATE(C547,""fr"",""en"")"),"Very misunderstanding.
Advisers unable to respond to requests.
Treatment of loss of bonuses and a half treatment completely out of the watershed while the files are complete.
Forced to constantly relaunch them by email or phone.
I decide to be interio"&amp;"r.
I would change my mutual as soon as I could.")</f>
        <v>Very misunderstanding.
Advisers unable to respond to requests.
Treatment of loss of bonuses and a half treatment completely out of the watershed while the files are complete.
Forced to constantly relaunch them by email or phone.
I decide to be interior.
I would change my mutual as soon as I could.</v>
      </c>
    </row>
    <row r="548" spans="1:9" ht="15.75" customHeight="1" x14ac:dyDescent="0.3">
      <c r="A548" s="2">
        <v>5</v>
      </c>
      <c r="B548" s="2" t="s">
        <v>1607</v>
      </c>
      <c r="C548" s="2" t="s">
        <v>1608</v>
      </c>
      <c r="D548" s="2" t="s">
        <v>28</v>
      </c>
      <c r="E548" s="2" t="s">
        <v>14</v>
      </c>
      <c r="F548" s="2" t="s">
        <v>15</v>
      </c>
      <c r="G548" s="2" t="s">
        <v>1190</v>
      </c>
      <c r="H548" s="2" t="s">
        <v>21</v>
      </c>
      <c r="I548" s="2" t="str">
        <f ca="1">IFERROR(__xludf.DUMMYFUNCTION("GOOGLETRANSLATE(C548,""fr"",""en"")"),"Everything is perfect for the moment, customer service is listening to us and patients, the prices are ultra competitive compared to other insurance companies")</f>
        <v>Everything is perfect for the moment, customer service is listening to us and patients, the prices are ultra competitive compared to other insurance companies</v>
      </c>
    </row>
    <row r="549" spans="1:9" ht="15.75" customHeight="1" x14ac:dyDescent="0.3">
      <c r="A549" s="2">
        <v>3</v>
      </c>
      <c r="B549" s="2" t="s">
        <v>1609</v>
      </c>
      <c r="C549" s="2" t="s">
        <v>1610</v>
      </c>
      <c r="D549" s="2" t="s">
        <v>28</v>
      </c>
      <c r="E549" s="2" t="s">
        <v>14</v>
      </c>
      <c r="F549" s="2" t="s">
        <v>15</v>
      </c>
      <c r="G549" s="2" t="s">
        <v>637</v>
      </c>
      <c r="H549" s="2" t="s">
        <v>25</v>
      </c>
      <c r="I549" s="2" t="str">
        <f ca="1">IFERROR(__xludf.DUMMYFUNCTION("GOOGLETRANSLATE(C549,""fr"",""en"")"),"I am satisfied with responsiveness
I had a good advisor to listen
                                                                                                           ")</f>
        <v xml:space="preserve">I am satisfied with responsiveness
I had a good advisor to listen
                                                                                                           </v>
      </c>
    </row>
    <row r="550" spans="1:9" ht="15.75" customHeight="1" x14ac:dyDescent="0.3">
      <c r="A550" s="2">
        <v>1</v>
      </c>
      <c r="B550" s="2" t="s">
        <v>1611</v>
      </c>
      <c r="C550" s="2" t="s">
        <v>1612</v>
      </c>
      <c r="D550" s="2" t="s">
        <v>303</v>
      </c>
      <c r="E550" s="2" t="s">
        <v>14</v>
      </c>
      <c r="F550" s="2" t="s">
        <v>15</v>
      </c>
      <c r="G550" s="2" t="s">
        <v>1613</v>
      </c>
      <c r="H550" s="2" t="s">
        <v>1034</v>
      </c>
      <c r="I550" s="2" t="str">
        <f ca="1">IFERROR(__xludf.DUMMYFUNCTION("GOOGLETRANSLATE(C550,""fr"",""en"")"),"Hello, I come today on this forum because I am very unhappy with the Macif I had a concern with a blind from my campsite because I found torn off and distorted one morning when I wake up, I deduced Without being an expert that sinister had been caused by "&amp;"the wind, so my declaration made in its direction, so no storm notice no compensation (without expertise) my declaration was enough for them because it did not have m 'Compensation, but my concessionaire sees the case differently, therefore mail, mediatio"&amp;"n, appeal commission they do not want to know anything about the head of service said no so there is no point there is no use of letters they Sheet, it's very serious I will not stop there I will enter my legal protection which is not the Macif and we wil"&amp;"l see, in any case Camping Coriste Méfiez you flee this company")</f>
        <v>Hello, I come today on this forum because I am very unhappy with the Macif I had a concern with a blind from my campsite because I found torn off and distorted one morning when I wake up, I deduced Without being an expert that sinister had been caused by the wind, so my declaration made in its direction, so no storm notice no compensation (without expertise) my declaration was enough for them because it did not have m 'Compensation, but my concessionaire sees the case differently, therefore mail, mediation, appeal commission they do not want to know anything about the head of service said no so there is no point there is no use of letters they Sheet, it's very serious I will not stop there I will enter my legal protection which is not the Macif and we will see, in any case Camping Coriste Méfiez you flee this company</v>
      </c>
    </row>
    <row r="551" spans="1:9" ht="15.75" customHeight="1" x14ac:dyDescent="0.3">
      <c r="A551" s="2">
        <v>2</v>
      </c>
      <c r="B551" s="2" t="s">
        <v>1614</v>
      </c>
      <c r="C551" s="2" t="s">
        <v>1615</v>
      </c>
      <c r="D551" s="2" t="s">
        <v>281</v>
      </c>
      <c r="E551" s="2" t="s">
        <v>39</v>
      </c>
      <c r="F551" s="2" t="s">
        <v>15</v>
      </c>
      <c r="G551" s="2" t="s">
        <v>1616</v>
      </c>
      <c r="H551" s="2" t="s">
        <v>111</v>
      </c>
      <c r="I551" s="2" t="str">
        <f ca="1">IFERROR(__xludf.DUMMYFUNCTION("GOOGLETRANSLATE(C551,""fr"",""en"")"),"It starts very badly! After 2 years of hesitation, I leave the ACMs for mutual harmony, where I exchanged for a long time by email and telephone with a advisor,
By insisting of course my needs, and asking what the reimbursements were.
In the end, I laun"&amp;"ched myself, at the end of spring 2021 ...
Result, I come back from thermal treatment, I claim my package: I am told that I am not entitled to it, when I thought I was receiving € 400! It's not nothing, and that's what motivated me to change my mutual. I"&amp;" had a € 200 package before.
Podiatrist and soles reimbursement: Likewise, I was 100 % reimbursed before, and there there remains 40 € in my pocket.
Osteodensitometry: I could not have the info ...
In short, I will not stay long in this mutual if I am "&amp;"not better reimbursed than that, optional 3 I specify !!
Easy to make great promises to attract customers, if the non -reimbursed amounts exceed the gain in contributions, I will have done better to keep my old mutual!
")</f>
        <v xml:space="preserve">It starts very badly! After 2 years of hesitation, I leave the ACMs for mutual harmony, where I exchanged for a long time by email and telephone with a advisor,
By insisting of course my needs, and asking what the reimbursements were.
In the end, I launched myself, at the end of spring 2021 ...
Result, I come back from thermal treatment, I claim my package: I am told that I am not entitled to it, when I thought I was receiving € 400! It's not nothing, and that's what motivated me to change my mutual. I had a € 200 package before.
Podiatrist and soles reimbursement: Likewise, I was 100 % reimbursed before, and there there remains 40 € in my pocket.
Osteodensitometry: I could not have the info ...
In short, I will not stay long in this mutual if I am not better reimbursed than that, optional 3 I specify !!
Easy to make great promises to attract customers, if the non -reimbursed amounts exceed the gain in contributions, I will have done better to keep my old mutual!
</v>
      </c>
    </row>
    <row r="552" spans="1:9" ht="15.75" customHeight="1" x14ac:dyDescent="0.3">
      <c r="A552" s="2">
        <v>2</v>
      </c>
      <c r="B552" s="2" t="s">
        <v>1617</v>
      </c>
      <c r="C552" s="2" t="s">
        <v>1618</v>
      </c>
      <c r="D552" s="2" t="s">
        <v>310</v>
      </c>
      <c r="E552" s="2" t="s">
        <v>14</v>
      </c>
      <c r="F552" s="2" t="s">
        <v>15</v>
      </c>
      <c r="G552" s="2" t="s">
        <v>1619</v>
      </c>
      <c r="H552" s="2" t="s">
        <v>661</v>
      </c>
      <c r="I552" s="2" t="str">
        <f ca="1">IFERROR(__xludf.DUMMYFUNCTION("GOOGLETRANSLATE(C552,""fr"",""en"")"),"My car rate 2017: bad surprise !! + 15.4% for one and + 6.24% for the other. customer for over 5 years, bonus 50%")</f>
        <v>My car rate 2017: bad surprise !! + 15.4% for one and + 6.24% for the other. customer for over 5 years, bonus 50%</v>
      </c>
    </row>
    <row r="553" spans="1:9" ht="15.75" customHeight="1" x14ac:dyDescent="0.3">
      <c r="A553" s="2">
        <v>4</v>
      </c>
      <c r="B553" s="2" t="s">
        <v>1620</v>
      </c>
      <c r="C553" s="2" t="s">
        <v>1621</v>
      </c>
      <c r="D553" s="2" t="s">
        <v>13</v>
      </c>
      <c r="E553" s="2" t="s">
        <v>14</v>
      </c>
      <c r="F553" s="2" t="s">
        <v>15</v>
      </c>
      <c r="G553" s="2" t="s">
        <v>1271</v>
      </c>
      <c r="H553" s="2" t="s">
        <v>71</v>
      </c>
      <c r="I553" s="2" t="str">
        <f ca="1">IFERROR(__xludf.DUMMYFUNCTION("GOOGLETRANSLATE(C553,""fr"",""en"")"),"Very practical insurance company in its operation. I discover and therefore have no opinion on the after -sales service. But the echoes that I had encouraged me to subscribe to Direct Insurance.")</f>
        <v>Very practical insurance company in its operation. I discover and therefore have no opinion on the after -sales service. But the echoes that I had encouraged me to subscribe to Direct Insurance.</v>
      </c>
    </row>
    <row r="554" spans="1:9" ht="15.75" customHeight="1" x14ac:dyDescent="0.3">
      <c r="A554" s="2">
        <v>1</v>
      </c>
      <c r="B554" s="2" t="s">
        <v>1622</v>
      </c>
      <c r="C554" s="2" t="s">
        <v>1623</v>
      </c>
      <c r="D554" s="2" t="s">
        <v>412</v>
      </c>
      <c r="E554" s="2" t="s">
        <v>137</v>
      </c>
      <c r="F554" s="2" t="s">
        <v>15</v>
      </c>
      <c r="G554" s="2" t="s">
        <v>676</v>
      </c>
      <c r="H554" s="2" t="s">
        <v>111</v>
      </c>
      <c r="I554" s="2" t="str">
        <f ca="1">IFERROR(__xludf.DUMMYFUNCTION("GOOGLETRANSLATE(C554,""fr"",""en"")"),"As an accident for work since January, I have always been paying it is incredible I call every day but nothing changes however told me that the whole administration was done perfectly by me and that of my employer , even the AG2R advisers do not understan"&amp;"d why I was not yet paying. I will not let go I want my from. Because every month has taken me.")</f>
        <v>As an accident for work since January, I have always been paying it is incredible I call every day but nothing changes however told me that the whole administration was done perfectly by me and that of my employer , even the AG2R advisers do not understand why I was not yet paying. I will not let go I want my from. Because every month has taken me.</v>
      </c>
    </row>
    <row r="555" spans="1:9" ht="15.75" customHeight="1" x14ac:dyDescent="0.3">
      <c r="A555" s="2">
        <v>3</v>
      </c>
      <c r="B555" s="2" t="s">
        <v>1624</v>
      </c>
      <c r="C555" s="2" t="s">
        <v>1625</v>
      </c>
      <c r="D555" s="2" t="s">
        <v>80</v>
      </c>
      <c r="E555" s="2" t="s">
        <v>81</v>
      </c>
      <c r="F555" s="2" t="s">
        <v>15</v>
      </c>
      <c r="G555" s="2" t="s">
        <v>1626</v>
      </c>
      <c r="H555" s="2" t="s">
        <v>94</v>
      </c>
      <c r="I555" s="2" t="str">
        <f ca="1">IFERROR(__xludf.DUMMYFUNCTION("GOOGLETRANSLATE(C555,""fr"",""en"")"),"Despite being already a customer
Too much information is requested
And especially the 2 months to pay in advance
And in addition you ask 150 characters which forces me to write")</f>
        <v>Despite being already a customer
Too much information is requested
And especially the 2 months to pay in advance
And in addition you ask 150 characters which forces me to write</v>
      </c>
    </row>
    <row r="556" spans="1:9" ht="15.75" customHeight="1" x14ac:dyDescent="0.3">
      <c r="A556" s="2">
        <v>4</v>
      </c>
      <c r="B556" s="2" t="s">
        <v>1627</v>
      </c>
      <c r="C556" s="2" t="s">
        <v>1628</v>
      </c>
      <c r="D556" s="2" t="s">
        <v>28</v>
      </c>
      <c r="E556" s="2" t="s">
        <v>14</v>
      </c>
      <c r="F556" s="2" t="s">
        <v>15</v>
      </c>
      <c r="G556" s="2" t="s">
        <v>948</v>
      </c>
      <c r="H556" s="2" t="s">
        <v>25</v>
      </c>
      <c r="I556" s="2" t="str">
        <f ca="1">IFERROR(__xludf.DUMMYFUNCTION("GOOGLETRANSLATE(C556,""fr"",""en"")"),"Difficult to give an opinion to the signing of a contract. It is in difficult times and/or in the follow -up of its customers that a service provider can possibly be assessed.")</f>
        <v>Difficult to give an opinion to the signing of a contract. It is in difficult times and/or in the follow -up of its customers that a service provider can possibly be assessed.</v>
      </c>
    </row>
    <row r="557" spans="1:9" ht="15.75" customHeight="1" x14ac:dyDescent="0.3">
      <c r="A557" s="2">
        <v>5</v>
      </c>
      <c r="B557" s="2" t="s">
        <v>1629</v>
      </c>
      <c r="C557" s="2" t="s">
        <v>1630</v>
      </c>
      <c r="D557" s="2" t="s">
        <v>28</v>
      </c>
      <c r="E557" s="2" t="s">
        <v>14</v>
      </c>
      <c r="F557" s="2" t="s">
        <v>15</v>
      </c>
      <c r="G557" s="2" t="s">
        <v>260</v>
      </c>
      <c r="H557" s="2" t="s">
        <v>71</v>
      </c>
      <c r="I557" s="2" t="str">
        <f ca="1">IFERROR(__xludf.DUMMYFUNCTION("GOOGLETRANSLATE(C557,""fr"",""en"")"),"I am satisfied it is fast and not dressed in the advice is very professional and I finally managed to ensure my car even by being a young driver.")</f>
        <v>I am satisfied it is fast and not dressed in the advice is very professional and I finally managed to ensure my car even by being a young driver.</v>
      </c>
    </row>
    <row r="558" spans="1:9" ht="15.75" customHeight="1" x14ac:dyDescent="0.3">
      <c r="A558" s="2">
        <v>1</v>
      </c>
      <c r="B558" s="2" t="s">
        <v>1631</v>
      </c>
      <c r="C558" s="2" t="s">
        <v>1632</v>
      </c>
      <c r="D558" s="2" t="s">
        <v>65</v>
      </c>
      <c r="E558" s="2" t="s">
        <v>14</v>
      </c>
      <c r="F558" s="2" t="s">
        <v>15</v>
      </c>
      <c r="G558" s="2" t="s">
        <v>884</v>
      </c>
      <c r="H558" s="2" t="s">
        <v>67</v>
      </c>
      <c r="I558" s="2" t="str">
        <f ca="1">IFERROR(__xludf.DUMMYFUNCTION("GOOGLETRANSLATE(C558,""fr"",""en"")"),"Merchant, I suspended a deadline following the COVID and therefore the closure. The next month, after having obtained a PGE loan, I want to regularize but no one works at Allianz! Not even telework and impossible to pay online.
Today I want to settle, an"&amp;"d I am (punished)! Recovery costs and 4 months of contributions to pay on the field, if not struck off! READ: It's the procedure!
shame on them !!!")</f>
        <v>Merchant, I suspended a deadline following the COVID and therefore the closure. The next month, after having obtained a PGE loan, I want to regularize but no one works at Allianz! Not even telework and impossible to pay online.
Today I want to settle, and I am (punished)! Recovery costs and 4 months of contributions to pay on the field, if not struck off! READ: It's the procedure!
shame on them !!!</v>
      </c>
    </row>
    <row r="559" spans="1:9" ht="15.75" customHeight="1" x14ac:dyDescent="0.3">
      <c r="A559" s="2">
        <v>2</v>
      </c>
      <c r="B559" s="2" t="s">
        <v>1633</v>
      </c>
      <c r="C559" s="2" t="s">
        <v>1634</v>
      </c>
      <c r="D559" s="2" t="s">
        <v>13</v>
      </c>
      <c r="E559" s="2" t="s">
        <v>14</v>
      </c>
      <c r="F559" s="2" t="s">
        <v>15</v>
      </c>
      <c r="G559" s="2" t="s">
        <v>1635</v>
      </c>
      <c r="H559" s="2" t="s">
        <v>30</v>
      </c>
      <c r="I559" s="2" t="str">
        <f ca="1">IFERROR(__xludf.DUMMYFUNCTION("GOOGLETRANSLATE(C559,""fr"",""en"")"),"During the first contact on the phone, the person had assured me that when my son Thomas would have his car license his motorcycle bonus would be taken into account for the calculation of the price. Allowed from 23/012020.
Except when registering on the "&amp;"car, this is not the case, and my interlocutor tells me that nothing can be done.")</f>
        <v>During the first contact on the phone, the person had assured me that when my son Thomas would have his car license his motorcycle bonus would be taken into account for the calculation of the price. Allowed from 23/012020.
Except when registering on the car, this is not the case, and my interlocutor tells me that nothing can be done.</v>
      </c>
    </row>
    <row r="560" spans="1:9" ht="15.75" customHeight="1" x14ac:dyDescent="0.3">
      <c r="A560" s="2">
        <v>1</v>
      </c>
      <c r="B560" s="2" t="s">
        <v>1636</v>
      </c>
      <c r="C560" s="2" t="s">
        <v>1637</v>
      </c>
      <c r="D560" s="2" t="s">
        <v>322</v>
      </c>
      <c r="E560" s="2" t="s">
        <v>14</v>
      </c>
      <c r="F560" s="2" t="s">
        <v>15</v>
      </c>
      <c r="G560" s="2" t="s">
        <v>1638</v>
      </c>
      <c r="H560" s="2" t="s">
        <v>414</v>
      </c>
      <c r="I560" s="2" t="str">
        <f ca="1">IFERROR(__xludf.DUMMYFUNCTION("GOOGLETRANSLATE(C560,""fr"",""en"")"),"I still do not believe in what I live. 200 euros for a temporary certificate of 1 month. It is rather a great lie well organized to extract the money from honest citizens")</f>
        <v>I still do not believe in what I live. 200 euros for a temporary certificate of 1 month. It is rather a great lie well organized to extract the money from honest citizens</v>
      </c>
    </row>
    <row r="561" spans="1:9" ht="15.75" customHeight="1" x14ac:dyDescent="0.3">
      <c r="A561" s="2">
        <v>2</v>
      </c>
      <c r="B561" s="2" t="s">
        <v>1639</v>
      </c>
      <c r="C561" s="2" t="s">
        <v>1640</v>
      </c>
      <c r="D561" s="2" t="s">
        <v>254</v>
      </c>
      <c r="E561" s="2" t="s">
        <v>14</v>
      </c>
      <c r="F561" s="2" t="s">
        <v>15</v>
      </c>
      <c r="G561" s="2" t="s">
        <v>1552</v>
      </c>
      <c r="H561" s="2" t="s">
        <v>94</v>
      </c>
      <c r="I561" s="2" t="str">
        <f ca="1">IFERROR(__xludf.DUMMYFUNCTION("GOOGLETRANSLATE(C561,""fr"",""en"")"),"Terminated after five years spent at home. Pattern? Trade alteration according to them.
In 2016, I became a school teacher and the MAIF offered me specialized legal protection for the teaching professions, a contract including the autonomous secular soli"&amp;"darity. After a few months they offer me a car contract and then quickly a home contract. In three years I am fully assured at home.
Unfortunately in 2019, circumstances will decide my fate. I have to face two claims responsible with my car in the space "&amp;"of four months. Then a few months later, I suffered a verbal and de facto aggression a vandalism on my vehicle.
No words of sympathy. No empathy. The threat falls.
An activist assured me that no termination was envisaged if I was paying attention to the"&amp;" future. It has not happened. I receive a termination letter in November 2020. Commercial alteration. I expected to lose only my car contract. No, this is all of my contracts. So finished professional legal protection!
I tried to negotiate a compromise, "&amp;"they don't want to know anything! Completely bounded.
Always the same discourse: relationships have faded and we prefer to end the contracts.
Indeed when in February 2020 my car was repaired, breakdowns occurred in May 2020. The bodybuilder had poorly r"&amp;"epaired the engine part and my garage wanted to invoice the repairs while my insurance was supposed to pay (all -risk contract! ) I had to insist with the MAIF to take charge of the repairs and to give myself a vehicle loan. I just just didn't like it. It"&amp;" seems that they don't like that you are moaning or complaining.
The most serious is undoubtedly my assault, they had no words of convenience. Is it my fault if I get attacked? Is it my fault if a half-frosted individual gives big blows in my car until d"&amp;"amaging it? The complaint was not enough and I was ejecting like a mess. When I talk about advisers, I always have the same contempt on the phone.
This lack of humanity on their part disgusts me and I can only advise to flee this insurance. My mistake wa"&amp;"s to believe them.")</f>
        <v>Terminated after five years spent at home. Pattern? Trade alteration according to them.
In 2016, I became a school teacher and the MAIF offered me specialized legal protection for the teaching professions, a contract including the autonomous secular solidarity. After a few months they offer me a car contract and then quickly a home contract. In three years I am fully assured at home.
Unfortunately in 2019, circumstances will decide my fate. I have to face two claims responsible with my car in the space of four months. Then a few months later, I suffered a verbal and de facto aggression a vandalism on my vehicle.
No words of sympathy. No empathy. The threat falls.
An activist assured me that no termination was envisaged if I was paying attention to the future. It has not happened. I receive a termination letter in November 2020. Commercial alteration. I expected to lose only my car contract. No, this is all of my contracts. So finished professional legal protection!
I tried to negotiate a compromise, they don't want to know anything! Completely bounded.
Always the same discourse: relationships have faded and we prefer to end the contracts.
Indeed when in February 2020 my car was repaired, breakdowns occurred in May 2020. The bodybuilder had poorly repaired the engine part and my garage wanted to invoice the repairs while my insurance was supposed to pay (all -risk contract! ) I had to insist with the MAIF to take charge of the repairs and to give myself a vehicle loan. I just just didn't like it. It seems that they don't like that you are moaning or complaining.
The most serious is undoubtedly my assault, they had no words of convenience. Is it my fault if I get attacked? Is it my fault if a half-frosted individual gives big blows in my car until damaging it? The complaint was not enough and I was ejecting like a mess. When I talk about advisers, I always have the same contempt on the phone.
This lack of humanity on their part disgusts me and I can only advise to flee this insurance. My mistake was to believe them.</v>
      </c>
    </row>
    <row r="562" spans="1:9" ht="15.75" customHeight="1" x14ac:dyDescent="0.3">
      <c r="A562" s="2">
        <v>1</v>
      </c>
      <c r="B562" s="2" t="s">
        <v>1641</v>
      </c>
      <c r="C562" s="2" t="s">
        <v>1642</v>
      </c>
      <c r="D562" s="2" t="s">
        <v>65</v>
      </c>
      <c r="E562" s="2" t="s">
        <v>61</v>
      </c>
      <c r="F562" s="2" t="s">
        <v>15</v>
      </c>
      <c r="G562" s="2" t="s">
        <v>690</v>
      </c>
      <c r="H562" s="2" t="s">
        <v>634</v>
      </c>
      <c r="I562" s="2" t="str">
        <f ca="1">IFERROR(__xludf.DUMMYFUNCTION("GOOGLETRANSLATE(C562,""fr"",""en"")"),"Inadmissible I am beneficiary of contracts, I am still awaiting the summary of the sums despite the revival of the former adviser of Lyon. It has been more than a month since I sent the death notice. To make you sign contracts the 1st to pay I think it wi"&amp;"ll be complicated")</f>
        <v>Inadmissible I am beneficiary of contracts, I am still awaiting the summary of the sums despite the revival of the former adviser of Lyon. It has been more than a month since I sent the death notice. To make you sign contracts the 1st to pay I think it will be complicated</v>
      </c>
    </row>
    <row r="563" spans="1:9" ht="15.75" customHeight="1" x14ac:dyDescent="0.3">
      <c r="A563" s="2">
        <v>2</v>
      </c>
      <c r="B563" s="2" t="s">
        <v>1643</v>
      </c>
      <c r="C563" s="2" t="s">
        <v>1644</v>
      </c>
      <c r="D563" s="2" t="s">
        <v>254</v>
      </c>
      <c r="E563" s="2" t="s">
        <v>14</v>
      </c>
      <c r="F563" s="2" t="s">
        <v>15</v>
      </c>
      <c r="G563" s="2" t="s">
        <v>702</v>
      </c>
      <c r="H563" s="2" t="s">
        <v>286</v>
      </c>
      <c r="I563" s="2" t="str">
        <f ca="1">IFERROR(__xludf.DUMMYFUNCTION("GOOGLETRANSLATE(C563,""fr"",""en"")"),"Hello, I post on this forum because I am not satisfied with this organization. After accepting 2 exemptions to make sure on a sports vehicle since I did not have 5 years of license (first agreement in February 2020 then stolen vehicle and again an agreeme"&amp;"nt on 05/22/2020) I have an auto quote who proves it. I contact customer service again this day to ensure the same car but less powerful (fewer tax horses) and I am indicated that we refuse the derogation because my file has been studied in depth (as if i"&amp;"t had Not the case for the previous times) by indicating that my claims and my date of permit leaning in the scale (I have never had a claim and I soon have 5 years of license). The short argument counselor tells me that in February during the agreement o"&amp;"f the derogation I was made an offer for home insurance that I refused since I already have one that suits me. Basically it amounts to blackmail since I have not taken out this insurance. You cannot impose insurance in exchange for something. I await a re"&amp;"turn from you and I hope you will return to this absurd decisions !!!")</f>
        <v>Hello, I post on this forum because I am not satisfied with this organization. After accepting 2 exemptions to make sure on a sports vehicle since I did not have 5 years of license (first agreement in February 2020 then stolen vehicle and again an agreement on 05/22/2020) I have an auto quote who proves it. I contact customer service again this day to ensure the same car but less powerful (fewer tax horses) and I am indicated that we refuse the derogation because my file has been studied in depth (as if it had Not the case for the previous times) by indicating that my claims and my date of permit leaning in the scale (I have never had a claim and I soon have 5 years of license). The short argument counselor tells me that in February during the agreement of the derogation I was made an offer for home insurance that I refused since I already have one that suits me. Basically it amounts to blackmail since I have not taken out this insurance. You cannot impose insurance in exchange for something. I await a return from you and I hope you will return to this absurd decisions !!!</v>
      </c>
    </row>
    <row r="564" spans="1:9" ht="15.75" customHeight="1" x14ac:dyDescent="0.3">
      <c r="A564" s="2">
        <v>1</v>
      </c>
      <c r="B564" s="2" t="s">
        <v>1645</v>
      </c>
      <c r="C564" s="2" t="s">
        <v>1646</v>
      </c>
      <c r="D564" s="2" t="s">
        <v>13</v>
      </c>
      <c r="E564" s="2" t="s">
        <v>14</v>
      </c>
      <c r="F564" s="2" t="s">
        <v>15</v>
      </c>
      <c r="G564" s="2" t="s">
        <v>1647</v>
      </c>
      <c r="H564" s="2" t="s">
        <v>612</v>
      </c>
      <c r="I564" s="2" t="str">
        <f ca="1">IFERROR(__xludf.DUMMYFUNCTION("GOOGLETRANSLATE(C564,""fr"",""en"")"),"A company well below their advertising
Having two vehicles, one home one elsewhere, I want to repatriate the second home, they make me a quote I specify that I had a more 3reparations ice, I am told no worries they launch the termination Hamon law At my "&amp;"other insurer
1 month and 1st after the day of final termination they leave me a message saying in the end not being able to secure me following the break of ice and repairs .... I find myself without insurance !!! Finally they leave me 20 days to turn a"&amp;"round as they say .... of course they will retain € 45 in the fees on the refund! Fortunately my other (ex) insurer agrees to resume me, conclusion I will withdraw my other vehicle from this insurance which is bad times")</f>
        <v>A company well below their advertising
Having two vehicles, one home one elsewhere, I want to repatriate the second home, they make me a quote I specify that I had a more 3reparations ice, I am told no worries they launch the termination Hamon law At my other insurer
1 month and 1st after the day of final termination they leave me a message saying in the end not being able to secure me following the break of ice and repairs .... I find myself without insurance !!! Finally they leave me 20 days to turn around as they say .... of course they will retain € 45 in the fees on the refund! Fortunately my other (ex) insurer agrees to resume me, conclusion I will withdraw my other vehicle from this insurance which is bad times</v>
      </c>
    </row>
    <row r="565" spans="1:9" ht="15.75" customHeight="1" x14ac:dyDescent="0.3">
      <c r="A565" s="2">
        <v>3</v>
      </c>
      <c r="B565" s="2" t="s">
        <v>1648</v>
      </c>
      <c r="C565" s="2" t="s">
        <v>1649</v>
      </c>
      <c r="D565" s="2" t="s">
        <v>219</v>
      </c>
      <c r="E565" s="2" t="s">
        <v>137</v>
      </c>
      <c r="F565" s="2" t="s">
        <v>15</v>
      </c>
      <c r="G565" s="2" t="s">
        <v>1650</v>
      </c>
      <c r="H565" s="2" t="s">
        <v>74</v>
      </c>
      <c r="I565" s="2" t="str">
        <f ca="1">IFERROR(__xludf.DUMMYFUNCTION("GOOGLETRANSLATE(C565,""fr"",""en"")"),"Capital death file set in less than a month when there were rights due to taxes. I was kept informed of the progress of the file without worry.")</f>
        <v>Capital death file set in less than a month when there were rights due to taxes. I was kept informed of the progress of the file without worry.</v>
      </c>
    </row>
    <row r="566" spans="1:9" ht="15.75" customHeight="1" x14ac:dyDescent="0.3">
      <c r="A566" s="2">
        <v>5</v>
      </c>
      <c r="B566" s="2" t="s">
        <v>1651</v>
      </c>
      <c r="C566" s="2" t="s">
        <v>1652</v>
      </c>
      <c r="D566" s="2" t="s">
        <v>493</v>
      </c>
      <c r="E566" s="2" t="s">
        <v>101</v>
      </c>
      <c r="F566" s="2" t="s">
        <v>15</v>
      </c>
      <c r="G566" s="2" t="s">
        <v>1635</v>
      </c>
      <c r="H566" s="2" t="s">
        <v>30</v>
      </c>
      <c r="I566" s="2" t="str">
        <f ca="1">IFERROR(__xludf.DUMMYFUNCTION("GOOGLETRANSLATE(C566,""fr"",""en"")"),"EASE OF USE
Competitive price
Quick to set up via the Internet
Hoping that everything will go well and that this insurance will not be necessary .....")</f>
        <v>EASE OF USE
Competitive price
Quick to set up via the Internet
Hoping that everything will go well and that this insurance will not be necessary .....</v>
      </c>
    </row>
    <row r="567" spans="1:9" ht="15.75" customHeight="1" x14ac:dyDescent="0.3">
      <c r="A567" s="2">
        <v>2</v>
      </c>
      <c r="B567" s="2" t="s">
        <v>1653</v>
      </c>
      <c r="C567" s="2" t="s">
        <v>1654</v>
      </c>
      <c r="D567" s="2" t="s">
        <v>1242</v>
      </c>
      <c r="E567" s="2" t="s">
        <v>129</v>
      </c>
      <c r="F567" s="2" t="s">
        <v>15</v>
      </c>
      <c r="G567" s="2" t="s">
        <v>1655</v>
      </c>
      <c r="H567" s="2" t="s">
        <v>361</v>
      </c>
      <c r="I567" s="2" t="str">
        <f ca="1">IFERROR(__xludf.DUMMYFUNCTION("GOOGLETRANSLATE(C567,""fr"",""en"")"),"For a disaster of water damage on July 1 which touched several apartments I still wait for the expert who has already postponed his meeting several times.
A company has come to the end of a month to clean up: clean and dry (because mold in the rooms are "&amp;"not good for health) but only the uprooting of tapestries has been made ... absurd!
I told them that my wife can no longer worked because she assistant childmare and work at home and it takes prejudice. But there again no reaction
My neighbor had the vi"&amp;"sit of the expert to him very quickly and the following week the work started and today it is already finished and forgotten. I would ask him for the name of his insurance is sure!
 ")</f>
        <v xml:space="preserve">For a disaster of water damage on July 1 which touched several apartments I still wait for the expert who has already postponed his meeting several times.
A company has come to the end of a month to clean up: clean and dry (because mold in the rooms are not good for health) but only the uprooting of tapestries has been made ... absurd!
I told them that my wife can no longer worked because she assistant childmare and work at home and it takes prejudice. But there again no reaction
My neighbor had the visit of the expert to him very quickly and the following week the work started and today it is already finished and forgotten. I would ask him for the name of his insurance is sure!
 </v>
      </c>
    </row>
    <row r="568" spans="1:9" ht="15.75" customHeight="1" x14ac:dyDescent="0.3">
      <c r="A568" s="2">
        <v>2</v>
      </c>
      <c r="B568" s="2" t="s">
        <v>1656</v>
      </c>
      <c r="C568" s="2" t="s">
        <v>1657</v>
      </c>
      <c r="D568" s="2" t="s">
        <v>197</v>
      </c>
      <c r="E568" s="2" t="s">
        <v>81</v>
      </c>
      <c r="F568" s="2" t="s">
        <v>15</v>
      </c>
      <c r="G568" s="2" t="s">
        <v>1658</v>
      </c>
      <c r="H568" s="2" t="s">
        <v>474</v>
      </c>
      <c r="I568" s="2" t="str">
        <f ca="1">IFERROR(__xludf.DUMMYFUNCTION("GOOGLETRANSLATE(C568,""fr"",""en"")"),"On February 17, 2018 I was the victim of an accident. I was driving my motorcycle and while I was taking a right turn I was struck by a young license that came in the opposite direction by cutting its turn. Luckily the damage was only material. On the obs"&amp;"ervation it was clearly established that I was experiencing on the right and that the other vehicle was circulating in the opposite direction, turning left and encroaching on my traffic lane.
The file has been opened quickly but to date I have still not "&amp;"received compensation after two months of procedure.
The expert concluded that my motorcycle is irreparable financially and thereafter I was asked to make the decision either to keep it for parts, to have it repaired under control of the expert at my exp"&amp;"ense or to give it up to the company. This was carried out without communicating the confirmation my non-responsibility in the disaster. Being assured that at third party this confirmation was essential to me to make my decision. Despite everything, after"&amp;" reflection and the reservation of the motorcycle that will replace it, I sent all the documents to give it up.
All my conversations with my designated interlocutor has always concluded that she is awaiting the conclusions of the opposing party on respon"&amp;"sibility.
Being assured for two cars to the opposing company I managed to have a conversation with the manager of the latter's file. He told me not to oppose the responsibility of his member from the start and that he is awaiting the encrypted report of "&amp;"AMV to pay my compensation.
On March 10, 2018, I had to incur personal fees to convey my non-rolling motorcycle in a concession for expertise and on March 24, 2018, I had to carry out the opposite operation to repatriate it to my home. I immediately sent"&amp;" the compensation request to my manager who took care of it to send it to the expert that this Tuesday, April 10, 2018 so that he could add it to my file.
To date, my vehicle has been removed by a spavacy and all the transfer documents have been sent. I "&amp;"wonder how long my file will last before being compensated for this accident where I am a victim.
")</f>
        <v xml:space="preserve">On February 17, 2018 I was the victim of an accident. I was driving my motorcycle and while I was taking a right turn I was struck by a young license that came in the opposite direction by cutting its turn. Luckily the damage was only material. On the observation it was clearly established that I was experiencing on the right and that the other vehicle was circulating in the opposite direction, turning left and encroaching on my traffic lane.
The file has been opened quickly but to date I have still not received compensation after two months of procedure.
The expert concluded that my motorcycle is irreparable financially and thereafter I was asked to make the decision either to keep it for parts, to have it repaired under control of the expert at my expense or to give it up to the company. This was carried out without communicating the confirmation my non-responsibility in the disaster. Being assured that at third party this confirmation was essential to me to make my decision. Despite everything, after reflection and the reservation of the motorcycle that will replace it, I sent all the documents to give it up.
All my conversations with my designated interlocutor has always concluded that she is awaiting the conclusions of the opposing party on responsibility.
Being assured for two cars to the opposing company I managed to have a conversation with the manager of the latter's file. He told me not to oppose the responsibility of his member from the start and that he is awaiting the encrypted report of AMV to pay my compensation.
On March 10, 2018, I had to incur personal fees to convey my non-rolling motorcycle in a concession for expertise and on March 24, 2018, I had to carry out the opposite operation to repatriate it to my home. I immediately sent the compensation request to my manager who took care of it to send it to the expert that this Tuesday, April 10, 2018 so that he could add it to my file.
To date, my vehicle has been removed by a spavacy and all the transfer documents have been sent. I wonder how long my file will last before being compensated for this accident where I am a victim.
</v>
      </c>
    </row>
    <row r="569" spans="1:9" ht="15.75" customHeight="1" x14ac:dyDescent="0.3">
      <c r="A569" s="2">
        <v>4</v>
      </c>
      <c r="B569" s="2" t="s">
        <v>1659</v>
      </c>
      <c r="C569" s="2" t="s">
        <v>1660</v>
      </c>
      <c r="D569" s="2" t="s">
        <v>530</v>
      </c>
      <c r="E569" s="2" t="s">
        <v>39</v>
      </c>
      <c r="F569" s="2" t="s">
        <v>15</v>
      </c>
      <c r="G569" s="2" t="s">
        <v>1661</v>
      </c>
      <c r="H569" s="2" t="s">
        <v>108</v>
      </c>
      <c r="I569" s="2" t="str">
        <f ca="1">IFERROR(__xludf.DUMMYFUNCTION("GOOGLETRANSLATE(C569,""fr"",""en"")"),"Compared to other mutuals, prices could be more competitive. However, due to certain very specific services, high prices have an explanation.
What a pity that our local correspondents are no longer as available, as 20 years ago !!! Thank you Europe ...")</f>
        <v>Compared to other mutuals, prices could be more competitive. However, due to certain very specific services, high prices have an explanation.
What a pity that our local correspondents are no longer as available, as 20 years ago !!! Thank you Europe ...</v>
      </c>
    </row>
    <row r="570" spans="1:9" ht="15.75" customHeight="1" x14ac:dyDescent="0.3">
      <c r="A570" s="2">
        <v>5</v>
      </c>
      <c r="B570" s="2" t="s">
        <v>1662</v>
      </c>
      <c r="C570" s="2" t="s">
        <v>1663</v>
      </c>
      <c r="D570" s="2" t="s">
        <v>1523</v>
      </c>
      <c r="E570" s="2" t="s">
        <v>101</v>
      </c>
      <c r="F570" s="2" t="s">
        <v>15</v>
      </c>
      <c r="G570" s="2" t="s">
        <v>477</v>
      </c>
      <c r="H570" s="2" t="s">
        <v>125</v>
      </c>
      <c r="I570" s="2" t="str">
        <f ca="1">IFERROR(__xludf.DUMMYFUNCTION("GOOGLETRANSLATE(C570,""fr"",""en"")"),"I subscribed to my loan insurance several months ago at AFI Esca, no complaints, insurer who offers good services, the advice is personalized and their team is very responsive. I recommend.")</f>
        <v>I subscribed to my loan insurance several months ago at AFI Esca, no complaints, insurer who offers good services, the advice is personalized and their team is very responsive. I recommend.</v>
      </c>
    </row>
    <row r="571" spans="1:9" ht="15.75" customHeight="1" x14ac:dyDescent="0.3">
      <c r="A571" s="2">
        <v>4</v>
      </c>
      <c r="B571" s="2" t="s">
        <v>1664</v>
      </c>
      <c r="C571" s="2" t="s">
        <v>1665</v>
      </c>
      <c r="D571" s="2" t="s">
        <v>13</v>
      </c>
      <c r="E571" s="2" t="s">
        <v>14</v>
      </c>
      <c r="F571" s="2" t="s">
        <v>15</v>
      </c>
      <c r="G571" s="2" t="s">
        <v>97</v>
      </c>
      <c r="H571" s="2" t="s">
        <v>25</v>
      </c>
      <c r="I571" s="2" t="str">
        <f ca="1">IFERROR(__xludf.DUMMYFUNCTION("GOOGLETRANSLATE(C571,""fr"",""en"")"),"The prices are competitive, the welcome is nice and effective.
The site is easy to use and well done.
I recommend it to all my knowledge.
")</f>
        <v xml:space="preserve">The prices are competitive, the welcome is nice and effective.
The site is easy to use and well done.
I recommend it to all my knowledge.
</v>
      </c>
    </row>
    <row r="572" spans="1:9" ht="15.75" customHeight="1" x14ac:dyDescent="0.3">
      <c r="A572" s="2">
        <v>1</v>
      </c>
      <c r="B572" s="2" t="s">
        <v>1666</v>
      </c>
      <c r="C572" s="2" t="s">
        <v>1667</v>
      </c>
      <c r="D572" s="2" t="s">
        <v>13</v>
      </c>
      <c r="E572" s="2" t="s">
        <v>14</v>
      </c>
      <c r="F572" s="2" t="s">
        <v>15</v>
      </c>
      <c r="G572" s="2" t="s">
        <v>70</v>
      </c>
      <c r="H572" s="2" t="s">
        <v>71</v>
      </c>
      <c r="I572" s="2" t="str">
        <f ca="1">IFERROR(__xludf.DUMMYFUNCTION("GOOGLETRANSLATE(C572,""fr"",""en"")"),"I tried to call to understand details of this new amount after ten minutes of expectations you did not take my call and told me to recall later")</f>
        <v>I tried to call to understand details of this new amount after ten minutes of expectations you did not take my call and told me to recall later</v>
      </c>
    </row>
    <row r="573" spans="1:9" ht="15.75" customHeight="1" x14ac:dyDescent="0.3">
      <c r="A573" s="2">
        <v>5</v>
      </c>
      <c r="B573" s="2" t="s">
        <v>1668</v>
      </c>
      <c r="C573" s="2" t="s">
        <v>1669</v>
      </c>
      <c r="D573" s="2" t="s">
        <v>89</v>
      </c>
      <c r="E573" s="2" t="s">
        <v>39</v>
      </c>
      <c r="F573" s="2" t="s">
        <v>15</v>
      </c>
      <c r="G573" s="2" t="s">
        <v>1670</v>
      </c>
      <c r="H573" s="2" t="s">
        <v>634</v>
      </c>
      <c r="I573" s="2" t="str">
        <f ca="1">IFERROR(__xludf.DUMMYFUNCTION("GOOGLETRANSLATE(C573,""fr"",""en"")"),"After a bad experience via the services of Santiane I decided to restore confidence to an online comparator and I came across a Lyonnais firm and I was very satisfied with the quality of the advice and the offers. I am a member at Cegema and TT it goes we"&amp;"ll")</f>
        <v>After a bad experience via the services of Santiane I decided to restore confidence to an online comparator and I came across a Lyonnais firm and I was very satisfied with the quality of the advice and the offers. I am a member at Cegema and TT it goes well</v>
      </c>
    </row>
    <row r="574" spans="1:9" ht="15.75" customHeight="1" x14ac:dyDescent="0.3">
      <c r="A574" s="2">
        <v>4</v>
      </c>
      <c r="B574" s="2" t="s">
        <v>1671</v>
      </c>
      <c r="C574" s="2" t="s">
        <v>1672</v>
      </c>
      <c r="D574" s="2" t="s">
        <v>28</v>
      </c>
      <c r="E574" s="2" t="s">
        <v>14</v>
      </c>
      <c r="F574" s="2" t="s">
        <v>15</v>
      </c>
      <c r="G574" s="2" t="s">
        <v>673</v>
      </c>
      <c r="H574" s="2" t="s">
        <v>111</v>
      </c>
      <c r="I574" s="2" t="str">
        <f ca="1">IFERROR(__xludf.DUMMYFUNCTION("GOOGLETRANSLATE(C574,""fr"",""en"")"),"I have not yet been able to fully benefit from your offer, but your website, and your responsiveness meets my expectations.
To see later")</f>
        <v>I have not yet been able to fully benefit from your offer, but your website, and your responsiveness meets my expectations.
To see later</v>
      </c>
    </row>
    <row r="575" spans="1:9" ht="15.75" customHeight="1" x14ac:dyDescent="0.3">
      <c r="A575" s="2">
        <v>5</v>
      </c>
      <c r="B575" s="2" t="s">
        <v>1673</v>
      </c>
      <c r="C575" s="2" t="s">
        <v>1674</v>
      </c>
      <c r="D575" s="2" t="s">
        <v>80</v>
      </c>
      <c r="E575" s="2" t="s">
        <v>81</v>
      </c>
      <c r="F575" s="2" t="s">
        <v>15</v>
      </c>
      <c r="G575" s="2" t="s">
        <v>654</v>
      </c>
      <c r="H575" s="2" t="s">
        <v>83</v>
      </c>
      <c r="I575" s="2" t="str">
        <f ca="1">IFERROR(__xludf.DUMMYFUNCTION("GOOGLETRANSLATE(C575,""fr"",""en"")"),"I am satisfied with the price of the speed of the service received I even think to have your advertisement spread to all the people I know, so that he can realize that you have affordable and interesting prices.")</f>
        <v>I am satisfied with the price of the speed of the service received I even think to have your advertisement spread to all the people I know, so that he can realize that you have affordable and interesting prices.</v>
      </c>
    </row>
    <row r="576" spans="1:9" ht="15.75" customHeight="1" x14ac:dyDescent="0.3">
      <c r="A576" s="2">
        <v>1</v>
      </c>
      <c r="B576" s="2" t="s">
        <v>1675</v>
      </c>
      <c r="C576" s="2" t="s">
        <v>1676</v>
      </c>
      <c r="D576" s="2" t="s">
        <v>530</v>
      </c>
      <c r="E576" s="2" t="s">
        <v>39</v>
      </c>
      <c r="F576" s="2" t="s">
        <v>15</v>
      </c>
      <c r="G576" s="2" t="s">
        <v>494</v>
      </c>
      <c r="H576" s="2" t="s">
        <v>83</v>
      </c>
      <c r="I576" s="2" t="str">
        <f ca="1">IFERROR(__xludf.DUMMYFUNCTION("GOOGLETRANSLATE(C576,""fr"",""en"")"),"2016 membership before retirement departure. I knew the MGP dear but it manages our Ameli accounts it therefore seemed logical to me. On May 03, 2021 I give a sick leave + invoice for my daughter's glasses (100%health offer). To date, the MGP which has st"&amp;"ill not reimbursed has lost the disease sheet but received the bill ... The advisor recommended me to save time asking for a duplic and returning it myself.
Conclusion: I Resiliate")</f>
        <v>2016 membership before retirement departure. I knew the MGP dear but it manages our Ameli accounts it therefore seemed logical to me. On May 03, 2021 I give a sick leave + invoice for my daughter's glasses (100%health offer). To date, the MGP which has still not reimbursed has lost the disease sheet but received the bill ... The advisor recommended me to save time asking for a duplic and returning it myself.
Conclusion: I Resiliate</v>
      </c>
    </row>
    <row r="577" spans="1:9" ht="15.75" customHeight="1" x14ac:dyDescent="0.3">
      <c r="A577" s="2">
        <v>1</v>
      </c>
      <c r="B577" s="2" t="s">
        <v>1677</v>
      </c>
      <c r="C577" s="2" t="s">
        <v>1678</v>
      </c>
      <c r="D577" s="2" t="s">
        <v>322</v>
      </c>
      <c r="E577" s="2" t="s">
        <v>14</v>
      </c>
      <c r="F577" s="2" t="s">
        <v>15</v>
      </c>
      <c r="G577" s="2" t="s">
        <v>1679</v>
      </c>
      <c r="H577" s="2" t="s">
        <v>448</v>
      </c>
      <c r="I577" s="2" t="str">
        <f ca="1">IFERROR(__xludf.DUMMYFUNCTION("GOOGLETRANSLATE(C577,""fr"",""en"")"),"Hello to you,
If I had known that I would have so many concerns with car insurance !!!
Sometimes to make attractive savings we better reflect !!
Do not sign any quote because you are engaged !!
I lost more than 300 euros !!
without being assured (nev"&amp;"er a green card)")</f>
        <v>Hello to you,
If I had known that I would have so many concerns with car insurance !!!
Sometimes to make attractive savings we better reflect !!
Do not sign any quote because you are engaged !!
I lost more than 300 euros !!
without being assured (never a green card)</v>
      </c>
    </row>
    <row r="578" spans="1:9" ht="15.75" customHeight="1" x14ac:dyDescent="0.3">
      <c r="A578" s="2">
        <v>2</v>
      </c>
      <c r="B578" s="2" t="s">
        <v>1680</v>
      </c>
      <c r="C578" s="2" t="s">
        <v>1681</v>
      </c>
      <c r="D578" s="2" t="s">
        <v>80</v>
      </c>
      <c r="E578" s="2" t="s">
        <v>81</v>
      </c>
      <c r="F578" s="2" t="s">
        <v>15</v>
      </c>
      <c r="G578" s="2" t="s">
        <v>1682</v>
      </c>
      <c r="H578" s="2" t="s">
        <v>41</v>
      </c>
      <c r="I578" s="2" t="str">
        <f ca="1">IFERROR(__xludf.DUMMYFUNCTION("GOOGLETRANSLATE(C578,""fr"",""en"")"),"My insurer claims me the premium, makes me continue by recovery companies, bailiffs, while it is taken by itself and duly paid how to get rid of these incompetent people")</f>
        <v>My insurer claims me the premium, makes me continue by recovery companies, bailiffs, while it is taken by itself and duly paid how to get rid of these incompetent people</v>
      </c>
    </row>
    <row r="579" spans="1:9" ht="15.75" customHeight="1" x14ac:dyDescent="0.3">
      <c r="A579" s="2">
        <v>1</v>
      </c>
      <c r="B579" s="2" t="s">
        <v>1683</v>
      </c>
      <c r="C579" s="2" t="s">
        <v>1684</v>
      </c>
      <c r="D579" s="2" t="s">
        <v>281</v>
      </c>
      <c r="E579" s="2" t="s">
        <v>39</v>
      </c>
      <c r="F579" s="2" t="s">
        <v>15</v>
      </c>
      <c r="G579" s="2" t="s">
        <v>1685</v>
      </c>
      <c r="H579" s="2" t="s">
        <v>41</v>
      </c>
      <c r="I579" s="2" t="str">
        <f ca="1">IFERROR(__xludf.DUMMYFUNCTION("GOOGLETRANSLATE(C579,""fr"",""en"")"),"To flee !!!!!!!!!!!!!!!!!!!!!!!!!!!!!!!!!!!!!!!!!!!!!!!! !!!!!!!!!!!!!!!!!!!!!!!!!!!!!!!!!!!!!!!!!!!!!!!!!!!! !!!!!!!!!!!!!!!!!!!!!!!!!!!!!!!!!!!!!!!!!!!!!!!!!!!! !!!!!!!!!!!!!!!!!!!!!!!!!!!!!!!!!!!!!!!!!!!!!!!!!!!! !!")</f>
        <v>To flee !!!!!!!!!!!!!!!!!!!!!!!!!!!!!!!!!!!!!!!!!!!!!!!! !!!!!!!!!!!!!!!!!!!!!!!!!!!!!!!!!!!!!!!!!!!!!!!!!!!! !!!!!!!!!!!!!!!!!!!!!!!!!!!!!!!!!!!!!!!!!!!!!!!!!!!! !!!!!!!!!!!!!!!!!!!!!!!!!!!!!!!!!!!!!!!!!!!!!!!!!!!! !!</v>
      </c>
    </row>
    <row r="580" spans="1:9" ht="15.75" customHeight="1" x14ac:dyDescent="0.3">
      <c r="A580" s="2">
        <v>1</v>
      </c>
      <c r="B580" s="2" t="s">
        <v>1686</v>
      </c>
      <c r="C580" s="2" t="s">
        <v>1687</v>
      </c>
      <c r="D580" s="2" t="s">
        <v>326</v>
      </c>
      <c r="E580" s="2" t="s">
        <v>61</v>
      </c>
      <c r="F580" s="2" t="s">
        <v>15</v>
      </c>
      <c r="G580" s="2" t="s">
        <v>1688</v>
      </c>
      <c r="H580" s="2" t="s">
        <v>347</v>
      </c>
      <c r="I580" s="2" t="str">
        <f ca="1">IFERROR(__xludf.DUMMYFUNCTION("GOOGLETRANSLATE(C580,""fr"",""en"")"),"Lack of transparency when signing contracts that are difficult to consult only on tablet and when signing + lack of seriousness in the management piloted management
Actual information received only with the membership certificate received 15 days after s"&amp;"ignature")</f>
        <v>Lack of transparency when signing contracts that are difficult to consult only on tablet and when signing + lack of seriousness in the management piloted management
Actual information received only with the membership certificate received 15 days after signature</v>
      </c>
    </row>
    <row r="581" spans="1:9" ht="15.75" customHeight="1" x14ac:dyDescent="0.3">
      <c r="A581" s="2">
        <v>3</v>
      </c>
      <c r="B581" s="2" t="s">
        <v>1689</v>
      </c>
      <c r="C581" s="2" t="s">
        <v>1690</v>
      </c>
      <c r="D581" s="2" t="s">
        <v>65</v>
      </c>
      <c r="E581" s="2" t="s">
        <v>14</v>
      </c>
      <c r="F581" s="2" t="s">
        <v>15</v>
      </c>
      <c r="G581" s="2" t="s">
        <v>1691</v>
      </c>
      <c r="H581" s="2" t="s">
        <v>256</v>
      </c>
      <c r="I581" s="2" t="str">
        <f ca="1">IFERROR(__xludf.DUMMYFUNCTION("GOOGLETRANSLATE(C581,""fr"",""en"")"),"Rats: because I had no longer had a car for 7 years and therefore more insurance, the salesperson from Allianz told me that he was going to not only put me at the ""price increased new young driver"" (so Very expensive ...) and this despite my 35 years of"&amp;" license without any responsible accident, without suspension of permit, or any problem, but that in addition to the fact that I had not drives according to 7 years (despite the Make that I praise vans and a car during the vacation on a private basis) he "&amp;"announced to me that he was going to add 25% more over-majority to me on the ""young driver's price"" this despite that I have my Allowed for 35 years, that I have been more like and that I lead seriously and without ever any problem. Rats that only think"&amp;" of making figures and financial yields, they literally trample and despise their customers ...")</f>
        <v>Rats: because I had no longer had a car for 7 years and therefore more insurance, the salesperson from Allianz told me that he was going to not only put me at the "price increased new young driver" (so Very expensive ...) and this despite my 35 years of license without any responsible accident, without suspension of permit, or any problem, but that in addition to the fact that I had not drives according to 7 years (despite the Make that I praise vans and a car during the vacation on a private basis) he announced to me that he was going to add 25% more over-majority to me on the "young driver's price" this despite that I have my Allowed for 35 years, that I have been more like and that I lead seriously and without ever any problem. Rats that only think of making figures and financial yields, they literally trample and despise their customers ...</v>
      </c>
    </row>
    <row r="582" spans="1:9" ht="15.75" customHeight="1" x14ac:dyDescent="0.3">
      <c r="A582" s="2">
        <v>1</v>
      </c>
      <c r="B582" s="2" t="s">
        <v>1692</v>
      </c>
      <c r="C582" s="2" t="s">
        <v>1693</v>
      </c>
      <c r="D582" s="2" t="s">
        <v>80</v>
      </c>
      <c r="E582" s="2" t="s">
        <v>81</v>
      </c>
      <c r="F582" s="2" t="s">
        <v>15</v>
      </c>
      <c r="G582" s="2" t="s">
        <v>1694</v>
      </c>
      <c r="H582" s="2" t="s">
        <v>139</v>
      </c>
      <c r="I582" s="2" t="str">
        <f ca="1">IFERROR(__xludf.DUMMYFUNCTION("GOOGLETRANSLATE(C582,""fr"",""en"")"),"Attention total disorganization, 4 months of waiting unable to dispatch an expert correctly. When I call my file does not advance, they know nothing, the pieces are lost, you have to get upset to have won. The comments are faked, flee this service, the co"&amp;"mpetition is much better.")</f>
        <v>Attention total disorganization, 4 months of waiting unable to dispatch an expert correctly. When I call my file does not advance, they know nothing, the pieces are lost, you have to get upset to have won. The comments are faked, flee this service, the competition is much better.</v>
      </c>
    </row>
    <row r="583" spans="1:9" ht="15.75" customHeight="1" x14ac:dyDescent="0.3">
      <c r="A583" s="2">
        <v>4</v>
      </c>
      <c r="B583" s="2" t="s">
        <v>1695</v>
      </c>
      <c r="C583" s="2" t="s">
        <v>1696</v>
      </c>
      <c r="D583" s="2" t="s">
        <v>530</v>
      </c>
      <c r="E583" s="2" t="s">
        <v>39</v>
      </c>
      <c r="F583" s="2" t="s">
        <v>15</v>
      </c>
      <c r="G583" s="2" t="s">
        <v>462</v>
      </c>
      <c r="H583" s="2" t="s">
        <v>25</v>
      </c>
      <c r="I583" s="2" t="str">
        <f ca="1">IFERROR(__xludf.DUMMYFUNCTION("GOOGLETRANSLATE(C583,""fr"",""en"")"),"Very good mutual, always available with a halfol on phone calls a little long on the wait but the advisers are very professional")</f>
        <v>Very good mutual, always available with a halfol on phone calls a little long on the wait but the advisers are very professional</v>
      </c>
    </row>
    <row r="584" spans="1:9" ht="15.75" customHeight="1" x14ac:dyDescent="0.3">
      <c r="A584" s="2">
        <v>2</v>
      </c>
      <c r="B584" s="2" t="s">
        <v>1697</v>
      </c>
      <c r="C584" s="2" t="s">
        <v>1698</v>
      </c>
      <c r="D584" s="2" t="s">
        <v>33</v>
      </c>
      <c r="E584" s="2" t="s">
        <v>14</v>
      </c>
      <c r="F584" s="2" t="s">
        <v>15</v>
      </c>
      <c r="G584" s="2" t="s">
        <v>918</v>
      </c>
      <c r="H584" s="2" t="s">
        <v>17</v>
      </c>
      <c r="I584" s="2" t="str">
        <f ca="1">IFERROR(__xludf.DUMMYFUNCTION("GOOGLETRANSLATE(C584,""fr"",""en"")"),"My son had 3 non -responsible 2 claims 2 and 1,50/50 when we thought he would not be responsible (otherwise we would not have made the insurance for the little costs) we did not Held informed that she was our surprise when we wanted to ensure a new car we"&amp;" learn that he will be unknown and that they no longer assure him. Impossible to have a person on the phone we just told the change of insurance or go through Matmut nco horribly expensive. Knowing that we have all our contracts at home for years (all ins"&amp;"urance confused even mutual me and my three children) in fact as long as we have nothing is good and at the slightest problem we throw us. I will therefore remove everything and go to another insurance taken over we give us no choice since today I have ca"&amp;"lled them one last time to ask them if I had several sinister independent of my will or I Was not responsible they would do the same towards me I could potentially be fired they answered me yes (incredible !!!!!!!) I am disgusted")</f>
        <v>My son had 3 non -responsible 2 claims 2 and 1,50/50 when we thought he would not be responsible (otherwise we would not have made the insurance for the little costs) we did not Held informed that she was our surprise when we wanted to ensure a new car we learn that he will be unknown and that they no longer assure him. Impossible to have a person on the phone we just told the change of insurance or go through Matmut nco horribly expensive. Knowing that we have all our contracts at home for years (all insurance confused even mutual me and my three children) in fact as long as we have nothing is good and at the slightest problem we throw us. I will therefore remove everything and go to another insurance taken over we give us no choice since today I have called them one last time to ask them if I had several sinister independent of my will or I Was not responsible they would do the same towards me I could potentially be fired they answered me yes (incredible !!!!!!!) I am disgusted</v>
      </c>
    </row>
    <row r="585" spans="1:9" ht="15.75" customHeight="1" x14ac:dyDescent="0.3">
      <c r="A585" s="2">
        <v>2</v>
      </c>
      <c r="B585" s="2" t="s">
        <v>1699</v>
      </c>
      <c r="C585" s="2" t="s">
        <v>1700</v>
      </c>
      <c r="D585" s="2" t="s">
        <v>190</v>
      </c>
      <c r="E585" s="2" t="s">
        <v>14</v>
      </c>
      <c r="F585" s="2" t="s">
        <v>15</v>
      </c>
      <c r="G585" s="2" t="s">
        <v>1701</v>
      </c>
      <c r="H585" s="2" t="s">
        <v>133</v>
      </c>
      <c r="I585" s="2" t="str">
        <f ca="1">IFERROR(__xludf.DUMMYFUNCTION("GOOGLETRANSLATE(C585,""fr"",""en"")"),"After 41 years of insurance for all my contracts I was struck off following 3 broken ice in the garage of my building; although it is acts of vandalism on all the vehicles I was considered as a risk at risk and Radied without taking my seniority into acco"&amp;"unt")</f>
        <v>After 41 years of insurance for all my contracts I was struck off following 3 broken ice in the garage of my building; although it is acts of vandalism on all the vehicles I was considered as a risk at risk and Radied without taking my seniority into account</v>
      </c>
    </row>
    <row r="586" spans="1:9" ht="15.75" customHeight="1" x14ac:dyDescent="0.3">
      <c r="A586" s="2">
        <v>3</v>
      </c>
      <c r="B586" s="2" t="s">
        <v>1702</v>
      </c>
      <c r="C586" s="2" t="s">
        <v>1703</v>
      </c>
      <c r="D586" s="2" t="s">
        <v>303</v>
      </c>
      <c r="E586" s="2" t="s">
        <v>129</v>
      </c>
      <c r="F586" s="2" t="s">
        <v>15</v>
      </c>
      <c r="G586" s="2" t="s">
        <v>1290</v>
      </c>
      <c r="H586" s="2" t="s">
        <v>181</v>
      </c>
      <c r="I586" s="2" t="str">
        <f ca="1">IFERROR(__xludf.DUMMYFUNCTION("GOOGLETRANSLATE(C586,""fr"",""en"")"),"More than 30 years at the Macif few claims declared in October following the bad weather in our village which was recognized as a natural disaster by prefectural stop we had the visit of an expert who noted the Degats Walls Demretés de Jardin Destroyer Pl"&amp;"asma hedge cut leaf
Following this bad weather we have leaks at the request of insurance we made a quote concerning our roof or the roofer stipulates that the damage occurred following the bad weather, but here is the expert and the Macif refuses to take"&amp;" in Loads the work stipulating us that it was not due to bad weather and these damage are on part of our most recent roof, and that these leaks occurred well following the bad weather, otherwise we would have declared a sinister to each rains
In addition"&amp;", the sum allocated by our devices which is more than derisory will be unlocked to us than to the repair of the roof, we disputed and the Macif said to me call for your own expert, very naturally at our expense what is the use of pay insurance
I will put"&amp;" an end to all the contracts at the Macif, no dialogue and an expert who announces orally a certain sum which of course is not the same as on paper
We have another disaster concerning a wall in the process of collapsing questioning the developer who touc"&amp;"hed our foundations during the asphalting of our path, they must wait for the wall to fall on people
A shame, I am scandalized, flee the Macif, as long as you have no problems all is well but in the first claim it is quickly hell
")</f>
        <v xml:space="preserve">More than 30 years at the Macif few claims declared in October following the bad weather in our village which was recognized as a natural disaster by prefectural stop we had the visit of an expert who noted the Degats Walls Demretés de Jardin Destroyer Plasma hedge cut leaf
Following this bad weather we have leaks at the request of insurance we made a quote concerning our roof or the roofer stipulates that the damage occurred following the bad weather, but here is the expert and the Macif refuses to take in Loads the work stipulating us that it was not due to bad weather and these damage are on part of our most recent roof, and that these leaks occurred well following the bad weather, otherwise we would have declared a sinister to each rains
In addition, the sum allocated by our devices which is more than derisory will be unlocked to us than to the repair of the roof, we disputed and the Macif said to me call for your own expert, very naturally at our expense what is the use of pay insurance
I will put an end to all the contracts at the Macif, no dialogue and an expert who announces orally a certain sum which of course is not the same as on paper
We have another disaster concerning a wall in the process of collapsing questioning the developer who touched our foundations during the asphalting of our path, they must wait for the wall to fall on people
A shame, I am scandalized, flee the Macif, as long as you have no problems all is well but in the first claim it is quickly hell
</v>
      </c>
    </row>
    <row r="587" spans="1:9" ht="15.75" customHeight="1" x14ac:dyDescent="0.3">
      <c r="A587" s="2">
        <v>3</v>
      </c>
      <c r="B587" s="2" t="s">
        <v>1704</v>
      </c>
      <c r="C587" s="2" t="s">
        <v>1705</v>
      </c>
      <c r="D587" s="2" t="s">
        <v>13</v>
      </c>
      <c r="E587" s="2" t="s">
        <v>14</v>
      </c>
      <c r="F587" s="2" t="s">
        <v>15</v>
      </c>
      <c r="G587" s="2" t="s">
        <v>754</v>
      </c>
      <c r="H587" s="2" t="s">
        <v>30</v>
      </c>
      <c r="I587" s="2" t="str">
        <f ca="1">IFERROR(__xludf.DUMMYFUNCTION("GOOGLETRANSLATE(C587,""fr"",""en"")"),"The prices are starting to be not very attractive !!! It's a shame because since I have been insured with you not a single commercial gesture, next year I risk calling on other insurers!")</f>
        <v>The prices are starting to be not very attractive !!! It's a shame because since I have been insured with you not a single commercial gesture, next year I risk calling on other insurers!</v>
      </c>
    </row>
    <row r="588" spans="1:9" ht="15.75" customHeight="1" x14ac:dyDescent="0.3">
      <c r="A588" s="2">
        <v>5</v>
      </c>
      <c r="B588" s="2" t="s">
        <v>1706</v>
      </c>
      <c r="C588" s="2" t="s">
        <v>1707</v>
      </c>
      <c r="D588" s="2" t="s">
        <v>13</v>
      </c>
      <c r="E588" s="2" t="s">
        <v>14</v>
      </c>
      <c r="F588" s="2" t="s">
        <v>15</v>
      </c>
      <c r="G588" s="2" t="s">
        <v>111</v>
      </c>
      <c r="H588" s="2" t="s">
        <v>111</v>
      </c>
      <c r="I588" s="2" t="str">
        <f ca="1">IFERROR(__xludf.DUMMYFUNCTION("GOOGLETRANSLATE(C588,""fr"",""en"")"),"I am satisfied the price suits me perfectly I think you can give me the best price for my seafood thank you very much for your speed")</f>
        <v>I am satisfied the price suits me perfectly I think you can give me the best price for my seafood thank you very much for your speed</v>
      </c>
    </row>
    <row r="589" spans="1:9" ht="15.75" customHeight="1" x14ac:dyDescent="0.3">
      <c r="A589" s="2">
        <v>3</v>
      </c>
      <c r="B589" s="2" t="s">
        <v>1708</v>
      </c>
      <c r="C589" s="2" t="s">
        <v>1709</v>
      </c>
      <c r="D589" s="2" t="s">
        <v>303</v>
      </c>
      <c r="E589" s="2" t="s">
        <v>81</v>
      </c>
      <c r="F589" s="2" t="s">
        <v>15</v>
      </c>
      <c r="G589" s="2" t="s">
        <v>1710</v>
      </c>
      <c r="H589" s="2" t="s">
        <v>224</v>
      </c>
      <c r="I589" s="2" t="str">
        <f ca="1">IFERROR(__xludf.DUMMYFUNCTION("GOOGLETRANSLATE(C589,""fr"",""en"")"),"Inadmissible, customer for 17 years in this company, perfect regulations, no claims, neither by car, nor by motorbike.
I ask this company to ensure a small motorcycle 125 by indicating that I have just repaired it and that to sell it, I want to assure it"&amp;" but I specify what I sell it because its power is too small for me, I 'had a new 1000 insure at home until the end of 2015, no claim of course.
I also point out that the sale of this vehicle is also made to buy a larger displacement which it heard will "&amp;"be ensured to last.
Well, they consider that this contract is a provisional contract and refuses to secure me.
So what to say, if customers who have 17 years of self -careful and disaster subscriptions are refused insurance, or is the confidence and ser"&amp;"vice of this company?
So I think the best solution is to take your time and look elsewhere for a more understanding and more commercial insurer where I would move my current Macif contracts.
")</f>
        <v xml:space="preserve">Inadmissible, customer for 17 years in this company, perfect regulations, no claims, neither by car, nor by motorbike.
I ask this company to ensure a small motorcycle 125 by indicating that I have just repaired it and that to sell it, I want to assure it but I specify what I sell it because its power is too small for me, I 'had a new 1000 insure at home until the end of 2015, no claim of course.
I also point out that the sale of this vehicle is also made to buy a larger displacement which it heard will be ensured to last.
Well, they consider that this contract is a provisional contract and refuses to secure me.
So what to say, if customers who have 17 years of self -careful and disaster subscriptions are refused insurance, or is the confidence and service of this company?
So I think the best solution is to take your time and look elsewhere for a more understanding and more commercial insurer where I would move my current Macif contracts.
</v>
      </c>
    </row>
    <row r="590" spans="1:9" ht="15.75" customHeight="1" x14ac:dyDescent="0.3">
      <c r="A590" s="2">
        <v>1</v>
      </c>
      <c r="B590" s="2" t="s">
        <v>1711</v>
      </c>
      <c r="C590" s="2" t="s">
        <v>1712</v>
      </c>
      <c r="D590" s="2" t="s">
        <v>65</v>
      </c>
      <c r="E590" s="2" t="s">
        <v>61</v>
      </c>
      <c r="F590" s="2" t="s">
        <v>15</v>
      </c>
      <c r="G590" s="2" t="s">
        <v>1713</v>
      </c>
      <c r="H590" s="2" t="s">
        <v>216</v>
      </c>
      <c r="I590" s="2" t="str">
        <f ca="1">IFERROR(__xludf.DUMMYFUNCTION("GOOGLETRANSLATE(C590,""fr"",""en"")"),"Bank to flee !!!
My life insurance taken from Allianz made me lose 2% of my capital. It was so -called a CAP30 ""defensive"" product, the yield of which was estimated at 2% except that it is the opposite it is a yield of -2%! Thank you for the good advic"&amp;"e before subscription and thank you to the traders gang which seem completely incompetent to me ... I wait February to close this big ..... and collect my marbles.")</f>
        <v>Bank to flee !!!
My life insurance taken from Allianz made me lose 2% of my capital. It was so -called a CAP30 "defensive" product, the yield of which was estimated at 2% except that it is the opposite it is a yield of -2%! Thank you for the good advice before subscription and thank you to the traders gang which seem completely incompetent to me ... I wait February to close this big ..... and collect my marbles.</v>
      </c>
    </row>
    <row r="591" spans="1:9" ht="15.75" customHeight="1" x14ac:dyDescent="0.3">
      <c r="A591" s="2">
        <v>4</v>
      </c>
      <c r="B591" s="2" t="s">
        <v>1714</v>
      </c>
      <c r="C591" s="2" t="s">
        <v>1715</v>
      </c>
      <c r="D591" s="2" t="s">
        <v>28</v>
      </c>
      <c r="E591" s="2" t="s">
        <v>14</v>
      </c>
      <c r="F591" s="2" t="s">
        <v>15</v>
      </c>
      <c r="G591" s="2" t="s">
        <v>1716</v>
      </c>
      <c r="H591" s="2" t="s">
        <v>83</v>
      </c>
      <c r="I591" s="2" t="str">
        <f ca="1">IFERROR(__xludf.DUMMYFUNCTION("GOOGLETRANSLATE(C591,""fr"",""en"")"),"Until now I am very satisfied, I have been advised and informed very quickly in a very effective way, I do not see any defect at the moment.")</f>
        <v>Until now I am very satisfied, I have been advised and informed very quickly in a very effective way, I do not see any defect at the moment.</v>
      </c>
    </row>
    <row r="592" spans="1:9" ht="15.75" customHeight="1" x14ac:dyDescent="0.3">
      <c r="A592" s="2">
        <v>1</v>
      </c>
      <c r="B592" s="2" t="s">
        <v>1717</v>
      </c>
      <c r="C592" s="2" t="s">
        <v>1718</v>
      </c>
      <c r="D592" s="2" t="s">
        <v>281</v>
      </c>
      <c r="E592" s="2" t="s">
        <v>39</v>
      </c>
      <c r="F592" s="2" t="s">
        <v>15</v>
      </c>
      <c r="G592" s="2" t="s">
        <v>1719</v>
      </c>
      <c r="H592" s="2" t="s">
        <v>1720</v>
      </c>
      <c r="I592" s="2" t="str">
        <f ca="1">IFERROR(__xludf.DUMMYFUNCTION("GOOGLETRANSLATE(C592,""fr"",""en"")"),"+ 17% for 2017 contributions compared to 2016!
This was already the case the previous year with + 17% from 2015 to 2016, it's scandalous.
Therefore we had to take a formula that costs less so well reimbursed! And it will be the same in the coming weeks")</f>
        <v>+ 17% for 2017 contributions compared to 2016!
This was already the case the previous year with + 17% from 2015 to 2016, it's scandalous.
Therefore we had to take a formula that costs less so well reimbursed! And it will be the same in the coming weeks</v>
      </c>
    </row>
    <row r="593" spans="1:9" ht="15.75" customHeight="1" x14ac:dyDescent="0.3">
      <c r="A593" s="2">
        <v>1</v>
      </c>
      <c r="B593" s="2" t="s">
        <v>1721</v>
      </c>
      <c r="C593" s="2" t="s">
        <v>1722</v>
      </c>
      <c r="D593" s="2" t="s">
        <v>197</v>
      </c>
      <c r="E593" s="2" t="s">
        <v>81</v>
      </c>
      <c r="F593" s="2" t="s">
        <v>15</v>
      </c>
      <c r="G593" s="2" t="s">
        <v>164</v>
      </c>
      <c r="H593" s="2" t="s">
        <v>30</v>
      </c>
      <c r="I593" s="2" t="str">
        <f ca="1">IFERROR(__xludf.DUMMYFUNCTION("GOOGLETRANSLATE(C593,""fr"",""en"")"),"I try to withdraw within the period of 14 days for a sale via the Internet for a motorcycle insurance contract that I no longer wish because you have gave me an entouroupe covers the price compared to the initial quote because of a sinister dating from 30"&amp;" months. We will manage to make my legal protection act. Deplorable communication question impossible to have a human on the phone. Flee this insurance at all costs.")</f>
        <v>I try to withdraw within the period of 14 days for a sale via the Internet for a motorcycle insurance contract that I no longer wish because you have gave me an entouroupe covers the price compared to the initial quote because of a sinister dating from 30 months. We will manage to make my legal protection act. Deplorable communication question impossible to have a human on the phone. Flee this insurance at all costs.</v>
      </c>
    </row>
    <row r="594" spans="1:9" ht="15.75" customHeight="1" x14ac:dyDescent="0.3">
      <c r="A594" s="2">
        <v>1</v>
      </c>
      <c r="B594" s="2" t="s">
        <v>1723</v>
      </c>
      <c r="C594" s="2" t="s">
        <v>1724</v>
      </c>
      <c r="D594" s="2" t="s">
        <v>65</v>
      </c>
      <c r="E594" s="2" t="s">
        <v>129</v>
      </c>
      <c r="F594" s="2" t="s">
        <v>15</v>
      </c>
      <c r="G594" s="2" t="s">
        <v>1230</v>
      </c>
      <c r="H594" s="2" t="s">
        <v>21</v>
      </c>
      <c r="I594" s="2" t="str">
        <f ca="1">IFERROR(__xludf.DUMMYFUNCTION("GOOGLETRANSLATE(C594,""fr"",""en"")"),"After more than 25 years of contributions without any claim we had a small incident during our move and damaged the stairwell of our building.
Even though the sum at stake is not important, Allianz is discarded for a completely illegitimate reason, its r"&amp;"efusal of guarantee being perfectly questionable, which was confirmed to us by our broker himself!
This positioning of Allianz is innacceptable and contributes, if necessary, to the poor reputation of insurers.")</f>
        <v>After more than 25 years of contributions without any claim we had a small incident during our move and damaged the stairwell of our building.
Even though the sum at stake is not important, Allianz is discarded for a completely illegitimate reason, its refusal of guarantee being perfectly questionable, which was confirmed to us by our broker himself!
This positioning of Allianz is innacceptable and contributes, if necessary, to the poor reputation of insurers.</v>
      </c>
    </row>
    <row r="595" spans="1:9" ht="15.75" customHeight="1" x14ac:dyDescent="0.3">
      <c r="A595" s="2">
        <v>5</v>
      </c>
      <c r="B595" s="2" t="s">
        <v>1725</v>
      </c>
      <c r="C595" s="2" t="s">
        <v>1726</v>
      </c>
      <c r="D595" s="2" t="s">
        <v>1727</v>
      </c>
      <c r="E595" s="2" t="s">
        <v>101</v>
      </c>
      <c r="F595" s="2" t="s">
        <v>15</v>
      </c>
      <c r="G595" s="2" t="s">
        <v>1728</v>
      </c>
      <c r="H595" s="2" t="s">
        <v>389</v>
      </c>
      <c r="I595" s="2" t="str">
        <f ca="1">IFERROR(__xludf.DUMMYFUNCTION("GOOGLETRANSLATE(C595,""fr"",""en"")"),"Very happy with the service offered. The advisor I had was kind and professional. I was able to quickly change my insurance, without any worries. I recommend.")</f>
        <v>Very happy with the service offered. The advisor I had was kind and professional. I was able to quickly change my insurance, without any worries. I recommend.</v>
      </c>
    </row>
    <row r="596" spans="1:9" ht="15.75" customHeight="1" x14ac:dyDescent="0.3">
      <c r="A596" s="2">
        <v>4</v>
      </c>
      <c r="B596" s="2" t="s">
        <v>1729</v>
      </c>
      <c r="C596" s="2" t="s">
        <v>1730</v>
      </c>
      <c r="D596" s="2" t="s">
        <v>28</v>
      </c>
      <c r="E596" s="2" t="s">
        <v>14</v>
      </c>
      <c r="F596" s="2" t="s">
        <v>15</v>
      </c>
      <c r="G596" s="2" t="s">
        <v>212</v>
      </c>
      <c r="H596" s="2" t="s">
        <v>30</v>
      </c>
      <c r="I596" s="2" t="str">
        <f ca="1">IFERROR(__xludf.DUMMYFUNCTION("GOOGLETRANSLATE(C596,""fr"",""en"")"),"Taken student compared to some conceived, but I am already a customer and prefers to keep my vehicles at the same insurer. So I still subscribed to Olivier")</f>
        <v>Taken student compared to some conceived, but I am already a customer and prefers to keep my vehicles at the same insurer. So I still subscribed to Olivier</v>
      </c>
    </row>
    <row r="597" spans="1:9" ht="15.75" customHeight="1" x14ac:dyDescent="0.3">
      <c r="A597" s="2">
        <v>3</v>
      </c>
      <c r="B597" s="2" t="s">
        <v>1731</v>
      </c>
      <c r="C597" s="2" t="s">
        <v>1732</v>
      </c>
      <c r="D597" s="2" t="s">
        <v>13</v>
      </c>
      <c r="E597" s="2" t="s">
        <v>14</v>
      </c>
      <c r="F597" s="2" t="s">
        <v>15</v>
      </c>
      <c r="G597" s="2" t="s">
        <v>702</v>
      </c>
      <c r="H597" s="2" t="s">
        <v>286</v>
      </c>
      <c r="I597" s="2" t="str">
        <f ca="1">IFERROR(__xludf.DUMMYFUNCTION("GOOGLETRANSLATE(C597,""fr"",""en"")"),"I am satisfied with this service, simple and easy, easy to access. The prices are low and advantageous for young drivers. I recommend for speed.")</f>
        <v>I am satisfied with this service, simple and easy, easy to access. The prices are low and advantageous for young drivers. I recommend for speed.</v>
      </c>
    </row>
    <row r="598" spans="1:9" ht="15.75" customHeight="1" x14ac:dyDescent="0.3">
      <c r="A598" s="2">
        <v>5</v>
      </c>
      <c r="B598" s="2" t="s">
        <v>1733</v>
      </c>
      <c r="C598" s="2" t="s">
        <v>1734</v>
      </c>
      <c r="D598" s="2" t="s">
        <v>13</v>
      </c>
      <c r="E598" s="2" t="s">
        <v>14</v>
      </c>
      <c r="F598" s="2" t="s">
        <v>15</v>
      </c>
      <c r="G598" s="2" t="s">
        <v>864</v>
      </c>
      <c r="H598" s="2" t="s">
        <v>248</v>
      </c>
      <c r="I598" s="2" t="str">
        <f ca="1">IFERROR(__xludf.DUMMYFUNCTION("GOOGLETRANSLATE(C598,""fr"",""en"")"),"Satisfied client. The prices are affordable and suit me. I am happy to be able to find insurance that suits me. I recommend 100%")</f>
        <v>Satisfied client. The prices are affordable and suit me. I am happy to be able to find insurance that suits me. I recommend 100%</v>
      </c>
    </row>
    <row r="599" spans="1:9" ht="15.75" customHeight="1" x14ac:dyDescent="0.3">
      <c r="A599" s="2">
        <v>4</v>
      </c>
      <c r="B599" s="2" t="s">
        <v>1735</v>
      </c>
      <c r="C599" s="2" t="s">
        <v>1736</v>
      </c>
      <c r="D599" s="2" t="s">
        <v>80</v>
      </c>
      <c r="E599" s="2" t="s">
        <v>81</v>
      </c>
      <c r="F599" s="2" t="s">
        <v>15</v>
      </c>
      <c r="G599" s="2" t="s">
        <v>1493</v>
      </c>
      <c r="H599" s="2" t="s">
        <v>71</v>
      </c>
      <c r="I599" s="2" t="str">
        <f ca="1">IFERROR(__xludf.DUMMYFUNCTION("GOOGLETRANSLATE(C599,""fr"",""en"")"),"No complaints on the prices and services offered by April Moto. Surely the best value for money concerning two wheels.
Thanks in advance.")</f>
        <v>No complaints on the prices and services offered by April Moto. Surely the best value for money concerning two wheels.
Thanks in advance.</v>
      </c>
    </row>
    <row r="600" spans="1:9" ht="15.75" customHeight="1" x14ac:dyDescent="0.3">
      <c r="A600" s="2">
        <v>1</v>
      </c>
      <c r="B600" s="2" t="s">
        <v>1737</v>
      </c>
      <c r="C600" s="2" t="s">
        <v>1738</v>
      </c>
      <c r="D600" s="2" t="s">
        <v>145</v>
      </c>
      <c r="E600" s="2" t="s">
        <v>14</v>
      </c>
      <c r="F600" s="2" t="s">
        <v>15</v>
      </c>
      <c r="G600" s="2" t="s">
        <v>1739</v>
      </c>
      <c r="H600" s="2" t="s">
        <v>207</v>
      </c>
      <c r="I600" s="2" t="str">
        <f ca="1">IFERROR(__xludf.DUMMYFUNCTION("GOOGLETRANSLATE(C600,""fr"",""en"")"),"A shame this company with lucrative! The insurer makes you pay contracts and options, but when you have to do the work of an insurer (do not harass a witness, defend his client and assert his rights) they are not there! I had due to an accident do their w"&amp;"ork (contact with authorities, witnesses, relaunch their staff in various services, followed by deadlines) and when they finally recognized non-responsibility, they terminated me For sinister ... Whaooo, I can't find any words for civilized to qualify the"&amp;"ir conduct and their incompetence!
FYI, with them an impact windshield declared equal a claim and a reason for termination ... A company to flee, fewer ads and more insurance work it will be a little better ... since they n 'Have no shareholders, we can "&amp;"ask the question where all this money of insurance premiums are going?
")</f>
        <v xml:space="preserve">A shame this company with lucrative! The insurer makes you pay contracts and options, but when you have to do the work of an insurer (do not harass a witness, defend his client and assert his rights) they are not there! I had due to an accident do their work (contact with authorities, witnesses, relaunch their staff in various services, followed by deadlines) and when they finally recognized non-responsibility, they terminated me For sinister ... Whaooo, I can't find any words for civilized to qualify their conduct and their incompetence!
FYI, with them an impact windshield declared equal a claim and a reason for termination ... A company to flee, fewer ads and more insurance work it will be a little better ... since they n 'Have no shareholders, we can ask the question where all this money of insurance premiums are going?
</v>
      </c>
    </row>
    <row r="601" spans="1:9" ht="15.75" customHeight="1" x14ac:dyDescent="0.3">
      <c r="A601" s="2">
        <v>2</v>
      </c>
      <c r="B601" s="2" t="s">
        <v>1740</v>
      </c>
      <c r="C601" s="2" t="s">
        <v>1741</v>
      </c>
      <c r="D601" s="2" t="s">
        <v>13</v>
      </c>
      <c r="E601" s="2" t="s">
        <v>14</v>
      </c>
      <c r="F601" s="2" t="s">
        <v>15</v>
      </c>
      <c r="G601" s="2" t="s">
        <v>547</v>
      </c>
      <c r="H601" s="2" t="s">
        <v>25</v>
      </c>
      <c r="I601" s="2" t="str">
        <f ca="1">IFERROR(__xludf.DUMMYFUNCTION("GOOGLETRANSLATE(C601,""fr"",""en"")"),"The annual rate increases a lot compared to the blow of life and government recommendations.
For the moment, we have not called upon your services so average notice")</f>
        <v>The annual rate increases a lot compared to the blow of life and government recommendations.
For the moment, we have not called upon your services so average notice</v>
      </c>
    </row>
    <row r="602" spans="1:9" ht="15.75" customHeight="1" x14ac:dyDescent="0.3">
      <c r="A602" s="2">
        <v>3</v>
      </c>
      <c r="B602" s="2" t="s">
        <v>1742</v>
      </c>
      <c r="C602" s="2" t="s">
        <v>1743</v>
      </c>
      <c r="D602" s="2" t="s">
        <v>13</v>
      </c>
      <c r="E602" s="2" t="s">
        <v>14</v>
      </c>
      <c r="F602" s="2" t="s">
        <v>15</v>
      </c>
      <c r="G602" s="2" t="s">
        <v>1744</v>
      </c>
      <c r="H602" s="2" t="s">
        <v>286</v>
      </c>
      <c r="I602" s="2" t="str">
        <f ca="1">IFERROR(__xludf.DUMMYFUNCTION("GOOGLETRANSLATE(C602,""fr"",""en"")"),"The catch is expensive. The guarantee is satisfactory.
You could make a reduction for 1 already customer.
                    ")</f>
        <v xml:space="preserve">The catch is expensive. The guarantee is satisfactory.
You could make a reduction for 1 already customer.
                    </v>
      </c>
    </row>
    <row r="603" spans="1:9" ht="15.75" customHeight="1" x14ac:dyDescent="0.3">
      <c r="A603" s="2">
        <v>4</v>
      </c>
      <c r="B603" s="2" t="s">
        <v>1745</v>
      </c>
      <c r="C603" s="2" t="s">
        <v>1746</v>
      </c>
      <c r="D603" s="2" t="s">
        <v>28</v>
      </c>
      <c r="E603" s="2" t="s">
        <v>14</v>
      </c>
      <c r="F603" s="2" t="s">
        <v>15</v>
      </c>
      <c r="G603" s="2" t="s">
        <v>1747</v>
      </c>
      <c r="H603" s="2" t="s">
        <v>21</v>
      </c>
      <c r="I603" s="2" t="str">
        <f ca="1">IFERROR(__xludf.DUMMYFUNCTION("GOOGLETRANSLATE(C603,""fr"",""en"")"),"Hello
Thanks this morning phone advisor who advised me to finalize the contract
My good advisor as part of the procedures to be taken and parts in Fournier ...")</f>
        <v>Hello
Thanks this morning phone advisor who advised me to finalize the contract
My good advisor as part of the procedures to be taken and parts in Fournier ...</v>
      </c>
    </row>
    <row r="604" spans="1:9" ht="15.75" customHeight="1" x14ac:dyDescent="0.3">
      <c r="A604" s="2">
        <v>5</v>
      </c>
      <c r="B604" s="2" t="s">
        <v>1748</v>
      </c>
      <c r="C604" s="2" t="s">
        <v>1749</v>
      </c>
      <c r="D604" s="2" t="s">
        <v>38</v>
      </c>
      <c r="E604" s="2" t="s">
        <v>39</v>
      </c>
      <c r="F604" s="2" t="s">
        <v>15</v>
      </c>
      <c r="G604" s="2" t="s">
        <v>1750</v>
      </c>
      <c r="H604" s="2" t="s">
        <v>21</v>
      </c>
      <c r="I604" s="2" t="str">
        <f ca="1">IFERROR(__xludf.DUMMYFUNCTION("GOOGLETRANSLATE(C604,""fr"",""en"")"),"Neoliane is a very good value for money / services as long as you have a good broker who takes care of you, which is my case.
I recommend.")</f>
        <v>Neoliane is a very good value for money / services as long as you have a good broker who takes care of you, which is my case.
I recommend.</v>
      </c>
    </row>
    <row r="605" spans="1:9" ht="15.75" customHeight="1" x14ac:dyDescent="0.3">
      <c r="A605" s="2">
        <v>3</v>
      </c>
      <c r="B605" s="2" t="s">
        <v>1751</v>
      </c>
      <c r="C605" s="2" t="s">
        <v>1752</v>
      </c>
      <c r="D605" s="2" t="s">
        <v>13</v>
      </c>
      <c r="E605" s="2" t="s">
        <v>14</v>
      </c>
      <c r="F605" s="2" t="s">
        <v>15</v>
      </c>
      <c r="G605" s="2" t="s">
        <v>1753</v>
      </c>
      <c r="H605" s="2" t="s">
        <v>21</v>
      </c>
      <c r="I605" s="2" t="str">
        <f ca="1">IFERROR(__xludf.DUMMYFUNCTION("GOOGLETRANSLATE(C605,""fr"",""en"")"),"Expensive and no discount if you provide several cars. That's a shame ! I have not yet had an incident to judge the coverage. (I touch wood).")</f>
        <v>Expensive and no discount if you provide several cars. That's a shame ! I have not yet had an incident to judge the coverage. (I touch wood).</v>
      </c>
    </row>
    <row r="606" spans="1:9" ht="15.75" customHeight="1" x14ac:dyDescent="0.3">
      <c r="A606" s="2">
        <v>1</v>
      </c>
      <c r="B606" s="2" t="s">
        <v>1754</v>
      </c>
      <c r="C606" s="2" t="s">
        <v>1755</v>
      </c>
      <c r="D606" s="2" t="s">
        <v>65</v>
      </c>
      <c r="E606" s="2" t="s">
        <v>14</v>
      </c>
      <c r="F606" s="2" t="s">
        <v>15</v>
      </c>
      <c r="G606" s="2" t="s">
        <v>985</v>
      </c>
      <c r="H606" s="2" t="s">
        <v>21</v>
      </c>
      <c r="I606" s="2" t="str">
        <f ca="1">IFERROR(__xludf.DUMMYFUNCTION("GOOGLETRANSLATE(C606,""fr"",""en"")"),"Insurance to flee, indeed I have my outside blind which on April 16, 2021, broke, I bought it € 3,800 and the repair is 500 € no care by Alianz, refusal because this day there was no hail! ...
I recommend the Macif where I was before and where I will g"&amp;"o back to help !! All the people who want to be assured at Alianz which prepare to be begging! ...
Short that can")</f>
        <v>Insurance to flee, indeed I have my outside blind which on April 16, 2021, broke, I bought it € 3,800 and the repair is 500 € no care by Alianz, refusal because this day there was no hail! ...
I recommend the Macif where I was before and where I will go back to help !! All the people who want to be assured at Alianz which prepare to be begging! ...
Short that can</v>
      </c>
    </row>
    <row r="607" spans="1:9" ht="15.75" customHeight="1" x14ac:dyDescent="0.3">
      <c r="A607" s="2">
        <v>4</v>
      </c>
      <c r="B607" s="2" t="s">
        <v>1756</v>
      </c>
      <c r="C607" s="2" t="s">
        <v>1757</v>
      </c>
      <c r="D607" s="2" t="s">
        <v>28</v>
      </c>
      <c r="E607" s="2" t="s">
        <v>14</v>
      </c>
      <c r="F607" s="2" t="s">
        <v>15</v>
      </c>
      <c r="G607" s="2" t="s">
        <v>149</v>
      </c>
      <c r="H607" s="2" t="s">
        <v>111</v>
      </c>
      <c r="I607" s="2" t="str">
        <f ca="1">IFERROR(__xludf.DUMMYFUNCTION("GOOGLETRANSLATE(C607,""fr"",""en"")"),"I am satisfied with the price hoping that insurance services are good qualities.
I hope to receive my green card fairly quickly.")</f>
        <v>I am satisfied with the price hoping that insurance services are good qualities.
I hope to receive my green card fairly quickly.</v>
      </c>
    </row>
    <row r="608" spans="1:9" ht="15.75" customHeight="1" x14ac:dyDescent="0.3">
      <c r="A608" s="2">
        <v>1</v>
      </c>
      <c r="B608" s="2" t="s">
        <v>1758</v>
      </c>
      <c r="C608" s="2" t="s">
        <v>1759</v>
      </c>
      <c r="D608" s="2" t="s">
        <v>695</v>
      </c>
      <c r="E608" s="2" t="s">
        <v>50</v>
      </c>
      <c r="F608" s="2" t="s">
        <v>15</v>
      </c>
      <c r="G608" s="2" t="s">
        <v>1760</v>
      </c>
      <c r="H608" s="2" t="s">
        <v>256</v>
      </c>
      <c r="I608" s="2" t="str">
        <f ca="1">IFERROR(__xludf.DUMMYFUNCTION("GOOGLETRANSLATE(C608,""fr"",""en"")"),"TO FLEE!!!!!!!!!!!!!! Everything is good not to reimburse! Go your way, Ily have BCP insurance better")</f>
        <v>TO FLEE!!!!!!!!!!!!!! Everything is good not to reimburse! Go your way, Ily have BCP insurance better</v>
      </c>
    </row>
    <row r="609" spans="1:9" ht="15.75" customHeight="1" x14ac:dyDescent="0.3">
      <c r="A609" s="2">
        <v>1</v>
      </c>
      <c r="B609" s="2" t="s">
        <v>1761</v>
      </c>
      <c r="C609" s="2" t="s">
        <v>1762</v>
      </c>
      <c r="D609" s="2" t="s">
        <v>254</v>
      </c>
      <c r="E609" s="2" t="s">
        <v>14</v>
      </c>
      <c r="F609" s="2" t="s">
        <v>15</v>
      </c>
      <c r="G609" s="2" t="s">
        <v>1763</v>
      </c>
      <c r="H609" s="2" t="s">
        <v>46</v>
      </c>
      <c r="I609" s="2" t="str">
        <f ca="1">IFERROR(__xludf.DUMMYFUNCTION("GOOGLETRANSLATE(C609,""fr"",""en"")"),"Insurance not to be advised to pay 250 euros per month (Porsche Cayenne) and not able to repay you the flight of my car it's been 7 months because I had a probe to change it had to go against the visit of the technical control I do not have PU due to conf"&amp;"inement so they do not take me into account thank you maif")</f>
        <v>Insurance not to be advised to pay 250 euros per month (Porsche Cayenne) and not able to repay you the flight of my car it's been 7 months because I had a probe to change it had to go against the visit of the technical control I do not have PU due to confinement so they do not take me into account thank you maif</v>
      </c>
    </row>
    <row r="610" spans="1:9" ht="15.75" customHeight="1" x14ac:dyDescent="0.3">
      <c r="A610" s="2">
        <v>2</v>
      </c>
      <c r="B610" s="2" t="s">
        <v>1764</v>
      </c>
      <c r="C610" s="2" t="s">
        <v>1765</v>
      </c>
      <c r="D610" s="2" t="s">
        <v>13</v>
      </c>
      <c r="E610" s="2" t="s">
        <v>14</v>
      </c>
      <c r="F610" s="2" t="s">
        <v>15</v>
      </c>
      <c r="G610" s="2" t="s">
        <v>1766</v>
      </c>
      <c r="H610" s="2" t="s">
        <v>745</v>
      </c>
      <c r="I610" s="2" t="str">
        <f ca="1">IFERROR(__xludf.DUMMYFUNCTION("GOOGLETRANSLATE(C610,""fr"",""en"")"),"Insurance of incompetent. I have been waiting for my refund for over two years for a non -responsible accident. It also took me over 1 year to get a situation statement ... ""Do not worry, we send it to you tomorrow"" I still haven't had it ... in short t"&amp;"o avoid!")</f>
        <v>Insurance of incompetent. I have been waiting for my refund for over two years for a non -responsible accident. It also took me over 1 year to get a situation statement ... "Do not worry, we send it to you tomorrow" I still haven't had it ... in short to avoid!</v>
      </c>
    </row>
    <row r="611" spans="1:9" ht="15.75" customHeight="1" x14ac:dyDescent="0.3">
      <c r="A611" s="2">
        <v>5</v>
      </c>
      <c r="B611" s="2" t="s">
        <v>1767</v>
      </c>
      <c r="C611" s="2" t="s">
        <v>1768</v>
      </c>
      <c r="D611" s="2" t="s">
        <v>28</v>
      </c>
      <c r="E611" s="2" t="s">
        <v>14</v>
      </c>
      <c r="F611" s="2" t="s">
        <v>15</v>
      </c>
      <c r="G611" s="2" t="s">
        <v>790</v>
      </c>
      <c r="H611" s="2" t="s">
        <v>71</v>
      </c>
      <c r="I611" s="2" t="str">
        <f ca="1">IFERROR(__xludf.DUMMYFUNCTION("GOOGLETRANSLATE(C611,""fr"",""en"")"),"I am very satisfied with the kindness of advisor and their efficiency. Very attractive price. Thank you. I will gladly recommend this insurance")</f>
        <v>I am very satisfied with the kindness of advisor and their efficiency. Very attractive price. Thank you. I will gladly recommend this insurance</v>
      </c>
    </row>
    <row r="612" spans="1:9" ht="15.75" customHeight="1" x14ac:dyDescent="0.3">
      <c r="A612" s="2">
        <v>1</v>
      </c>
      <c r="B612" s="2" t="s">
        <v>1769</v>
      </c>
      <c r="C612" s="2" t="s">
        <v>1770</v>
      </c>
      <c r="D612" s="2" t="s">
        <v>254</v>
      </c>
      <c r="E612" s="2" t="s">
        <v>14</v>
      </c>
      <c r="F612" s="2" t="s">
        <v>15</v>
      </c>
      <c r="G612" s="2" t="s">
        <v>462</v>
      </c>
      <c r="H612" s="2" t="s">
        <v>25</v>
      </c>
      <c r="I612" s="2" t="str">
        <f ca="1">IFERROR(__xludf.DUMMYFUNCTION("GOOGLETRANSLATE(C612,""fr"",""en"")"),"Hello,
I was hung from behind on the highway and the vehicle fled. Maif informed me that I was going to have a penalty because the third party is not identified and that I cannot prove that I am not responsible. I think that on the highway we rarely reve"&amp;"al to type the car behind you ... I read on certain sites that ""just like for a non -responsible accident with an identified third party, if your car has been damaged by a driver Responsible having fled, you will not be the subject of a penalty. There I "&amp;"find that the maif could consider that the fault does not in any case incubate me and do not apply a penalty. The conversation with a not conciliatory advisor at all and unmancity ended in a categorical and final refusal. I am really disappointed with Mai"&amp;"f.
")</f>
        <v xml:space="preserve">Hello,
I was hung from behind on the highway and the vehicle fled. Maif informed me that I was going to have a penalty because the third party is not identified and that I cannot prove that I am not responsible. I think that on the highway we rarely reveal to type the car behind you ... I read on certain sites that "just like for a non -responsible accident with an identified third party, if your car has been damaged by a driver Responsible having fled, you will not be the subject of a penalty. There I find that the maif could consider that the fault does not in any case incubate me and do not apply a penalty. The conversation with a not conciliatory advisor at all and unmancity ended in a categorical and final refusal. I am really disappointed with Maif.
</v>
      </c>
    </row>
    <row r="613" spans="1:9" ht="15.75" customHeight="1" x14ac:dyDescent="0.3">
      <c r="A613" s="2">
        <v>4</v>
      </c>
      <c r="B613" s="2" t="s">
        <v>1771</v>
      </c>
      <c r="C613" s="2" t="s">
        <v>1772</v>
      </c>
      <c r="D613" s="2" t="s">
        <v>13</v>
      </c>
      <c r="E613" s="2" t="s">
        <v>14</v>
      </c>
      <c r="F613" s="2" t="s">
        <v>15</v>
      </c>
      <c r="G613" s="2" t="s">
        <v>142</v>
      </c>
      <c r="H613" s="2" t="s">
        <v>111</v>
      </c>
      <c r="I613" s="2" t="str">
        <f ca="1">IFERROR(__xludf.DUMMYFUNCTION("GOOGLETRANSLATE(C613,""fr"",""en"")"),"I am satisfied in terms of price remains more cases see the reaction time if necessary.
And see the ease of the approach in the event of a problem")</f>
        <v>I am satisfied in terms of price remains more cases see the reaction time if necessary.
And see the ease of the approach in the event of a problem</v>
      </c>
    </row>
    <row r="614" spans="1:9" ht="15.75" customHeight="1" x14ac:dyDescent="0.3">
      <c r="A614" s="2">
        <v>3</v>
      </c>
      <c r="B614" s="2" t="s">
        <v>1773</v>
      </c>
      <c r="C614" s="2" t="s">
        <v>1774</v>
      </c>
      <c r="D614" s="2" t="s">
        <v>281</v>
      </c>
      <c r="E614" s="2" t="s">
        <v>39</v>
      </c>
      <c r="F614" s="2" t="s">
        <v>15</v>
      </c>
      <c r="G614" s="2" t="s">
        <v>1775</v>
      </c>
      <c r="H614" s="2" t="s">
        <v>442</v>
      </c>
      <c r="I614" s="2" t="str">
        <f ca="1">IFERROR(__xludf.DUMMYFUNCTION("GOOGLETRANSLATE(C614,""fr"",""en"")"),"Deplorable full of care not taken care of while the subscription is very expensive, worse mutuals! No sense of humanity and hyper -dear health and zero guarantees.")</f>
        <v>Deplorable full of care not taken care of while the subscription is very expensive, worse mutuals! No sense of humanity and hyper -dear health and zero guarantees.</v>
      </c>
    </row>
    <row r="615" spans="1:9" ht="15.75" customHeight="1" x14ac:dyDescent="0.3">
      <c r="A615" s="2">
        <v>5</v>
      </c>
      <c r="B615" s="2" t="s">
        <v>1776</v>
      </c>
      <c r="C615" s="2" t="s">
        <v>1777</v>
      </c>
      <c r="D615" s="2" t="s">
        <v>197</v>
      </c>
      <c r="E615" s="2" t="s">
        <v>81</v>
      </c>
      <c r="F615" s="2" t="s">
        <v>15</v>
      </c>
      <c r="G615" s="2" t="s">
        <v>1075</v>
      </c>
      <c r="H615" s="2" t="s">
        <v>71</v>
      </c>
      <c r="I615" s="2" t="str">
        <f ca="1">IFERROR(__xludf.DUMMYFUNCTION("GOOGLETRANSLATE(C615,""fr"",""en"")"),"Very satisfied with this insurer, I will surely recommend this insurance and if I had to renew a motorcycle (not seen my age 79 years) I would take AMV. Facilitating contact and listening. Thank you AMV;")</f>
        <v>Very satisfied with this insurer, I will surely recommend this insurance and if I had to renew a motorcycle (not seen my age 79 years) I would take AMV. Facilitating contact and listening. Thank you AMV;</v>
      </c>
    </row>
    <row r="616" spans="1:9" ht="15.75" customHeight="1" x14ac:dyDescent="0.3">
      <c r="A616" s="2">
        <v>1</v>
      </c>
      <c r="B616" s="2" t="s">
        <v>1778</v>
      </c>
      <c r="C616" s="2" t="s">
        <v>1779</v>
      </c>
      <c r="D616" s="2" t="s">
        <v>412</v>
      </c>
      <c r="E616" s="2" t="s">
        <v>39</v>
      </c>
      <c r="F616" s="2" t="s">
        <v>15</v>
      </c>
      <c r="G616" s="2" t="s">
        <v>1780</v>
      </c>
      <c r="H616" s="2" t="s">
        <v>139</v>
      </c>
      <c r="I616" s="2" t="str">
        <f ca="1">IFERROR(__xludf.DUMMYFUNCTION("GOOGLETRANSLATE(C616,""fr"",""en"")"),"No customer service, reimbursement at more than 1 month, website without interest, one wonders how such a mutual can exist !!!")</f>
        <v>No customer service, reimbursement at more than 1 month, website without interest, one wonders how such a mutual can exist !!!</v>
      </c>
    </row>
    <row r="617" spans="1:9" ht="15.75" customHeight="1" x14ac:dyDescent="0.3">
      <c r="A617" s="2">
        <v>1</v>
      </c>
      <c r="B617" s="2" t="s">
        <v>1781</v>
      </c>
      <c r="C617" s="2" t="s">
        <v>1782</v>
      </c>
      <c r="D617" s="2" t="s">
        <v>128</v>
      </c>
      <c r="E617" s="2" t="s">
        <v>14</v>
      </c>
      <c r="F617" s="2" t="s">
        <v>15</v>
      </c>
      <c r="G617" s="2" t="s">
        <v>1783</v>
      </c>
      <c r="H617" s="2" t="s">
        <v>467</v>
      </c>
      <c r="I617" s="2" t="str">
        <f ca="1">IFERROR(__xludf.DUMMYFUNCTION("GOOGLETRANSLATE(C617,""fr"",""en"")"),"Insurance to ban and flee, I subscribed to this insurance as an individual after having provided my business, the first contact and perfect an advisor who knows her job makes us subscribe, after a year my car is burnt down And the Calvary begins, interloc"&amp;"utor only by phone no human sense, after an under evaluation of my vehicle by the expert I point out that I refuse the offer and that I wish to have the expert for explanation, the next day I receive an email To give in my vehicle, if I refuse I must pay "&amp;"20TTC per day the guarding of the car, I report it to the legal protection of Pacificica their responses it is up to you that the vehicle is worth more, out of fear I give up the vehicle , 15 days late and after having given up the vehicle I receive the r"&amp;"eport expertise the mileage and on evaluated proof to support the invoices, I point out, I am finally taken seriously, the service must remember tomorrow and of course that not 'is not made email and call for more than two months. Side that I subscribed t"&amp;"o this insurance because it was much more expensive than the competition which made me doubt the other insurer I can't wait for all the contracts from EU.")</f>
        <v>Insurance to ban and flee, I subscribed to this insurance as an individual after having provided my business, the first contact and perfect an advisor who knows her job makes us subscribe, after a year my car is burnt down And the Calvary begins, interlocutor only by phone no human sense, after an under evaluation of my vehicle by the expert I point out that I refuse the offer and that I wish to have the expert for explanation, the next day I receive an email To give in my vehicle, if I refuse I must pay 20TTC per day the guarding of the car, I report it to the legal protection of Pacificica their responses it is up to you that the vehicle is worth more, out of fear I give up the vehicle , 15 days late and after having given up the vehicle I receive the report expertise the mileage and on evaluated proof to support the invoices, I point out, I am finally taken seriously, the service must remember tomorrow and of course that not 'is not made email and call for more than two months. Side that I subscribed to this insurance because it was much more expensive than the competition which made me doubt the other insurer I can't wait for all the contracts from EU.</v>
      </c>
    </row>
    <row r="618" spans="1:9" ht="15.75" customHeight="1" x14ac:dyDescent="0.3">
      <c r="A618" s="2">
        <v>1</v>
      </c>
      <c r="B618" s="2" t="s">
        <v>1784</v>
      </c>
      <c r="C618" s="2" t="s">
        <v>1785</v>
      </c>
      <c r="D618" s="2" t="s">
        <v>412</v>
      </c>
      <c r="E618" s="2" t="s">
        <v>137</v>
      </c>
      <c r="F618" s="2" t="s">
        <v>15</v>
      </c>
      <c r="G618" s="2" t="s">
        <v>1786</v>
      </c>
      <c r="H618" s="2" t="s">
        <v>1332</v>
      </c>
      <c r="I618" s="2" t="str">
        <f ca="1">IFERROR(__xludf.DUMMYFUNCTION("GOOGLETRANSLATE(C618,""fr"",""en"")"),"Hello, as far as I am concerned I must say that I am extremely disappointed by this insurance group; My mom who was a cleaning lady has taken an obsolete insurance for a very long time before her death ... What was my surprise of noted what paid for lost "&amp;"funds for years without ever having been informed, I really find it ashamed. .
I made them a letter and I was told that his contract was part of the random contracts therefore that it is a reciprocal agreement whose effects as to the advantages and losse"&amp;"s, either for all parties, or for one or Several of them depend on an uncertain event. Even if the death is an event whose future realization is in doubt, the date of occurrence of this event bases the random nature and the qualification of the insurance "&amp;"contract ...
I don't understand what it means !!
Anyway, I do not advise anyone to have to do with this company and that they check their contract well not to pay for anything! a shame")</f>
        <v>Hello, as far as I am concerned I must say that I am extremely disappointed by this insurance group; My mom who was a cleaning lady has taken an obsolete insurance for a very long time before her death ... What was my surprise of noted what paid for lost funds for years without ever having been informed, I really find it ashamed. .
I made them a letter and I was told that his contract was part of the random contracts therefore that it is a reciprocal agreement whose effects as to the advantages and losses, either for all parties, or for one or Several of them depend on an uncertain event. Even if the death is an event whose future realization is in doubt, the date of occurrence of this event bases the random nature and the qualification of the insurance contract ...
I don't understand what it means !!
Anyway, I do not advise anyone to have to do with this company and that they check their contract well not to pay for anything! a shame</v>
      </c>
    </row>
    <row r="619" spans="1:9" ht="15.75" customHeight="1" x14ac:dyDescent="0.3">
      <c r="A619" s="2">
        <v>5</v>
      </c>
      <c r="B619" s="2" t="s">
        <v>1787</v>
      </c>
      <c r="C619" s="2" t="s">
        <v>1788</v>
      </c>
      <c r="D619" s="2" t="s">
        <v>664</v>
      </c>
      <c r="E619" s="2" t="s">
        <v>39</v>
      </c>
      <c r="F619" s="2" t="s">
        <v>15</v>
      </c>
      <c r="G619" s="2" t="s">
        <v>1789</v>
      </c>
      <c r="H619" s="2" t="s">
        <v>381</v>
      </c>
      <c r="I619" s="2" t="str">
        <f ca="1">IFERROR(__xludf.DUMMYFUNCTION("GOOGLETRANSLATE(C619,""fr"",""en"")"),"I am very satisfied with the Santian services
I have been at home for 4 years I highly recommend this comparator
Refunds are very fast.")</f>
        <v>I am very satisfied with the Santian services
I have been at home for 4 years I highly recommend this comparator
Refunds are very fast.</v>
      </c>
    </row>
    <row r="620" spans="1:9" ht="15.75" customHeight="1" x14ac:dyDescent="0.3">
      <c r="A620" s="2">
        <v>1</v>
      </c>
      <c r="B620" s="2" t="s">
        <v>1790</v>
      </c>
      <c r="C620" s="2" t="s">
        <v>1791</v>
      </c>
      <c r="D620" s="2" t="s">
        <v>13</v>
      </c>
      <c r="E620" s="2" t="s">
        <v>14</v>
      </c>
      <c r="F620" s="2" t="s">
        <v>15</v>
      </c>
      <c r="G620" s="2" t="s">
        <v>1792</v>
      </c>
      <c r="H620" s="2" t="s">
        <v>236</v>
      </c>
      <c r="I620" s="2" t="str">
        <f ca="1">IFERROR(__xludf.DUMMYFUNCTION("GOOGLETRANSLATE(C620,""fr"",""en"")"),"In 4 years I had only one non -responsible accident which dates back to 1 year and a half. 3 months ago, I destroyed my vehicle. Today I receive an internal (arbitrary) decision of direct insurance which tells me that my contract will be terminated on the"&amp;" anniversary date. Yet when I had my vehicle destroyed I informed an advisor who asked me for the documents by email. And so following the mail that I receive today and by checking my accounts, it appears that Direct Insurance continues quietly to use my "&amp;"account ... Scandalous.
I call on a consumer association because it is too much!")</f>
        <v>In 4 years I had only one non -responsible accident which dates back to 1 year and a half. 3 months ago, I destroyed my vehicle. Today I receive an internal (arbitrary) decision of direct insurance which tells me that my contract will be terminated on the anniversary date. Yet when I had my vehicle destroyed I informed an advisor who asked me for the documents by email. And so following the mail that I receive today and by checking my accounts, it appears that Direct Insurance continues quietly to use my account ... Scandalous.
I call on a consumer association because it is too much!</v>
      </c>
    </row>
    <row r="621" spans="1:9" ht="15.75" customHeight="1" x14ac:dyDescent="0.3">
      <c r="A621" s="2">
        <v>5</v>
      </c>
      <c r="B621" s="2" t="s">
        <v>1793</v>
      </c>
      <c r="C621" s="2" t="s">
        <v>1794</v>
      </c>
      <c r="D621" s="2" t="s">
        <v>80</v>
      </c>
      <c r="E621" s="2" t="s">
        <v>81</v>
      </c>
      <c r="F621" s="2" t="s">
        <v>15</v>
      </c>
      <c r="G621" s="2" t="s">
        <v>1795</v>
      </c>
      <c r="H621" s="2" t="s">
        <v>111</v>
      </c>
      <c r="I621" s="2" t="str">
        <f ca="1">IFERROR(__xludf.DUMMYFUNCTION("GOOGLETRANSLATE(C621,""fr"",""en"")"),"Very good and very active as a good quality insurance and very available for any information.
Insurance is really a shame that agency in Paris has closed")</f>
        <v>Very good and very active as a good quality insurance and very available for any information.
Insurance is really a shame that agency in Paris has closed</v>
      </c>
    </row>
    <row r="622" spans="1:9" ht="15.75" customHeight="1" x14ac:dyDescent="0.3">
      <c r="A622" s="2">
        <v>3</v>
      </c>
      <c r="B622" s="2" t="s">
        <v>1796</v>
      </c>
      <c r="C622" s="2" t="s">
        <v>1797</v>
      </c>
      <c r="D622" s="2" t="s">
        <v>80</v>
      </c>
      <c r="E622" s="2" t="s">
        <v>81</v>
      </c>
      <c r="F622" s="2" t="s">
        <v>15</v>
      </c>
      <c r="G622" s="2" t="s">
        <v>676</v>
      </c>
      <c r="H622" s="2" t="s">
        <v>111</v>
      </c>
      <c r="I622" s="2" t="str">
        <f ca="1">IFERROR(__xludf.DUMMYFUNCTION("GOOGLETRANSLATE(C622,""fr"",""en"")"),"I am satisfied very good price and clear site to see later since I have just taken out insurance at home for the moment I can only recommend")</f>
        <v>I am satisfied very good price and clear site to see later since I have just taken out insurance at home for the moment I can only recommend</v>
      </c>
    </row>
    <row r="623" spans="1:9" ht="15.75" customHeight="1" x14ac:dyDescent="0.3">
      <c r="A623" s="2">
        <v>4</v>
      </c>
      <c r="B623" s="2" t="s">
        <v>1798</v>
      </c>
      <c r="C623" s="2" t="s">
        <v>1799</v>
      </c>
      <c r="D623" s="2" t="s">
        <v>254</v>
      </c>
      <c r="E623" s="2" t="s">
        <v>129</v>
      </c>
      <c r="F623" s="2" t="s">
        <v>15</v>
      </c>
      <c r="G623" s="2" t="s">
        <v>271</v>
      </c>
      <c r="H623" s="2" t="s">
        <v>83</v>
      </c>
      <c r="I623" s="2" t="str">
        <f ca="1">IFERROR(__xludf.DUMMYFUNCTION("GOOGLETRANSLATE(C623,""fr"",""en"")"),"My daughter has suffered water damage in her small student accommodation. It was a disaster because small accommodation, without the possibility of drying clothes, carpets, papers, drowned car keys, in short the total. And all of this one month before my "&amp;"daughter's final exam.
The file was processed very quickly, the expert designated by the charming Maif, very understanding.
My daughter was able to be compensated without excessive paperwork and within a very correct time (3 weeks).")</f>
        <v>My daughter has suffered water damage in her small student accommodation. It was a disaster because small accommodation, without the possibility of drying clothes, carpets, papers, drowned car keys, in short the total. And all of this one month before my daughter's final exam.
The file was processed very quickly, the expert designated by the charming Maif, very understanding.
My daughter was able to be compensated without excessive paperwork and within a very correct time (3 weeks).</v>
      </c>
    </row>
    <row r="624" spans="1:9" ht="15.75" customHeight="1" x14ac:dyDescent="0.3">
      <c r="A624" s="2">
        <v>2</v>
      </c>
      <c r="B624" s="2" t="s">
        <v>1800</v>
      </c>
      <c r="C624" s="2" t="s">
        <v>1801</v>
      </c>
      <c r="D624" s="2" t="s">
        <v>128</v>
      </c>
      <c r="E624" s="2" t="s">
        <v>129</v>
      </c>
      <c r="F624" s="2" t="s">
        <v>15</v>
      </c>
      <c r="G624" s="2" t="s">
        <v>1802</v>
      </c>
      <c r="H624" s="2" t="s">
        <v>1034</v>
      </c>
      <c r="I624" s="2" t="str">
        <f ca="1">IFERROR(__xludf.DUMMYFUNCTION("GOOGLETRANSLATE(C624,""fr"",""en"")"),"Very difficult to connect! So hello, I respond more particularly to a lady or young lady, this, concerning ""rental guarantee, legal protection (including real estate degradations), I am well placed to confirm that there is only one"" telephone platform "&amp;""" For == Real estate degradations: Montpellier !!! I still have 2 files in progress, I have already ""lost"" around 25,000 euros (quote) for 2 houses; never I went into the ""niches"" and ... . With bailiff's PV !! no you understand these are ""dirt"" =="&amp;" New word to detail degradations, 4 m3 of garbage and +++ == No insurance does not ensure cleaning !!! etc ..... Fortunately the Germans are cleaner than the French, so I made the decision to finish to process these unfortunate files, and, then to leave P"&amp;"acifica, the agriciole credit == that aligns with my Sad stories or I am very debtoring, and I always pay my contributions (with delay costs) .... the total.
So goodbye France, I retire very slowly.
Disseminated greetings.
  ")</f>
        <v xml:space="preserve">Very difficult to connect! So hello, I respond more particularly to a lady or young lady, this, concerning "rental guarantee, legal protection (including real estate degradations), I am well placed to confirm that there is only one" telephone platform " For == Real estate degradations: Montpellier !!! I still have 2 files in progress, I have already "lost" around 25,000 euros (quote) for 2 houses; never I went into the "niches" and ... . With bailiff's PV !! no you understand these are "dirt" == New word to detail degradations, 4 m3 of garbage and +++ == No insurance does not ensure cleaning !!! etc ..... Fortunately the Germans are cleaner than the French, so I made the decision to finish to process these unfortunate files, and, then to leave Pacifica, the agriciole credit == that aligns with my Sad stories or I am very debtoring, and I always pay my contributions (with delay costs) .... the total.
So goodbye France, I retire very slowly.
Disseminated greetings.
  </v>
      </c>
    </row>
    <row r="625" spans="1:9" ht="15.75" customHeight="1" x14ac:dyDescent="0.3">
      <c r="A625" s="2">
        <v>1</v>
      </c>
      <c r="B625" s="2" t="s">
        <v>1803</v>
      </c>
      <c r="C625" s="2" t="s">
        <v>1804</v>
      </c>
      <c r="D625" s="2" t="s">
        <v>13</v>
      </c>
      <c r="E625" s="2" t="s">
        <v>14</v>
      </c>
      <c r="F625" s="2" t="s">
        <v>15</v>
      </c>
      <c r="G625" s="2" t="s">
        <v>670</v>
      </c>
      <c r="H625" s="2" t="s">
        <v>361</v>
      </c>
      <c r="I625" s="2" t="str">
        <f ca="1">IFERROR(__xludf.DUMMYFUNCTION("GOOGLETRANSLATE(C625,""fr"",""en"")"),"Direct Insurance, insurance company to flee, I was terminated for a simple statement of non -compliant information, I never received their different messages or letters, I was terminated without knowing it !!!! They are also out of law since I have never "&amp;"received a letter with AR mentioning my termination !!!! To flee.")</f>
        <v>Direct Insurance, insurance company to flee, I was terminated for a simple statement of non -compliant information, I never received their different messages or letters, I was terminated without knowing it !!!! They are also out of law since I have never received a letter with AR mentioning my termination !!!! To flee.</v>
      </c>
    </row>
    <row r="626" spans="1:9" ht="15.75" customHeight="1" x14ac:dyDescent="0.3">
      <c r="A626" s="2">
        <v>5</v>
      </c>
      <c r="B626" s="2" t="s">
        <v>1805</v>
      </c>
      <c r="C626" s="2" t="s">
        <v>1806</v>
      </c>
      <c r="D626" s="2" t="s">
        <v>28</v>
      </c>
      <c r="E626" s="2" t="s">
        <v>14</v>
      </c>
      <c r="F626" s="2" t="s">
        <v>15</v>
      </c>
      <c r="G626" s="2" t="s">
        <v>1807</v>
      </c>
      <c r="H626" s="2" t="s">
        <v>46</v>
      </c>
      <c r="I626" s="2" t="str">
        <f ca="1">IFERROR(__xludf.DUMMYFUNCTION("GOOGLETRANSLATE(C626,""fr"",""en"")"),"Very satisfied with my olive assurance, perfect, sympathetic and responsive advisable, listening customer service, superb, competitive and good quality prices")</f>
        <v>Very satisfied with my olive assurance, perfect, sympathetic and responsive advisable, listening customer service, superb, competitive and good quality prices</v>
      </c>
    </row>
    <row r="627" spans="1:9" ht="15.75" customHeight="1" x14ac:dyDescent="0.3">
      <c r="A627" s="2">
        <v>1</v>
      </c>
      <c r="B627" s="2" t="s">
        <v>1808</v>
      </c>
      <c r="C627" s="2" t="s">
        <v>1809</v>
      </c>
      <c r="D627" s="2" t="s">
        <v>38</v>
      </c>
      <c r="E627" s="2" t="s">
        <v>39</v>
      </c>
      <c r="F627" s="2" t="s">
        <v>15</v>
      </c>
      <c r="G627" s="2" t="s">
        <v>1168</v>
      </c>
      <c r="H627" s="2" t="s">
        <v>899</v>
      </c>
      <c r="I627" s="2" t="str">
        <f ca="1">IFERROR(__xludf.DUMMYFUNCTION("GOOGLETRANSLATE(C627,""fr"",""en"")"),"Hello, I do not recommend this health and foresight insurance to anyone, to tell you about 2 years that I try to terminate and each time he finds an excuse. This time not the right term. I call and after asking a person in charge of the person who answers"&amp;" me tells me that there is none and that he does not know his name. What more can I say, she asked me to hang up as I spoke to her. I will not hesitate to give my unfavorable opinion towards them")</f>
        <v>Hello, I do not recommend this health and foresight insurance to anyone, to tell you about 2 years that I try to terminate and each time he finds an excuse. This time not the right term. I call and after asking a person in charge of the person who answers me tells me that there is none and that he does not know his name. What more can I say, she asked me to hang up as I spoke to her. I will not hesitate to give my unfavorable opinion towards them</v>
      </c>
    </row>
    <row r="628" spans="1:9" ht="15.75" customHeight="1" x14ac:dyDescent="0.3">
      <c r="A628" s="2">
        <v>5</v>
      </c>
      <c r="B628" s="2" t="s">
        <v>1810</v>
      </c>
      <c r="C628" s="2" t="s">
        <v>1811</v>
      </c>
      <c r="D628" s="2" t="s">
        <v>13</v>
      </c>
      <c r="E628" s="2" t="s">
        <v>14</v>
      </c>
      <c r="F628" s="2" t="s">
        <v>15</v>
      </c>
      <c r="G628" s="2" t="s">
        <v>696</v>
      </c>
      <c r="H628" s="2" t="s">
        <v>111</v>
      </c>
      <c r="I628" s="2" t="str">
        <f ca="1">IFERROR(__xludf.DUMMYFUNCTION("GOOGLETRANSLATE(C628,""fr"",""en"")"),"I am satisfied with the services offered by Direct Insurance
Thank you for your attractive prices and offers we are 2 to have subscribed car contras at home")</f>
        <v>I am satisfied with the services offered by Direct Insurance
Thank you for your attractive prices and offers we are 2 to have subscribed car contras at home</v>
      </c>
    </row>
    <row r="629" spans="1:9" ht="15.75" customHeight="1" x14ac:dyDescent="0.3">
      <c r="A629" s="2">
        <v>4</v>
      </c>
      <c r="B629" s="2" t="s">
        <v>1812</v>
      </c>
      <c r="C629" s="2" t="s">
        <v>1813</v>
      </c>
      <c r="D629" s="2" t="s">
        <v>13</v>
      </c>
      <c r="E629" s="2" t="s">
        <v>14</v>
      </c>
      <c r="F629" s="2" t="s">
        <v>15</v>
      </c>
      <c r="G629" s="2" t="s">
        <v>754</v>
      </c>
      <c r="H629" s="2" t="s">
        <v>30</v>
      </c>
      <c r="I629" s="2" t="str">
        <f ca="1">IFERROR(__xludf.DUMMYFUNCTION("GOOGLETRANSLATE(C629,""fr"",""en"")"),"Very satisfied with the service and its responsiveness.
Advise other people. I think the choices for car insurance could be clearer but it's already very good!")</f>
        <v>Very satisfied with the service and its responsiveness.
Advise other people. I think the choices for car insurance could be clearer but it's already very good!</v>
      </c>
    </row>
    <row r="630" spans="1:9" ht="15.75" customHeight="1" x14ac:dyDescent="0.3">
      <c r="A630" s="2">
        <v>1</v>
      </c>
      <c r="B630" s="2" t="s">
        <v>1814</v>
      </c>
      <c r="C630" s="2" t="s">
        <v>1815</v>
      </c>
      <c r="D630" s="2" t="s">
        <v>28</v>
      </c>
      <c r="E630" s="2" t="s">
        <v>14</v>
      </c>
      <c r="F630" s="2" t="s">
        <v>15</v>
      </c>
      <c r="G630" s="2" t="s">
        <v>289</v>
      </c>
      <c r="H630" s="2" t="s">
        <v>30</v>
      </c>
      <c r="I630" s="2" t="str">
        <f ca="1">IFERROR(__xludf.DUMMYFUNCTION("GOOGLETRANSLATE(C630,""fr"",""en"")"),"Excellent service, be it the welcome, the advice, the prices are resonable, I recommend this insurance to those around me, to all those who seek to ensure.")</f>
        <v>Excellent service, be it the welcome, the advice, the prices are resonable, I recommend this insurance to those around me, to all those who seek to ensure.</v>
      </c>
    </row>
    <row r="631" spans="1:9" ht="15.75" customHeight="1" x14ac:dyDescent="0.3">
      <c r="A631" s="2">
        <v>4</v>
      </c>
      <c r="B631" s="2" t="s">
        <v>1816</v>
      </c>
      <c r="C631" s="2" t="s">
        <v>1817</v>
      </c>
      <c r="D631" s="2" t="s">
        <v>13</v>
      </c>
      <c r="E631" s="2" t="s">
        <v>14</v>
      </c>
      <c r="F631" s="2" t="s">
        <v>15</v>
      </c>
      <c r="G631" s="2" t="s">
        <v>1818</v>
      </c>
      <c r="H631" s="2" t="s">
        <v>111</v>
      </c>
      <c r="I631" s="2" t="str">
        <f ca="1">IFERROR(__xludf.DUMMYFUNCTION("GOOGLETRANSLATE(C631,""fr"",""en"")"),"Satisfied.
Efficient
I recommend direct insurance for meaning of its simplicity and the ease of its online site.
Now the more concise, more understandable it will be")</f>
        <v>Satisfied.
Efficient
I recommend direct insurance for meaning of its simplicity and the ease of its online site.
Now the more concise, more understandable it will be</v>
      </c>
    </row>
    <row r="632" spans="1:9" ht="15.75" customHeight="1" x14ac:dyDescent="0.3">
      <c r="A632" s="2">
        <v>1</v>
      </c>
      <c r="B632" s="2" t="s">
        <v>1819</v>
      </c>
      <c r="C632" s="2" t="s">
        <v>1820</v>
      </c>
      <c r="D632" s="2" t="s">
        <v>60</v>
      </c>
      <c r="E632" s="2" t="s">
        <v>61</v>
      </c>
      <c r="F632" s="2" t="s">
        <v>15</v>
      </c>
      <c r="G632" s="2" t="s">
        <v>1821</v>
      </c>
      <c r="H632" s="2" t="s">
        <v>634</v>
      </c>
      <c r="I632" s="2" t="str">
        <f ca="1">IFERROR(__xludf.DUMMYFUNCTION("GOOGLETRANSLATE(C632,""fr"",""en"")"),"Unacceptable
No return to my emails because I want to terminate my foresight
Proyance and insurance product
as well as Gav sinter transmitted via app since 01/21/2020 no return
When they told them that the products are not as well my old gav they turn"&amp;" off
Would have the customer service email")</f>
        <v>Unacceptable
No return to my emails because I want to terminate my foresight
Proyance and insurance product
as well as Gav sinter transmitted via app since 01/21/2020 no return
When they told them that the products are not as well my old gav they turn off
Would have the customer service email</v>
      </c>
    </row>
    <row r="633" spans="1:9" ht="15.75" customHeight="1" x14ac:dyDescent="0.3">
      <c r="A633" s="2">
        <v>4</v>
      </c>
      <c r="B633" s="2" t="s">
        <v>1822</v>
      </c>
      <c r="C633" s="2" t="s">
        <v>1823</v>
      </c>
      <c r="D633" s="2" t="s">
        <v>128</v>
      </c>
      <c r="E633" s="2" t="s">
        <v>14</v>
      </c>
      <c r="F633" s="2" t="s">
        <v>15</v>
      </c>
      <c r="G633" s="2" t="s">
        <v>1824</v>
      </c>
      <c r="H633" s="2" t="s">
        <v>94</v>
      </c>
      <c r="I633" s="2" t="str">
        <f ca="1">IFERROR(__xludf.DUMMYFUNCTION("GOOGLETRANSLATE(C633,""fr"",""en"")"),"For a disaster car. Satisfied with speed and facilitates administrative management on the phone with interlocutor to explain the problems meetings")</f>
        <v>For a disaster car. Satisfied with speed and facilitates administrative management on the phone with interlocutor to explain the problems meetings</v>
      </c>
    </row>
    <row r="634" spans="1:9" ht="15.75" customHeight="1" x14ac:dyDescent="0.3">
      <c r="A634" s="2">
        <v>5</v>
      </c>
      <c r="B634" s="2" t="s">
        <v>1825</v>
      </c>
      <c r="C634" s="2" t="s">
        <v>1826</v>
      </c>
      <c r="D634" s="2" t="s">
        <v>28</v>
      </c>
      <c r="E634" s="2" t="s">
        <v>14</v>
      </c>
      <c r="F634" s="2" t="s">
        <v>15</v>
      </c>
      <c r="G634" s="2" t="s">
        <v>494</v>
      </c>
      <c r="H634" s="2" t="s">
        <v>83</v>
      </c>
      <c r="I634" s="2" t="str">
        <f ca="1">IFERROR(__xludf.DUMMYFUNCTION("GOOGLETRANSLATE(C634,""fr"",""en"")"),"I am satisfied with the service. The prices are affordable and there is good responsiveness from customer service. I will recommend this insurance.")</f>
        <v>I am satisfied with the service. The prices are affordable and there is good responsiveness from customer service. I will recommend this insurance.</v>
      </c>
    </row>
    <row r="635" spans="1:9" ht="15.75" customHeight="1" x14ac:dyDescent="0.3">
      <c r="A635" s="2">
        <v>4</v>
      </c>
      <c r="B635" s="2" t="s">
        <v>1827</v>
      </c>
      <c r="C635" s="2" t="s">
        <v>1828</v>
      </c>
      <c r="D635" s="2" t="s">
        <v>13</v>
      </c>
      <c r="E635" s="2" t="s">
        <v>14</v>
      </c>
      <c r="F635" s="2" t="s">
        <v>15</v>
      </c>
      <c r="G635" s="2" t="s">
        <v>1829</v>
      </c>
      <c r="H635" s="2" t="s">
        <v>83</v>
      </c>
      <c r="I635" s="2" t="str">
        <f ca="1">IFERROR(__xludf.DUMMYFUNCTION("GOOGLETRANSLATE(C635,""fr"",""en"")"),"Thank you direct assurance and bravo I was struggling but ultimately I manage to get out of it and thank you I hope everyone will see how good goodbye goodbye")</f>
        <v>Thank you direct assurance and bravo I was struggling but ultimately I manage to get out of it and thank you I hope everyone will see how good goodbye goodbye</v>
      </c>
    </row>
    <row r="636" spans="1:9" ht="15.75" customHeight="1" x14ac:dyDescent="0.3">
      <c r="A636" s="2">
        <v>4</v>
      </c>
      <c r="B636" s="2" t="s">
        <v>1830</v>
      </c>
      <c r="C636" s="2" t="s">
        <v>1831</v>
      </c>
      <c r="D636" s="2" t="s">
        <v>13</v>
      </c>
      <c r="E636" s="2" t="s">
        <v>14</v>
      </c>
      <c r="F636" s="2" t="s">
        <v>15</v>
      </c>
      <c r="G636" s="2" t="s">
        <v>71</v>
      </c>
      <c r="H636" s="2" t="s">
        <v>71</v>
      </c>
      <c r="I636" s="2" t="str">
        <f ca="1">IFERROR(__xludf.DUMMYFUNCTION("GOOGLETRANSLATE(C636,""fr"",""en"")"),"I am satisfied with the help I had advisers.
Notely the first and last advisor I had on the phone.
Thank you for helping me in this process.
Regards Carla.")</f>
        <v>I am satisfied with the help I had advisers.
Notely the first and last advisor I had on the phone.
Thank you for helping me in this process.
Regards Carla.</v>
      </c>
    </row>
    <row r="637" spans="1:9" ht="15.75" customHeight="1" x14ac:dyDescent="0.3">
      <c r="A637" s="2">
        <v>1</v>
      </c>
      <c r="B637" s="2" t="s">
        <v>1832</v>
      </c>
      <c r="C637" s="2" t="s">
        <v>1833</v>
      </c>
      <c r="D637" s="2" t="s">
        <v>33</v>
      </c>
      <c r="E637" s="2" t="s">
        <v>14</v>
      </c>
      <c r="F637" s="2" t="s">
        <v>15</v>
      </c>
      <c r="G637" s="2" t="s">
        <v>1834</v>
      </c>
      <c r="H637" s="2" t="s">
        <v>994</v>
      </c>
      <c r="I637" s="2" t="str">
        <f ca="1">IFERROR(__xludf.DUMMYFUNCTION("GOOGLETRANSLATE(C637,""fr"",""en"")"),"Following a burned car La Matmut had started things well, I was followed but it did not last vehicle buy 9500th 12 months ago is 20 days the expert map to offer me 3900th without counting that it does not c 'is not even move to see the vehicle I explain t"&amp;"he condition to him the photos the option there in 1 minute he offers me 5200th that I obviously refuse he transmits unrelated to the matmut is there he transfer to the headquarters of the Matmut I am contacting them by reporting to them that the situatio"&amp;"n was delicate that I work is that I rent a car in my pocket is that part days I win 15th net because of the rental I have 1 and a half year old child is My wife is pregnant the woman of the matmut speaks to me in a way I had the imprint that I yielded ju"&amp;"dged I was disappointed that I no longer knew what to say a shame this insurance part against to take he knows really Fortunately disappointed I followed more than 25,000 people on my YouTub channel e is that my family is my wife's family too so next step"&amp;" is to treat them as it treats me is I will create a facebook page all united against the matmut is I will terminate everything with them as well as my family I Just hope that the 4000th lost in 1 year I can make them lose some million I would all start h"&amp;"er in 1 week hoping to make them lose 1 packets of money")</f>
        <v>Following a burned car La Matmut had started things well, I was followed but it did not last vehicle buy 9500th 12 months ago is 20 days the expert map to offer me 3900th without counting that it does not c 'is not even move to see the vehicle I explain the condition to him the photos the option there in 1 minute he offers me 5200th that I obviously refuse he transmits unrelated to the matmut is there he transfer to the headquarters of the Matmut I am contacting them by reporting to them that the situation was delicate that I work is that I rent a car in my pocket is that part days I win 15th net because of the rental I have 1 and a half year old child is My wife is pregnant the woman of the matmut speaks to me in a way I had the imprint that I yielded judged I was disappointed that I no longer knew what to say a shame this insurance part against to take he knows really Fortunately disappointed I followed more than 25,000 people on my YouTub channel e is that my family is my wife's family too so next step is to treat them as it treats me is I will create a facebook page all united against the matmut is I will terminate everything with them as well as my family I Just hope that the 4000th lost in 1 year I can make them lose some million I would all start her in 1 week hoping to make them lose 1 packets of money</v>
      </c>
    </row>
    <row r="638" spans="1:9" ht="15.75" customHeight="1" x14ac:dyDescent="0.3">
      <c r="A638" s="2">
        <v>1</v>
      </c>
      <c r="B638" s="2" t="s">
        <v>1835</v>
      </c>
      <c r="C638" s="2" t="s">
        <v>1836</v>
      </c>
      <c r="D638" s="2" t="s">
        <v>601</v>
      </c>
      <c r="E638" s="2" t="s">
        <v>39</v>
      </c>
      <c r="F638" s="2" t="s">
        <v>15</v>
      </c>
      <c r="G638" s="2" t="s">
        <v>1837</v>
      </c>
      <c r="H638" s="2" t="s">
        <v>557</v>
      </c>
      <c r="I638" s="2" t="str">
        <f ca="1">IFERROR(__xludf.DUMMYFUNCTION("GOOGLETRANSLATE(C638,""fr"",""en"")"),"Group insurance imposed by the company.
Can better have regard to the very high contributions paid by the employer and by the employee.")</f>
        <v>Group insurance imposed by the company.
Can better have regard to the very high contributions paid by the employer and by the employee.</v>
      </c>
    </row>
    <row r="639" spans="1:9" ht="15.75" customHeight="1" x14ac:dyDescent="0.3">
      <c r="A639" s="2">
        <v>2</v>
      </c>
      <c r="B639" s="2" t="s">
        <v>1838</v>
      </c>
      <c r="C639" s="2" t="s">
        <v>1839</v>
      </c>
      <c r="D639" s="2" t="s">
        <v>13</v>
      </c>
      <c r="E639" s="2" t="s">
        <v>14</v>
      </c>
      <c r="F639" s="2" t="s">
        <v>15</v>
      </c>
      <c r="G639" s="2" t="s">
        <v>725</v>
      </c>
      <c r="H639" s="2" t="s">
        <v>21</v>
      </c>
      <c r="I639" s="2" t="str">
        <f ca="1">IFERROR(__xludf.DUMMYFUNCTION("GOOGLETRANSLATE(C639,""fr"",""en"")"),"Jesuis dissatisfied with your first customer advisor who hung up on me, basic education
Conversely the second posed, good information, excellent top communication of the top")</f>
        <v>Jesuis dissatisfied with your first customer advisor who hung up on me, basic education
Conversely the second posed, good information, excellent top communication of the top</v>
      </c>
    </row>
    <row r="640" spans="1:9" ht="15.75" customHeight="1" x14ac:dyDescent="0.3">
      <c r="A640" s="2">
        <v>1</v>
      </c>
      <c r="B640" s="2" t="s">
        <v>1840</v>
      </c>
      <c r="C640" s="2" t="s">
        <v>1841</v>
      </c>
      <c r="D640" s="2" t="s">
        <v>89</v>
      </c>
      <c r="E640" s="2" t="s">
        <v>39</v>
      </c>
      <c r="F640" s="2" t="s">
        <v>15</v>
      </c>
      <c r="G640" s="2" t="s">
        <v>1347</v>
      </c>
      <c r="H640" s="2" t="s">
        <v>557</v>
      </c>
      <c r="I640" s="2" t="str">
        <f ca="1">IFERROR(__xludf.DUMMYFUNCTION("GOOGLETRANSLATE(C640,""fr"",""en"")"),"Cegema to know first of all not mutual insurance like any other mutual. It does not respect the Hamon and Chatel law, but any mutual is supposed to respect so as not to take hostage a customer who finds unpleasant is free to leave. Be careful, they are ha"&amp;"rd and easy to make you a slave hostage ...")</f>
        <v>Cegema to know first of all not mutual insurance like any other mutual. It does not respect the Hamon and Chatel law, but any mutual is supposed to respect so as not to take hostage a customer who finds unpleasant is free to leave. Be careful, they are hard and easy to make you a slave hostage ...</v>
      </c>
    </row>
    <row r="641" spans="1:9" ht="15.75" customHeight="1" x14ac:dyDescent="0.3">
      <c r="A641" s="2">
        <v>1</v>
      </c>
      <c r="B641" s="2" t="s">
        <v>1842</v>
      </c>
      <c r="C641" s="2" t="s">
        <v>1843</v>
      </c>
      <c r="D641" s="2" t="s">
        <v>38</v>
      </c>
      <c r="E641" s="2" t="s">
        <v>39</v>
      </c>
      <c r="F641" s="2" t="s">
        <v>15</v>
      </c>
      <c r="G641" s="2" t="s">
        <v>1844</v>
      </c>
      <c r="H641" s="2" t="s">
        <v>634</v>
      </c>
      <c r="I641" s="2" t="str">
        <f ca="1">IFERROR(__xludf.DUMMYFUNCTION("GOOGLETRANSLATE(C641,""fr"",""en"")"),"This complement does not respect the Chatel law. Interlocutors who absolutely seek to come back from the money. Flee this complement. Beware of the contract !! Besides, this mutual encounters client difficulties. Many people resilled following misundersta"&amp;"ndings to the rights to be terminated ....")</f>
        <v>This complement does not respect the Chatel law. Interlocutors who absolutely seek to come back from the money. Flee this complement. Beware of the contract !! Besides, this mutual encounters client difficulties. Many people resilled following misunderstandings to the rights to be terminated ....</v>
      </c>
    </row>
    <row r="642" spans="1:9" ht="15.75" customHeight="1" x14ac:dyDescent="0.3">
      <c r="A642" s="2">
        <v>3</v>
      </c>
      <c r="B642" s="2" t="s">
        <v>1845</v>
      </c>
      <c r="C642" s="2" t="s">
        <v>1846</v>
      </c>
      <c r="D642" s="2" t="s">
        <v>13</v>
      </c>
      <c r="E642" s="2" t="s">
        <v>14</v>
      </c>
      <c r="F642" s="2" t="s">
        <v>15</v>
      </c>
      <c r="G642" s="2" t="s">
        <v>462</v>
      </c>
      <c r="H642" s="2" t="s">
        <v>25</v>
      </c>
      <c r="I642" s="2" t="str">
        <f ca="1">IFERROR(__xludf.DUMMYFUNCTION("GOOGLETRANSLATE(C642,""fr"",""en"")"),"I am satisfied with the fast service. As I have been your customer for a very long time, thank you for a small price reduction less than 44th 18 per month")</f>
        <v>I am satisfied with the fast service. As I have been your customer for a very long time, thank you for a small price reduction less than 44th 18 per month</v>
      </c>
    </row>
    <row r="643" spans="1:9" ht="15.75" customHeight="1" x14ac:dyDescent="0.3">
      <c r="A643" s="2">
        <v>4</v>
      </c>
      <c r="B643" s="2" t="s">
        <v>1847</v>
      </c>
      <c r="C643" s="2" t="s">
        <v>1848</v>
      </c>
      <c r="D643" s="2" t="s">
        <v>28</v>
      </c>
      <c r="E643" s="2" t="s">
        <v>14</v>
      </c>
      <c r="F643" s="2" t="s">
        <v>15</v>
      </c>
      <c r="G643" s="2" t="s">
        <v>1849</v>
      </c>
      <c r="H643" s="2" t="s">
        <v>46</v>
      </c>
      <c r="I643" s="2" t="str">
        <f ca="1">IFERROR(__xludf.DUMMYFUNCTION("GOOGLETRANSLATE(C643,""fr"",""en"")"),"I am satisfied with the services I have asked for and the contract I have subscribed to the person I had at the Telephonne knew how to give me the information I wanted to have.")</f>
        <v>I am satisfied with the services I have asked for and the contract I have subscribed to the person I had at the Telephonne knew how to give me the information I wanted to have.</v>
      </c>
    </row>
    <row r="644" spans="1:9" ht="15.75" customHeight="1" x14ac:dyDescent="0.3">
      <c r="A644" s="2">
        <v>5</v>
      </c>
      <c r="B644" s="2" t="s">
        <v>1850</v>
      </c>
      <c r="C644" s="2" t="s">
        <v>1851</v>
      </c>
      <c r="D644" s="2" t="s">
        <v>303</v>
      </c>
      <c r="E644" s="2" t="s">
        <v>14</v>
      </c>
      <c r="F644" s="2" t="s">
        <v>15</v>
      </c>
      <c r="G644" s="2" t="s">
        <v>1852</v>
      </c>
      <c r="H644" s="2" t="s">
        <v>57</v>
      </c>
      <c r="I644" s="2" t="str">
        <f ca="1">IFERROR(__xludf.DUMMYFUNCTION("GOOGLETRANSLATE(C644,""fr"",""en"")"),"Very satisfied with this insurer I tried another and came back very quickly because they are really attentive and do the maximum for the declared claims. The Sables-d'Olonne staff is very professional especially the elders")</f>
        <v>Very satisfied with this insurer I tried another and came back very quickly because they are really attentive and do the maximum for the declared claims. The Sables-d'Olonne staff is very professional especially the elders</v>
      </c>
    </row>
    <row r="645" spans="1:9" ht="15.75" customHeight="1" x14ac:dyDescent="0.3">
      <c r="A645" s="2">
        <v>1</v>
      </c>
      <c r="B645" s="2" t="s">
        <v>1853</v>
      </c>
      <c r="C645" s="2" t="s">
        <v>1854</v>
      </c>
      <c r="D645" s="2" t="s">
        <v>65</v>
      </c>
      <c r="E645" s="2" t="s">
        <v>129</v>
      </c>
      <c r="F645" s="2" t="s">
        <v>15</v>
      </c>
      <c r="G645" s="2" t="s">
        <v>470</v>
      </c>
      <c r="H645" s="2" t="s">
        <v>30</v>
      </c>
      <c r="I645" s="2" t="str">
        <f ca="1">IFERROR(__xludf.DUMMYFUNCTION("GOOGLETRANSLATE(C645,""fr"",""en"")"),"Catastrophic! For the professionalism of employees in the sector, really zero answers and in addition they try to make you believe that a claim is not covered with articles in the CGAs which do not correspond to the sins you have declared!")</f>
        <v>Catastrophic! For the professionalism of employees in the sector, really zero answers and in addition they try to make you believe that a claim is not covered with articles in the CGAs which do not correspond to the sins you have declared!</v>
      </c>
    </row>
    <row r="646" spans="1:9" ht="15.75" customHeight="1" x14ac:dyDescent="0.3">
      <c r="A646" s="2">
        <v>2</v>
      </c>
      <c r="B646" s="2" t="s">
        <v>1855</v>
      </c>
      <c r="C646" s="2" t="s">
        <v>1856</v>
      </c>
      <c r="D646" s="2" t="s">
        <v>13</v>
      </c>
      <c r="E646" s="2" t="s">
        <v>14</v>
      </c>
      <c r="F646" s="2" t="s">
        <v>15</v>
      </c>
      <c r="G646" s="2" t="s">
        <v>1857</v>
      </c>
      <c r="H646" s="2" t="s">
        <v>661</v>
      </c>
      <c r="I646" s="2" t="str">
        <f ca="1">IFERROR(__xludf.DUMMYFUNCTION("GOOGLETRANSLATE(C646,""fr"",""en"")"),"I am debited from the amount of the contract then even that this contract is terminated. In such I am certified that everything is OK, contract canceled but I am debited with the amount of a fictitious contract. The car cannot ensure at Direct Insurance b"&amp;"ecause the owner of the gray card is not the insured. But then why validate the contract and debite its amount?")</f>
        <v>I am debited from the amount of the contract then even that this contract is terminated. In such I am certified that everything is OK, contract canceled but I am debited with the amount of a fictitious contract. The car cannot ensure at Direct Insurance because the owner of the gray card is not the insured. But then why validate the contract and debite its amount?</v>
      </c>
    </row>
    <row r="647" spans="1:9" ht="15.75" customHeight="1" x14ac:dyDescent="0.3">
      <c r="A647" s="2">
        <v>1</v>
      </c>
      <c r="B647" s="2" t="s">
        <v>1858</v>
      </c>
      <c r="C647" s="2" t="s">
        <v>1859</v>
      </c>
      <c r="D647" s="2" t="s">
        <v>310</v>
      </c>
      <c r="E647" s="2" t="s">
        <v>14</v>
      </c>
      <c r="F647" s="2" t="s">
        <v>15</v>
      </c>
      <c r="G647" s="2" t="s">
        <v>328</v>
      </c>
      <c r="H647" s="2" t="s">
        <v>328</v>
      </c>
      <c r="I647" s="2" t="str">
        <f ca="1">IFERROR(__xludf.DUMMYFUNCTION("GOOGLETRANSLATE(C647,""fr"",""en"")"),"Simply a deception. To flee ! Unless you want to look for a new insurer on the 1st claim. By the way, when you are terminated the prices are multiplied by 2 then what we have won for a year we lose it for all years later.")</f>
        <v>Simply a deception. To flee ! Unless you want to look for a new insurer on the 1st claim. By the way, when you are terminated the prices are multiplied by 2 then what we have won for a year we lose it for all years later.</v>
      </c>
    </row>
    <row r="648" spans="1:9" ht="15.75" customHeight="1" x14ac:dyDescent="0.3">
      <c r="A648" s="2">
        <v>4</v>
      </c>
      <c r="B648" s="2" t="s">
        <v>1860</v>
      </c>
      <c r="C648" s="2" t="s">
        <v>1861</v>
      </c>
      <c r="D648" s="2" t="s">
        <v>13</v>
      </c>
      <c r="E648" s="2" t="s">
        <v>14</v>
      </c>
      <c r="F648" s="2" t="s">
        <v>15</v>
      </c>
      <c r="G648" s="2" t="s">
        <v>970</v>
      </c>
      <c r="H648" s="2" t="s">
        <v>21</v>
      </c>
      <c r="I648" s="2" t="str">
        <f ca="1">IFERROR(__xludf.DUMMYFUNCTION("GOOGLETRANSLATE(C648,""fr"",""en"")"),"Very friendly welcome. Clear and easy insurance. Varied offers, simple and very fast modifications. We hope not to need to use it. :)")</f>
        <v>Very friendly welcome. Clear and easy insurance. Varied offers, simple and very fast modifications. We hope not to need to use it. :)</v>
      </c>
    </row>
    <row r="649" spans="1:9" ht="15.75" customHeight="1" x14ac:dyDescent="0.3">
      <c r="A649" s="2">
        <v>2</v>
      </c>
      <c r="B649" s="2" t="s">
        <v>1862</v>
      </c>
      <c r="C649" s="2" t="s">
        <v>1863</v>
      </c>
      <c r="D649" s="2" t="s">
        <v>394</v>
      </c>
      <c r="E649" s="2" t="s">
        <v>129</v>
      </c>
      <c r="F649" s="2" t="s">
        <v>15</v>
      </c>
      <c r="G649" s="2" t="s">
        <v>1661</v>
      </c>
      <c r="H649" s="2" t="s">
        <v>108</v>
      </c>
      <c r="I649" s="2" t="str">
        <f ca="1">IFERROR(__xludf.DUMMYFUNCTION("GOOGLETRANSLATE(C649,""fr"",""en"")"),"Hello
Damage on roof suite storm in 2019 (November and December) and Sogessur mandates the Saretec expert who performs expertise via ... Google Maps!
Indeed, for the first storm which damages a part of the roof and in this case, Saretec estimates a dila"&amp;"pidation of ... 25%
1 month later, a 2nd storm takes place a month later and damages another part of the roof and in this case, Saretec estimates a dilapidated ... 60%
Indeed, nobody moves but experts the damage according to the quote that I transmitt"&amp;"ed to them then by assessing the roof always via Google Maps ...
A dilapidation of 60% is applied to the entire estimate (while the tiles represent only 5 to 10% of the amount of the quote and, of course, the MO is very majority ...)
It's been 4 times"&amp;" that I call SOGESSUR who takes refuge behind Saretec.
Also, I was in no way informed of the issue of the Saretec report to the insurer (no copy until last week is more than one year after the facts)
I will go to the RAR then to filing a complaint.
I"&amp;"f you have testimonies to communicate to me, I am a taker.
As for Sogessur, you know my file and I am already in the 4th or 5th interlocutor/trice which always explains the same things to me (see above) ...")</f>
        <v>Hello
Damage on roof suite storm in 2019 (November and December) and Sogessur mandates the Saretec expert who performs expertise via ... Google Maps!
Indeed, for the first storm which damages a part of the roof and in this case, Saretec estimates a dilapidation of ... 25%
1 month later, a 2nd storm takes place a month later and damages another part of the roof and in this case, Saretec estimates a dilapidated ... 60%
Indeed, nobody moves but experts the damage according to the quote that I transmitted to them then by assessing the roof always via Google Maps ...
A dilapidation of 60% is applied to the entire estimate (while the tiles represent only 5 to 10% of the amount of the quote and, of course, the MO is very majority ...)
It's been 4 times that I call SOGESSUR who takes refuge behind Saretec.
Also, I was in no way informed of the issue of the Saretec report to the insurer (no copy until last week is more than one year after the facts)
I will go to the RAR then to filing a complaint.
If you have testimonies to communicate to me, I am a taker.
As for Sogessur, you know my file and I am already in the 4th or 5th interlocutor/trice which always explains the same things to me (see above) ...</v>
      </c>
    </row>
    <row r="650" spans="1:9" ht="15.75" customHeight="1" x14ac:dyDescent="0.3">
      <c r="A650" s="2">
        <v>1</v>
      </c>
      <c r="B650" s="2" t="s">
        <v>1864</v>
      </c>
      <c r="C650" s="2" t="s">
        <v>1865</v>
      </c>
      <c r="D650" s="2" t="s">
        <v>33</v>
      </c>
      <c r="E650" s="2" t="s">
        <v>14</v>
      </c>
      <c r="F650" s="2" t="s">
        <v>15</v>
      </c>
      <c r="G650" s="2" t="s">
        <v>1866</v>
      </c>
      <c r="H650" s="2" t="s">
        <v>74</v>
      </c>
      <c r="I650" s="2" t="str">
        <f ca="1">IFERROR(__xludf.DUMMYFUNCTION("GOOGLETRANSLATE(C650,""fr"",""en"")"),"Unable to solve the slightest problem they have created even
You block you on the phone and refuse your calls
Despite 30 years of membership without liable liable
I strongly advise against .... I will terminate my contracts in the coming days ....
 ")</f>
        <v xml:space="preserve">Unable to solve the slightest problem they have created even
You block you on the phone and refuse your calls
Despite 30 years of membership without liable liable
I strongly advise against .... I will terminate my contracts in the coming days ....
 </v>
      </c>
    </row>
    <row r="651" spans="1:9" ht="15.75" customHeight="1" x14ac:dyDescent="0.3">
      <c r="A651" s="2">
        <v>5</v>
      </c>
      <c r="B651" s="2" t="s">
        <v>1867</v>
      </c>
      <c r="C651" s="2" t="s">
        <v>1868</v>
      </c>
      <c r="D651" s="2" t="s">
        <v>13</v>
      </c>
      <c r="E651" s="2" t="s">
        <v>14</v>
      </c>
      <c r="F651" s="2" t="s">
        <v>15</v>
      </c>
      <c r="G651" s="2" t="s">
        <v>1869</v>
      </c>
      <c r="H651" s="2" t="s">
        <v>111</v>
      </c>
      <c r="I651" s="2" t="str">
        <f ca="1">IFERROR(__xludf.DUMMYFUNCTION("GOOGLETRANSLATE(C651,""fr"",""en"")"),"With Direct Insurance, I'm happy it's simple and quick.
In addition there are important guarantees in life with insurance
Thank you Direct Assurance.")</f>
        <v>With Direct Insurance, I'm happy it's simple and quick.
In addition there are important guarantees in life with insurance
Thank you Direct Assurance.</v>
      </c>
    </row>
    <row r="652" spans="1:9" ht="15.75" customHeight="1" x14ac:dyDescent="0.3">
      <c r="A652" s="2">
        <v>1</v>
      </c>
      <c r="B652" s="2" t="s">
        <v>1870</v>
      </c>
      <c r="C652" s="2" t="s">
        <v>1871</v>
      </c>
      <c r="D652" s="2" t="s">
        <v>219</v>
      </c>
      <c r="E652" s="2" t="s">
        <v>137</v>
      </c>
      <c r="F652" s="2" t="s">
        <v>15</v>
      </c>
      <c r="G652" s="2" t="s">
        <v>1872</v>
      </c>
      <c r="H652" s="2" t="s">
        <v>133</v>
      </c>
      <c r="I652" s="2" t="str">
        <f ca="1">IFERROR(__xludf.DUMMYFUNCTION("GOOGLETRANSLATE(C652,""fr"",""en"")"),"The CNP improperly retains the capital that is due to us following the death of a parent who had the bad idea of ​​taking out life insurance at home. However, the CNP has all the documents necessary for the payment of this capital but claims to have never"&amp;" received our recommended letters when we have the acknowledgment of receipt which is the irrefutable proof of the delivery of our mail and in addition sent by each of the beneficiaries (We are three so the CNP has received none of our three letters to be"&amp;"lieve them). It's strange. But above all, what bad faith. It is exasperating and it is to wonder how we can work for such a company and share the values ​​of the company. When we finally manage to reach them by phone, it is to be told that they have a pro"&amp;"blem with registered mail and that you have to send the whole file in simple mail and recall 10 days later to know if they received it. Well let's see, the answer we already know it, your mail has not reached Mrs. X, Mr. Y, we are sorry. And there, no rec"&amp;"overy of mail. Easy. It's dismay. The CNP has a problem, not with registered mail shipments but a short problem and a big one. This is why we have seized the prudential control authority so that they take over and open an investigation into the very large"&amp;" general ordering in CNP services. Such practices are unfortunately common but they are intolerable and we know very well that insurance companies put an eternity to unlock the funds which bring them much more interest than the delay penalties than the la"&amp;"w nevertheless enjoins them pay. In the end, it is the beneficiaries who are taken hostage and who undergo a situation imposed on them by unscrupulous people who have absolutely nothing to do with the M ... in which they put us. We are still waiting for o"&amp;"ur due, it has been going on now since November ...
")</f>
        <v xml:space="preserve">The CNP improperly retains the capital that is due to us following the death of a parent who had the bad idea of ​​taking out life insurance at home. However, the CNP has all the documents necessary for the payment of this capital but claims to have never received our recommended letters when we have the acknowledgment of receipt which is the irrefutable proof of the delivery of our mail and in addition sent by each of the beneficiaries (We are three so the CNP has received none of our three letters to believe them). It's strange. But above all, what bad faith. It is exasperating and it is to wonder how we can work for such a company and share the values ​​of the company. When we finally manage to reach them by phone, it is to be told that they have a problem with registered mail and that you have to send the whole file in simple mail and recall 10 days later to know if they received it. Well let's see, the answer we already know it, your mail has not reached Mrs. X, Mr. Y, we are sorry. And there, no recovery of mail. Easy. It's dismay. The CNP has a problem, not with registered mail shipments but a short problem and a big one. This is why we have seized the prudential control authority so that they take over and open an investigation into the very large general ordering in CNP services. Such practices are unfortunately common but they are intolerable and we know very well that insurance companies put an eternity to unlock the funds which bring them much more interest than the delay penalties than the law nevertheless enjoins them pay. In the end, it is the beneficiaries who are taken hostage and who undergo a situation imposed on them by unscrupulous people who have absolutely nothing to do with the M ... in which they put us. We are still waiting for our due, it has been going on now since November ...
</v>
      </c>
    </row>
    <row r="653" spans="1:9" ht="15.75" customHeight="1" x14ac:dyDescent="0.3">
      <c r="A653" s="2">
        <v>5</v>
      </c>
      <c r="B653" s="2" t="s">
        <v>1873</v>
      </c>
      <c r="C653" s="2" t="s">
        <v>1874</v>
      </c>
      <c r="D653" s="2" t="s">
        <v>13</v>
      </c>
      <c r="E653" s="2" t="s">
        <v>14</v>
      </c>
      <c r="F653" s="2" t="s">
        <v>15</v>
      </c>
      <c r="G653" s="2" t="s">
        <v>82</v>
      </c>
      <c r="H653" s="2" t="s">
        <v>83</v>
      </c>
      <c r="I653" s="2" t="str">
        <f ca="1">IFERROR(__xludf.DUMMYFUNCTION("GOOGLETRANSLATE(C653,""fr"",""en"")"),"Thank you for ensuring that the straps of the vein is nice, I am infinitely grateful for the service rendered. More efficient than you are rare")</f>
        <v>Thank you for ensuring that the straps of the vein is nice, I am infinitely grateful for the service rendered. More efficient than you are rare</v>
      </c>
    </row>
    <row r="654" spans="1:9" ht="15.75" customHeight="1" x14ac:dyDescent="0.3">
      <c r="A654" s="2">
        <v>3</v>
      </c>
      <c r="B654" s="2" t="s">
        <v>1875</v>
      </c>
      <c r="C654" s="2" t="s">
        <v>1876</v>
      </c>
      <c r="D654" s="2" t="s">
        <v>13</v>
      </c>
      <c r="E654" s="2" t="s">
        <v>14</v>
      </c>
      <c r="F654" s="2" t="s">
        <v>15</v>
      </c>
      <c r="G654" s="2" t="s">
        <v>1407</v>
      </c>
      <c r="H654" s="2" t="s">
        <v>30</v>
      </c>
      <c r="I654" s="2" t="str">
        <f ca="1">IFERROR(__xludf.DUMMYFUNCTION("GOOGLETRANSLATE(C654,""fr"",""en"")"),"Simple, fast.
 The proposed prices as well as the guarantees meet my requests.
Faced with the urgence of my situation, you clearly meet my expectations.")</f>
        <v>Simple, fast.
 The proposed prices as well as the guarantees meet my requests.
Faced with the urgence of my situation, you clearly meet my expectations.</v>
      </c>
    </row>
    <row r="655" spans="1:9" ht="15.75" customHeight="1" x14ac:dyDescent="0.3">
      <c r="A655" s="2">
        <v>3</v>
      </c>
      <c r="B655" s="2" t="s">
        <v>1877</v>
      </c>
      <c r="C655" s="2" t="s">
        <v>1878</v>
      </c>
      <c r="D655" s="2" t="s">
        <v>190</v>
      </c>
      <c r="E655" s="2" t="s">
        <v>14</v>
      </c>
      <c r="F655" s="2" t="s">
        <v>15</v>
      </c>
      <c r="G655" s="2" t="s">
        <v>297</v>
      </c>
      <c r="H655" s="2" t="s">
        <v>17</v>
      </c>
      <c r="I655" s="2" t="str">
        <f ca="1">IFERROR(__xludf.DUMMYFUNCTION("GOOGLETRANSLATE(C655,""fr"",""en"")"),"Well, satisfied with services and especially reactivity for occasional requests. On the other hand, as soon as there is a claim, there the processing time is longer.")</f>
        <v>Well, satisfied with services and especially reactivity for occasional requests. On the other hand, as soon as there is a claim, there the processing time is longer.</v>
      </c>
    </row>
    <row r="656" spans="1:9" ht="15.75" customHeight="1" x14ac:dyDescent="0.3">
      <c r="A656" s="2">
        <v>1</v>
      </c>
      <c r="B656" s="2" t="s">
        <v>1879</v>
      </c>
      <c r="C656" s="2" t="s">
        <v>1880</v>
      </c>
      <c r="D656" s="2" t="s">
        <v>190</v>
      </c>
      <c r="E656" s="2" t="s">
        <v>14</v>
      </c>
      <c r="F656" s="2" t="s">
        <v>15</v>
      </c>
      <c r="G656" s="2" t="s">
        <v>25</v>
      </c>
      <c r="H656" s="2" t="s">
        <v>25</v>
      </c>
      <c r="I656" s="2" t="str">
        <f ca="1">IFERROR(__xludf.DUMMYFUNCTION("GOOGLETRANSLATE(C656,""fr"",""en"")"),"Increase in unexplained rate in 2020. Disbigatorly ecopass reduction. Reception at the questionable agency. Prices twice higher than the quotes received from competition. Franchises remain very high with large deductibles for more than ten years without c"&amp;"laims.
In full decrepitude")</f>
        <v>Increase in unexplained rate in 2020. Disbigatorly ecopass reduction. Reception at the questionable agency. Prices twice higher than the quotes received from competition. Franchises remain very high with large deductibles for more than ten years without claims.
In full decrepitude</v>
      </c>
    </row>
    <row r="657" spans="1:9" ht="15.75" customHeight="1" x14ac:dyDescent="0.3">
      <c r="A657" s="2">
        <v>4</v>
      </c>
      <c r="B657" s="2" t="s">
        <v>1881</v>
      </c>
      <c r="C657" s="2" t="s">
        <v>1882</v>
      </c>
      <c r="D657" s="2" t="s">
        <v>28</v>
      </c>
      <c r="E657" s="2" t="s">
        <v>14</v>
      </c>
      <c r="F657" s="2" t="s">
        <v>15</v>
      </c>
      <c r="G657" s="2" t="s">
        <v>46</v>
      </c>
      <c r="H657" s="2" t="s">
        <v>46</v>
      </c>
      <c r="I657" s="2" t="str">
        <f ca="1">IFERROR(__xludf.DUMMYFUNCTION("GOOGLETRANSLATE(C657,""fr"",""en"")"),"Quick implementation.
The olive tree is very conciliatory.
Very good insurance.
Quickly answer your questions whether by such or by email.
I advise the olive assurance.")</f>
        <v>Quick implementation.
The olive tree is very conciliatory.
Very good insurance.
Quickly answer your questions whether by such or by email.
I advise the olive assurance.</v>
      </c>
    </row>
    <row r="658" spans="1:9" ht="15.75" customHeight="1" x14ac:dyDescent="0.3">
      <c r="A658" s="2">
        <v>5</v>
      </c>
      <c r="B658" s="2" t="s">
        <v>1883</v>
      </c>
      <c r="C658" s="2" t="s">
        <v>1884</v>
      </c>
      <c r="D658" s="2" t="s">
        <v>28</v>
      </c>
      <c r="E658" s="2" t="s">
        <v>14</v>
      </c>
      <c r="F658" s="2" t="s">
        <v>15</v>
      </c>
      <c r="G658" s="2" t="s">
        <v>1885</v>
      </c>
      <c r="H658" s="2" t="s">
        <v>21</v>
      </c>
      <c r="I658" s="2" t="str">
        <f ca="1">IFERROR(__xludf.DUMMYFUNCTION("GOOGLETRANSLATE(C658,""fr"",""en"")"),"Advisor to the top and reasonable price. The information is simple and clear and the quality of service is great. I would recommend my loved ones to come to your home")</f>
        <v>Advisor to the top and reasonable price. The information is simple and clear and the quality of service is great. I would recommend my loved ones to come to your home</v>
      </c>
    </row>
    <row r="659" spans="1:9" ht="15.75" customHeight="1" x14ac:dyDescent="0.3">
      <c r="A659" s="2">
        <v>4</v>
      </c>
      <c r="B659" s="2" t="s">
        <v>1886</v>
      </c>
      <c r="C659" s="2" t="s">
        <v>1887</v>
      </c>
      <c r="D659" s="2" t="s">
        <v>13</v>
      </c>
      <c r="E659" s="2" t="s">
        <v>14</v>
      </c>
      <c r="F659" s="2" t="s">
        <v>15</v>
      </c>
      <c r="G659" s="2" t="s">
        <v>1869</v>
      </c>
      <c r="H659" s="2" t="s">
        <v>111</v>
      </c>
      <c r="I659" s="2" t="str">
        <f ca="1">IFERROR(__xludf.DUMMYFUNCTION("GOOGLETRANSLATE(C659,""fr"",""en"")"),"I am waiting to see how the calculation of pricing works with YouDrive.
Too bad to have to be considered as a young driver when I have my license and have been driving for over 30 years.")</f>
        <v>I am waiting to see how the calculation of pricing works with YouDrive.
Too bad to have to be considered as a young driver when I have my license and have been driving for over 30 years.</v>
      </c>
    </row>
    <row r="660" spans="1:9" ht="15.75" customHeight="1" x14ac:dyDescent="0.3">
      <c r="A660" s="2">
        <v>2</v>
      </c>
      <c r="B660" s="2" t="s">
        <v>1888</v>
      </c>
      <c r="C660" s="2" t="s">
        <v>1889</v>
      </c>
      <c r="D660" s="2" t="s">
        <v>310</v>
      </c>
      <c r="E660" s="2" t="s">
        <v>14</v>
      </c>
      <c r="F660" s="2" t="s">
        <v>15</v>
      </c>
      <c r="G660" s="2" t="s">
        <v>1890</v>
      </c>
      <c r="H660" s="2" t="s">
        <v>139</v>
      </c>
      <c r="I660" s="2" t="str">
        <f ca="1">IFERROR(__xludf.DUMMYFUNCTION("GOOGLETRANSLATE(C660,""fr"",""en"")"),"I do not recommend people!
I am the victim of a non -responsible accident is assured of any risk. I am fighting for the file to advance. I sent all the documents the same day of the accident. I am asked to pay the franchise despite the fact that I am not"&amp;" wrong. . Incompetent")</f>
        <v>I do not recommend people!
I am the victim of a non -responsible accident is assured of any risk. I am fighting for the file to advance. I sent all the documents the same day of the accident. I am asked to pay the franchise despite the fact that I am not wrong. . Incompetent</v>
      </c>
    </row>
    <row r="661" spans="1:9" ht="15.75" customHeight="1" x14ac:dyDescent="0.3">
      <c r="A661" s="2">
        <v>2</v>
      </c>
      <c r="B661" s="2" t="s">
        <v>1891</v>
      </c>
      <c r="C661" s="2" t="s">
        <v>1892</v>
      </c>
      <c r="D661" s="2" t="s">
        <v>145</v>
      </c>
      <c r="E661" s="2" t="s">
        <v>14</v>
      </c>
      <c r="F661" s="2" t="s">
        <v>15</v>
      </c>
      <c r="G661" s="2" t="s">
        <v>1319</v>
      </c>
      <c r="H661" s="2" t="s">
        <v>507</v>
      </c>
      <c r="I661" s="2" t="str">
        <f ca="1">IFERROR(__xludf.DUMMYFUNCTION("GOOGLETRANSLATE(C661,""fr"",""en"")"),"Terminated for 2 claims responsible in 2017 and 2018, 1 of which alone caused by a slide on a plaque of ice
While I am a bonus on an insurance initially on a scooter and now a motorcycle and I also have my home and school insurance at home
They only lik"&amp;"e insured to earn money by losing any way")</f>
        <v>Terminated for 2 claims responsible in 2017 and 2018, 1 of which alone caused by a slide on a plaque of ice
While I am a bonus on an insurance initially on a scooter and now a motorcycle and I also have my home and school insurance at home
They only like insured to earn money by losing any way</v>
      </c>
    </row>
    <row r="662" spans="1:9" ht="15.75" customHeight="1" x14ac:dyDescent="0.3">
      <c r="A662" s="2">
        <v>2</v>
      </c>
      <c r="B662" s="2" t="s">
        <v>1893</v>
      </c>
      <c r="C662" s="2" t="s">
        <v>1894</v>
      </c>
      <c r="D662" s="2" t="s">
        <v>33</v>
      </c>
      <c r="E662" s="2" t="s">
        <v>14</v>
      </c>
      <c r="F662" s="2" t="s">
        <v>15</v>
      </c>
      <c r="G662" s="2" t="s">
        <v>1895</v>
      </c>
      <c r="H662" s="2" t="s">
        <v>343</v>
      </c>
      <c r="I662" s="2" t="str">
        <f ca="1">IFERROR(__xludf.DUMMYFUNCTION("GOOGLETRANSLATE(C662,""fr"",""en"")"),"To be avoided seeks not to compensate
Following a coach jacking
After 6 months still no compensation proposal
Insured for 25 years without contributions payment problems
Ballow from one service to another unanswered for 6 months
")</f>
        <v xml:space="preserve">To be avoided seeks not to compensate
Following a coach jacking
After 6 months still no compensation proposal
Insured for 25 years without contributions payment problems
Ballow from one service to another unanswered for 6 months
</v>
      </c>
    </row>
    <row r="663" spans="1:9" ht="15.75" customHeight="1" x14ac:dyDescent="0.3">
      <c r="A663" s="2">
        <v>1</v>
      </c>
      <c r="B663" s="2" t="s">
        <v>1896</v>
      </c>
      <c r="C663" s="2" t="s">
        <v>1897</v>
      </c>
      <c r="D663" s="2" t="s">
        <v>310</v>
      </c>
      <c r="E663" s="2" t="s">
        <v>14</v>
      </c>
      <c r="F663" s="2" t="s">
        <v>15</v>
      </c>
      <c r="G663" s="2" t="s">
        <v>1898</v>
      </c>
      <c r="H663" s="2" t="s">
        <v>374</v>
      </c>
      <c r="I663" s="2" t="str">
        <f ca="1">IFERROR(__xludf.DUMMYFUNCTION("GOOGLETRANSLATE(C663,""fr"",""en"")"),"Big flute he makes you pay for 4 months and then finds escuses to terminate you and keep the 4 months of insurance. Be very careful. To flee Prevent those around you.")</f>
        <v>Big flute he makes you pay for 4 months and then finds escuses to terminate you and keep the 4 months of insurance. Be very careful. To flee Prevent those around you.</v>
      </c>
    </row>
    <row r="664" spans="1:9" ht="15.75" customHeight="1" x14ac:dyDescent="0.3">
      <c r="A664" s="2">
        <v>3</v>
      </c>
      <c r="B664" s="2" t="s">
        <v>1899</v>
      </c>
      <c r="C664" s="2" t="s">
        <v>1900</v>
      </c>
      <c r="D664" s="2" t="s">
        <v>254</v>
      </c>
      <c r="E664" s="2" t="s">
        <v>129</v>
      </c>
      <c r="F664" s="2" t="s">
        <v>15</v>
      </c>
      <c r="G664" s="2" t="s">
        <v>1901</v>
      </c>
      <c r="H664" s="2" t="s">
        <v>1213</v>
      </c>
      <c r="I664" s="2" t="str">
        <f ca="1">IFERROR(__xludf.DUMMYFUNCTION("GOOGLETRANSLATE(C664,""fr"",""en"")"),"member for 40 years for 40 years and daughter teachers insured maif. What disappointment (to fall back to overthrow). -Hre agency asks me at what period they appeared, thinking that this was only information, I answer them about 2014. answer Maif: no decr"&amp;"ee for this period; donations no guaranteed taking into account. 'incline and does not insist. But on September 1, 2017 the commune of Auriol of which I am a part and recognized (in natural disaster). I resume contact with my local agency: and tells them "&amp;"of the new situation and deposits a 2nd Declaration. All the conditions are met since I have the Raqvam contract. And the trap is closed. Responsible Maif: you have, in a 1st email (July 15, 2016) says that the cracks had appeared in 2014. 'had taken for "&amp;"information, was in fact only a conviction which have turned against me. (for the maif) the only the unfortunate early declaration (Catnat) that I had declared outside the decree: go be taken into account without discussions. So no expert was mandated dur"&amp;"ing (until maintain), and that the cracks of 2016 are without common measures, with those of 2014. I ask me what are the conditions adopted of this guarantee (before too early) (for no luck) (after too late). Games in short. I have the unpleasant impressi"&amp;"on of having been taken for a fool and hitting myself with a wall.")</f>
        <v>member for 40 years for 40 years and daughter teachers insured maif. What disappointment (to fall back to overthrow). -Hre agency asks me at what period they appeared, thinking that this was only information, I answer them about 2014. answer Maif: no decree for this period; donations no guaranteed taking into account. 'incline and does not insist. But on September 1, 2017 the commune of Auriol of which I am a part and recognized (in natural disaster). I resume contact with my local agency: and tells them of the new situation and deposits a 2nd Declaration. All the conditions are met since I have the Raqvam contract. And the trap is closed. Responsible Maif: you have, in a 1st email (July 15, 2016) says that the cracks had appeared in 2014. 'had taken for information, was in fact only a conviction which have turned against me. (for the maif) the only the unfortunate early declaration (Catnat) that I had declared outside the decree: go be taken into account without discussions. So no expert was mandated during (until maintain), and that the cracks of 2016 are without common measures, with those of 2014. I ask me what are the conditions adopted of this guarantee (before too early) (for no luck) (after too late). Games in short. I have the unpleasant impression of having been taken for a fool and hitting myself with a wall.</v>
      </c>
    </row>
    <row r="665" spans="1:9" ht="15.75" customHeight="1" x14ac:dyDescent="0.3">
      <c r="A665" s="2">
        <v>3</v>
      </c>
      <c r="B665" s="2" t="s">
        <v>1902</v>
      </c>
      <c r="C665" s="2" t="s">
        <v>1903</v>
      </c>
      <c r="D665" s="2" t="s">
        <v>44</v>
      </c>
      <c r="E665" s="2" t="s">
        <v>39</v>
      </c>
      <c r="F665" s="2" t="s">
        <v>15</v>
      </c>
      <c r="G665" s="2" t="s">
        <v>480</v>
      </c>
      <c r="H665" s="2" t="s">
        <v>46</v>
      </c>
      <c r="I665" s="2" t="str">
        <f ca="1">IFERROR(__xludf.DUMMYFUNCTION("GOOGLETRANSLATE(C665,""fr"",""en"")"),"Well for the moment, to see how the service will be done. Being a new customer, it is still too early to pronounce an opinion on services and the quality/price ratio.")</f>
        <v>Well for the moment, to see how the service will be done. Being a new customer, it is still too early to pronounce an opinion on services and the quality/price ratio.</v>
      </c>
    </row>
    <row r="666" spans="1:9" ht="15.75" customHeight="1" x14ac:dyDescent="0.3">
      <c r="A666" s="2">
        <v>5</v>
      </c>
      <c r="B666" s="2" t="s">
        <v>1904</v>
      </c>
      <c r="C666" s="2" t="s">
        <v>1905</v>
      </c>
      <c r="D666" s="2" t="s">
        <v>13</v>
      </c>
      <c r="E666" s="2" t="s">
        <v>14</v>
      </c>
      <c r="F666" s="2" t="s">
        <v>15</v>
      </c>
      <c r="G666" s="2" t="s">
        <v>1747</v>
      </c>
      <c r="H666" s="2" t="s">
        <v>21</v>
      </c>
      <c r="I666" s="2" t="str">
        <f ca="1">IFERROR(__xludf.DUMMYFUNCTION("GOOGLETRANSLATE(C666,""fr"",""en"")"),"I am satisfied with the service
Simple and direct quick information
very good value for money compared to other insurance for the same options
 ")</f>
        <v xml:space="preserve">I am satisfied with the service
Simple and direct quick information
very good value for money compared to other insurance for the same options
 </v>
      </c>
    </row>
    <row r="667" spans="1:9" ht="15.75" customHeight="1" x14ac:dyDescent="0.3">
      <c r="A667" s="2">
        <v>3</v>
      </c>
      <c r="B667" s="2" t="s">
        <v>1906</v>
      </c>
      <c r="C667" s="2" t="s">
        <v>1907</v>
      </c>
      <c r="D667" s="2" t="s">
        <v>322</v>
      </c>
      <c r="E667" s="2" t="s">
        <v>14</v>
      </c>
      <c r="F667" s="2" t="s">
        <v>15</v>
      </c>
      <c r="G667" s="2" t="s">
        <v>1908</v>
      </c>
      <c r="H667" s="2" t="s">
        <v>745</v>
      </c>
      <c r="I667" s="2" t="str">
        <f ca="1">IFERROR(__xludf.DUMMYFUNCTION("GOOGLETRANSLATE(C667,""fr"",""en"")"),"Very pleasant welcome, clear explanations, and value for money +++, I am very happy very services and information,
 I gave your cordés to a friend to insure the car.")</f>
        <v>Very pleasant welcome, clear explanations, and value for money +++, I am very happy very services and information,
 I gave your cordés to a friend to insure the car.</v>
      </c>
    </row>
    <row r="668" spans="1:9" ht="15.75" customHeight="1" x14ac:dyDescent="0.3">
      <c r="A668" s="2">
        <v>4</v>
      </c>
      <c r="B668" s="2" t="s">
        <v>1909</v>
      </c>
      <c r="C668" s="2" t="s">
        <v>1910</v>
      </c>
      <c r="D668" s="2" t="s">
        <v>28</v>
      </c>
      <c r="E668" s="2" t="s">
        <v>14</v>
      </c>
      <c r="F668" s="2" t="s">
        <v>15</v>
      </c>
      <c r="G668" s="2" t="s">
        <v>667</v>
      </c>
      <c r="H668" s="2" t="s">
        <v>83</v>
      </c>
      <c r="I668" s="2" t="str">
        <f ca="1">IFERROR(__xludf.DUMMYFUNCTION("GOOGLETRANSLATE(C668,""fr"",""en"")"),"I am satisfied with the speed to secure online. Interlocutor listening to my needs The prices are suitable for young drivers")</f>
        <v>I am satisfied with the speed to secure online. Interlocutor listening to my needs The prices are suitable for young drivers</v>
      </c>
    </row>
    <row r="669" spans="1:9" ht="15.75" customHeight="1" x14ac:dyDescent="0.3">
      <c r="A669" s="2">
        <v>1</v>
      </c>
      <c r="B669" s="2" t="s">
        <v>1911</v>
      </c>
      <c r="C669" s="2" t="s">
        <v>1912</v>
      </c>
      <c r="D669" s="2" t="s">
        <v>65</v>
      </c>
      <c r="E669" s="2" t="s">
        <v>14</v>
      </c>
      <c r="F669" s="2" t="s">
        <v>15</v>
      </c>
      <c r="G669" s="2" t="s">
        <v>1913</v>
      </c>
      <c r="H669" s="2" t="s">
        <v>661</v>
      </c>
      <c r="I669" s="2" t="str">
        <f ca="1">IFERROR(__xludf.DUMMYFUNCTION("GOOGLETRANSLATE(C669,""fr"",""en"")"),"What a disappointment of the Customer Service of E Allianz who does not deign to respond to an e -mail, which cuts telephone conversations, which does not respect its contract. What a casualness towards a loyal customer. If no response in a week, I change"&amp;" my insurance company.")</f>
        <v>What a disappointment of the Customer Service of E Allianz who does not deign to respond to an e -mail, which cuts telephone conversations, which does not respect its contract. What a casualness towards a loyal customer. If no response in a week, I change my insurance company.</v>
      </c>
    </row>
    <row r="670" spans="1:9" ht="15.75" customHeight="1" x14ac:dyDescent="0.3">
      <c r="A670" s="2">
        <v>1</v>
      </c>
      <c r="B670" s="2" t="s">
        <v>1914</v>
      </c>
      <c r="C670" s="2" t="s">
        <v>1915</v>
      </c>
      <c r="D670" s="2" t="s">
        <v>326</v>
      </c>
      <c r="E670" s="2" t="s">
        <v>129</v>
      </c>
      <c r="F670" s="2" t="s">
        <v>15</v>
      </c>
      <c r="G670" s="2" t="s">
        <v>1916</v>
      </c>
      <c r="H670" s="2" t="s">
        <v>474</v>
      </c>
      <c r="I670" s="2" t="str">
        <f ca="1">IFERROR(__xludf.DUMMYFUNCTION("GOOGLETRANSLATE(C670,""fr"",""en"")"),"A little expensive and high frankness otherwise optimal services
Many pubs can decrease the costs would be wise")</f>
        <v>A little expensive and high frankness otherwise optimal services
Many pubs can decrease the costs would be wise</v>
      </c>
    </row>
    <row r="671" spans="1:9" ht="15.75" customHeight="1" x14ac:dyDescent="0.3">
      <c r="A671" s="2">
        <v>5</v>
      </c>
      <c r="B671" s="2" t="s">
        <v>1917</v>
      </c>
      <c r="C671" s="2" t="s">
        <v>1918</v>
      </c>
      <c r="D671" s="2" t="s">
        <v>28</v>
      </c>
      <c r="E671" s="2" t="s">
        <v>14</v>
      </c>
      <c r="F671" s="2" t="s">
        <v>15</v>
      </c>
      <c r="G671" s="2" t="s">
        <v>1919</v>
      </c>
      <c r="H671" s="2" t="s">
        <v>52</v>
      </c>
      <c r="I671" s="2" t="str">
        <f ca="1">IFERROR(__xludf.DUMMYFUNCTION("GOOGLETRANSLATE(C671,""fr"",""en"")"),"Hello Olivier Insurance is a very good insurance it was the same in very complicated times he always found a solution as soon as possible and always in our interest I always recommend them very friendly they are cold on the phone even in moment when I did"&amp;"n't believe he is my reassured always thank you again to the whole team of the olive tree his change of many others")</f>
        <v>Hello Olivier Insurance is a very good insurance it was the same in very complicated times he always found a solution as soon as possible and always in our interest I always recommend them very friendly they are cold on the phone even in moment when I didn't believe he is my reassured always thank you again to the whole team of the olive tree his change of many others</v>
      </c>
    </row>
    <row r="672" spans="1:9" ht="15.75" customHeight="1" x14ac:dyDescent="0.3">
      <c r="A672" s="2">
        <v>5</v>
      </c>
      <c r="B672" s="2" t="s">
        <v>1920</v>
      </c>
      <c r="C672" s="2" t="s">
        <v>1921</v>
      </c>
      <c r="D672" s="2" t="s">
        <v>28</v>
      </c>
      <c r="E672" s="2" t="s">
        <v>14</v>
      </c>
      <c r="F672" s="2" t="s">
        <v>15</v>
      </c>
      <c r="G672" s="2" t="s">
        <v>1922</v>
      </c>
      <c r="H672" s="2" t="s">
        <v>71</v>
      </c>
      <c r="I672" s="2" t="str">
        <f ca="1">IFERROR(__xludf.DUMMYFUNCTION("GOOGLETRANSLATE(C672,""fr"",""en"")"),"Very satisfied with the service and advice, the speed and professionalism of advisers and their courtesy, and of course without forgetting the price. To see in use")</f>
        <v>Very satisfied with the service and advice, the speed and professionalism of advisers and their courtesy, and of course without forgetting the price. To see in use</v>
      </c>
    </row>
    <row r="673" spans="1:9" ht="15.75" customHeight="1" x14ac:dyDescent="0.3">
      <c r="A673" s="2">
        <v>4</v>
      </c>
      <c r="B673" s="2" t="s">
        <v>1923</v>
      </c>
      <c r="C673" s="2" t="s">
        <v>1924</v>
      </c>
      <c r="D673" s="2" t="s">
        <v>13</v>
      </c>
      <c r="E673" s="2" t="s">
        <v>14</v>
      </c>
      <c r="F673" s="2" t="s">
        <v>15</v>
      </c>
      <c r="G673" s="2" t="s">
        <v>198</v>
      </c>
      <c r="H673" s="2" t="s">
        <v>83</v>
      </c>
      <c r="I673" s="2" t="str">
        <f ca="1">IFERROR(__xludf.DUMMYFUNCTION("GOOGLETRANSLATE(C673,""fr"",""en"")"),"I am satisfied for prices and responsiveness, it is extraordinary to work with Direct Insurance, it's been several years since I work with you I am always happy")</f>
        <v>I am satisfied for prices and responsiveness, it is extraordinary to work with Direct Insurance, it's been several years since I work with you I am always happy</v>
      </c>
    </row>
    <row r="674" spans="1:9" ht="15.75" customHeight="1" x14ac:dyDescent="0.3">
      <c r="A674" s="2">
        <v>4</v>
      </c>
      <c r="B674" s="2" t="s">
        <v>1925</v>
      </c>
      <c r="C674" s="2" t="s">
        <v>1926</v>
      </c>
      <c r="D674" s="2" t="s">
        <v>28</v>
      </c>
      <c r="E674" s="2" t="s">
        <v>14</v>
      </c>
      <c r="F674" s="2" t="s">
        <v>15</v>
      </c>
      <c r="G674" s="2" t="s">
        <v>292</v>
      </c>
      <c r="H674" s="2" t="s">
        <v>25</v>
      </c>
      <c r="I674" s="2" t="str">
        <f ca="1">IFERROR(__xludf.DUMMYFUNCTION("GOOGLETRANSLATE(C674,""fr"",""en"")"),"It's been almost 6 years that I am at the Olivier Insurance Auto and I have never had any problems to be reimbursed. That's all I expect from insurance.")</f>
        <v>It's been almost 6 years that I am at the Olivier Insurance Auto and I have never had any problems to be reimbursed. That's all I expect from insurance.</v>
      </c>
    </row>
    <row r="675" spans="1:9" ht="15.75" customHeight="1" x14ac:dyDescent="0.3">
      <c r="A675" s="2">
        <v>2</v>
      </c>
      <c r="B675" s="2" t="s">
        <v>1927</v>
      </c>
      <c r="C675" s="2" t="s">
        <v>1928</v>
      </c>
      <c r="D675" s="2" t="s">
        <v>89</v>
      </c>
      <c r="E675" s="2" t="s">
        <v>39</v>
      </c>
      <c r="F675" s="2" t="s">
        <v>15</v>
      </c>
      <c r="G675" s="2" t="s">
        <v>1716</v>
      </c>
      <c r="H675" s="2" t="s">
        <v>83</v>
      </c>
      <c r="I675" s="2" t="str">
        <f ca="1">IFERROR(__xludf.DUMMYFUNCTION("GOOGLETRANSLATE(C675,""fr"",""en"")"),"I join the previous opinions, especially do not subscribe to Cegema, to flee, problem for
obtain a prior agreement or 1 month and a half, mantening pending
of reimbursement, today I send a recommended, then I seized the mediator of
Insurancea0011s15548"&amp;".
Address: Insurance Mediation
TSA 50110
75441 Paris Cedex 9
You have to harass them! ...., ask your broker the email of the region inspector.")</f>
        <v>I join the previous opinions, especially do not subscribe to Cegema, to flee, problem for
obtain a prior agreement or 1 month and a half, mantening pending
of reimbursement, today I send a recommended, then I seized the mediator of
Insurancea0011s15548.
Address: Insurance Mediation
TSA 50110
75441 Paris Cedex 9
You have to harass them! ...., ask your broker the email of the region inspector.</v>
      </c>
    </row>
    <row r="676" spans="1:9" ht="15.75" customHeight="1" x14ac:dyDescent="0.3">
      <c r="A676" s="2">
        <v>4</v>
      </c>
      <c r="B676" s="2" t="s">
        <v>1929</v>
      </c>
      <c r="C676" s="2" t="s">
        <v>1930</v>
      </c>
      <c r="D676" s="2" t="s">
        <v>601</v>
      </c>
      <c r="E676" s="2" t="s">
        <v>39</v>
      </c>
      <c r="F676" s="2" t="s">
        <v>15</v>
      </c>
      <c r="G676" s="2" t="s">
        <v>1931</v>
      </c>
      <c r="H676" s="2" t="s">
        <v>21</v>
      </c>
      <c r="I676" s="2" t="str">
        <f ca="1">IFERROR(__xludf.DUMMYFUNCTION("GOOGLETRANSLATE(C676,""fr"",""en"")"),"My interlocutor was extremely kind, she explains everything to me with very great calm. The only thing that annoyed it is not to be able to take the formula above mine all immediately.")</f>
        <v>My interlocutor was extremely kind, she explains everything to me with very great calm. The only thing that annoyed it is not to be able to take the formula above mine all immediately.</v>
      </c>
    </row>
    <row r="677" spans="1:9" ht="15.75" customHeight="1" x14ac:dyDescent="0.3">
      <c r="A677" s="2">
        <v>4</v>
      </c>
      <c r="B677" s="2" t="s">
        <v>1932</v>
      </c>
      <c r="C677" s="2" t="s">
        <v>1933</v>
      </c>
      <c r="D677" s="2" t="s">
        <v>13</v>
      </c>
      <c r="E677" s="2" t="s">
        <v>14</v>
      </c>
      <c r="F677" s="2" t="s">
        <v>15</v>
      </c>
      <c r="G677" s="2" t="s">
        <v>676</v>
      </c>
      <c r="H677" s="2" t="s">
        <v>111</v>
      </c>
      <c r="I677" s="2" t="str">
        <f ca="1">IFERROR(__xludf.DUMMYFUNCTION("GOOGLETRANSLATE(C677,""fr"",""en"")"),"I am satisfied with direct insurance. I just want to know the terms and approach to follow for the customs clearance of my vehicle. Thanks for your advices !")</f>
        <v>I am satisfied with direct insurance. I just want to know the terms and approach to follow for the customs clearance of my vehicle. Thanks for your advices !</v>
      </c>
    </row>
    <row r="678" spans="1:9" ht="15.75" customHeight="1" x14ac:dyDescent="0.3">
      <c r="A678" s="2">
        <v>5</v>
      </c>
      <c r="B678" s="2" t="s">
        <v>1934</v>
      </c>
      <c r="C678" s="2" t="s">
        <v>1935</v>
      </c>
      <c r="D678" s="2" t="s">
        <v>28</v>
      </c>
      <c r="E678" s="2" t="s">
        <v>14</v>
      </c>
      <c r="F678" s="2" t="s">
        <v>15</v>
      </c>
      <c r="G678" s="2" t="s">
        <v>161</v>
      </c>
      <c r="H678" s="2" t="s">
        <v>83</v>
      </c>
      <c r="I678" s="2" t="str">
        <f ca="1">IFERROR(__xludf.DUMMYFUNCTION("GOOGLETRANSLATE(C678,""fr"",""en"")"),"I am satisfied with the signed contract. The price suits me, it meets my expectations. The exchange with your salesperson was very explicit. She was listening.")</f>
        <v>I am satisfied with the signed contract. The price suits me, it meets my expectations. The exchange with your salesperson was very explicit. She was listening.</v>
      </c>
    </row>
    <row r="679" spans="1:9" ht="15.75" customHeight="1" x14ac:dyDescent="0.3">
      <c r="A679" s="2">
        <v>1</v>
      </c>
      <c r="B679" s="2" t="s">
        <v>1936</v>
      </c>
      <c r="C679" s="2" t="s">
        <v>1937</v>
      </c>
      <c r="D679" s="2" t="s">
        <v>322</v>
      </c>
      <c r="E679" s="2" t="s">
        <v>14</v>
      </c>
      <c r="F679" s="2" t="s">
        <v>15</v>
      </c>
      <c r="G679" s="2" t="s">
        <v>1938</v>
      </c>
      <c r="H679" s="2" t="s">
        <v>474</v>
      </c>
      <c r="I679" s="2" t="str">
        <f ca="1">IFERROR(__xludf.DUMMYFUNCTION("GOOGLETRANSLATE(C679,""fr"",""en"")"),"I have subscribed and paid for the annual contribution hastily in less than 30 minutes and when I realized that the guarantees were not adequate and that it was impossible to change with customer service in the time that followed. I immediately announced "&amp;"that I was going to assert the right to withdraw. Despite an email and letter from the company replied that in this type of contract, the general conditions of sales (a priori illegal) do not allow a right to withdrawal. Result of the costs of the unjusti"&amp;"fied deductions and partial reimbursement 2 months later! Referral to the prudential ACPR regulatory authority. In conclusion without prejudging the decision to come and be wary of insurance that takes liberties with legal provisions. To flee ;-)")</f>
        <v>I have subscribed and paid for the annual contribution hastily in less than 30 minutes and when I realized that the guarantees were not adequate and that it was impossible to change with customer service in the time that followed. I immediately announced that I was going to assert the right to withdraw. Despite an email and letter from the company replied that in this type of contract, the general conditions of sales (a priori illegal) do not allow a right to withdrawal. Result of the costs of the unjustified deductions and partial reimbursement 2 months later! Referral to the prudential ACPR regulatory authority. In conclusion without prejudging the decision to come and be wary of insurance that takes liberties with legal provisions. To flee ;-)</v>
      </c>
    </row>
    <row r="680" spans="1:9" ht="15.75" customHeight="1" x14ac:dyDescent="0.3">
      <c r="A680" s="2">
        <v>1</v>
      </c>
      <c r="B680" s="2" t="s">
        <v>1939</v>
      </c>
      <c r="C680" s="2" t="s">
        <v>1940</v>
      </c>
      <c r="D680" s="2" t="s">
        <v>303</v>
      </c>
      <c r="E680" s="2" t="s">
        <v>129</v>
      </c>
      <c r="F680" s="2" t="s">
        <v>15</v>
      </c>
      <c r="G680" s="2" t="s">
        <v>1941</v>
      </c>
      <c r="H680" s="2" t="s">
        <v>256</v>
      </c>
      <c r="I680" s="2" t="str">
        <f ca="1">IFERROR(__xludf.DUMMYFUNCTION("GOOGLETRANSLATE(C680,""fr"",""en"")"),"Scandalized!
Following the drought of 2016 sanctioned by a prefectural order crossing through the walls of my mom's villa, a 93 -year -old person.
For the past 2 years, the macif procrase pretending to have gaps of imaginary foundations which have been "&amp;"refuted by an expert with the courts. It is impossible for us to know
 The result of contradictory expertise and the reasons for the non -management of the Macif. This house built 45 years ago and insured since that time would have split without the slig"&amp;"htest external problem and without reasons
Fortunately, my wife, who takes care of MAIF claims files does not manage like that: I will have been divorced for a long time.
How can we fuck people and a 93 -year -old person. The expert in the balance of th"&amp;"e Macif must know that she does not have time before her, and benefits")</f>
        <v>Scandalized!
Following the drought of 2016 sanctioned by a prefectural order crossing through the walls of my mom's villa, a 93 -year -old person.
For the past 2 years, the macif procrase pretending to have gaps of imaginary foundations which have been refuted by an expert with the courts. It is impossible for us to know
 The result of contradictory expertise and the reasons for the non -management of the Macif. This house built 45 years ago and insured since that time would have split without the slightest external problem and without reasons
Fortunately, my wife, who takes care of MAIF claims files does not manage like that: I will have been divorced for a long time.
How can we fuck people and a 93 -year -old person. The expert in the balance of the Macif must know that she does not have time before her, and benefits</v>
      </c>
    </row>
    <row r="681" spans="1:9" ht="15.75" customHeight="1" x14ac:dyDescent="0.3">
      <c r="A681" s="2">
        <v>5</v>
      </c>
      <c r="B681" s="2" t="s">
        <v>1942</v>
      </c>
      <c r="C681" s="2" t="s">
        <v>1943</v>
      </c>
      <c r="D681" s="2" t="s">
        <v>28</v>
      </c>
      <c r="E681" s="2" t="s">
        <v>14</v>
      </c>
      <c r="F681" s="2" t="s">
        <v>15</v>
      </c>
      <c r="G681" s="2" t="s">
        <v>943</v>
      </c>
      <c r="H681" s="2" t="s">
        <v>30</v>
      </c>
      <c r="I681" s="2" t="str">
        <f ca="1">IFERROR(__xludf.DUMMYFUNCTION("GOOGLETRANSLATE(C681,""fr"",""en"")"),"Good advice and attractive price for a young driver and for a first car. Many refusal from other insurance company. I will recommend a loved one if necessary.")</f>
        <v>Good advice and attractive price for a young driver and for a first car. Many refusal from other insurance company. I will recommend a loved one if necessary.</v>
      </c>
    </row>
    <row r="682" spans="1:9" ht="15.75" customHeight="1" x14ac:dyDescent="0.3">
      <c r="A682" s="2">
        <v>4</v>
      </c>
      <c r="B682" s="2" t="s">
        <v>1944</v>
      </c>
      <c r="C682" s="2" t="s">
        <v>1945</v>
      </c>
      <c r="D682" s="2" t="s">
        <v>38</v>
      </c>
      <c r="E682" s="2" t="s">
        <v>39</v>
      </c>
      <c r="F682" s="2" t="s">
        <v>15</v>
      </c>
      <c r="G682" s="2" t="s">
        <v>1946</v>
      </c>
      <c r="H682" s="2" t="s">
        <v>385</v>
      </c>
      <c r="I682" s="2" t="str">
        <f ca="1">IFERROR(__xludf.DUMMYFUNCTION("GOOGLETRANSLATE(C682,""fr"",""en"")"),"Former insured at home and after contacting several other insurers, I come back to you for the good quality and seriousness of your advice")</f>
        <v>Former insured at home and after contacting several other insurers, I come back to you for the good quality and seriousness of your advice</v>
      </c>
    </row>
    <row r="683" spans="1:9" ht="15.75" customHeight="1" x14ac:dyDescent="0.3">
      <c r="A683" s="2">
        <v>4</v>
      </c>
      <c r="B683" s="2" t="s">
        <v>1947</v>
      </c>
      <c r="C683" s="2" t="s">
        <v>1948</v>
      </c>
      <c r="D683" s="2" t="s">
        <v>13</v>
      </c>
      <c r="E683" s="2" t="s">
        <v>14</v>
      </c>
      <c r="F683" s="2" t="s">
        <v>15</v>
      </c>
      <c r="G683" s="2" t="s">
        <v>1818</v>
      </c>
      <c r="H683" s="2" t="s">
        <v>111</v>
      </c>
      <c r="I683" s="2" t="str">
        <f ca="1">IFERROR(__xludf.DUMMYFUNCTION("GOOGLETRANSLATE(C683,""fr"",""en"")"),"I am satisfied with the service. Super insurance to advise! Cheap and very very well, sponsored by my daughter and my son -in -law I do not disappoint. I like")</f>
        <v>I am satisfied with the service. Super insurance to advise! Cheap and very very well, sponsored by my daughter and my son -in -law I do not disappoint. I like</v>
      </c>
    </row>
    <row r="684" spans="1:9" ht="15.75" customHeight="1" x14ac:dyDescent="0.3">
      <c r="A684" s="2">
        <v>1</v>
      </c>
      <c r="B684" s="2" t="s">
        <v>1949</v>
      </c>
      <c r="C684" s="2" t="s">
        <v>1950</v>
      </c>
      <c r="D684" s="2" t="s">
        <v>145</v>
      </c>
      <c r="E684" s="2" t="s">
        <v>14</v>
      </c>
      <c r="F684" s="2" t="s">
        <v>15</v>
      </c>
      <c r="G684" s="2" t="s">
        <v>1885</v>
      </c>
      <c r="H684" s="2" t="s">
        <v>21</v>
      </c>
      <c r="I684" s="2" t="str">
        <f ca="1">IFERROR(__xludf.DUMMYFUNCTION("GOOGLETRANSLATE(C684,""fr"",""en"")"),"Nothing else to say
Very cold welcome
proposals far from reality
 0 Availability of customer advisers
Excessive insurance price
quality of the intervention in the event of a disaster not top
")</f>
        <v xml:space="preserve">Nothing else to say
Very cold welcome
proposals far from reality
 0 Availability of customer advisers
Excessive insurance price
quality of the intervention in the event of a disaster not top
</v>
      </c>
    </row>
    <row r="685" spans="1:9" ht="15.75" customHeight="1" x14ac:dyDescent="0.3">
      <c r="A685" s="2">
        <v>5</v>
      </c>
      <c r="B685" s="2" t="s">
        <v>1951</v>
      </c>
      <c r="C685" s="2" t="s">
        <v>1952</v>
      </c>
      <c r="D685" s="2" t="s">
        <v>13</v>
      </c>
      <c r="E685" s="2" t="s">
        <v>14</v>
      </c>
      <c r="F685" s="2" t="s">
        <v>15</v>
      </c>
      <c r="G685" s="2" t="s">
        <v>1953</v>
      </c>
      <c r="H685" s="2" t="s">
        <v>17</v>
      </c>
      <c r="I685" s="2" t="str">
        <f ca="1">IFERROR(__xludf.DUMMYFUNCTION("GOOGLETRANSLATE(C685,""fr"",""en"")"),"Simple, very practical
friendly and very fast to fully finalize a new contract.
The automatic insertion of spouse data facilitates a family contract.")</f>
        <v>Simple, very practical
friendly and very fast to fully finalize a new contract.
The automatic insertion of spouse data facilitates a family contract.</v>
      </c>
    </row>
    <row r="686" spans="1:9" ht="15.75" customHeight="1" x14ac:dyDescent="0.3">
      <c r="A686" s="2">
        <v>1</v>
      </c>
      <c r="B686" s="2" t="s">
        <v>1954</v>
      </c>
      <c r="C686" s="2" t="s">
        <v>1955</v>
      </c>
      <c r="D686" s="2" t="s">
        <v>13</v>
      </c>
      <c r="E686" s="2" t="s">
        <v>14</v>
      </c>
      <c r="F686" s="2" t="s">
        <v>15</v>
      </c>
      <c r="G686" s="2" t="s">
        <v>645</v>
      </c>
      <c r="H686" s="2" t="s">
        <v>21</v>
      </c>
      <c r="I686" s="2" t="str">
        <f ca="1">IFERROR(__xludf.DUMMYFUNCTION("GOOGLETRANSLATE(C686,""fr"",""en"")"),"I pay much too expensive for a Peugeot 107 1.4HDi, my 206 was much more powerful and I paid much cheaper.
I would like a commercial gesture on your part if possible because my whole family is with you.")</f>
        <v>I pay much too expensive for a Peugeot 107 1.4HDi, my 206 was much more powerful and I paid much cheaper.
I would like a commercial gesture on your part if possible because my whole family is with you.</v>
      </c>
    </row>
    <row r="687" spans="1:9" ht="15.75" customHeight="1" x14ac:dyDescent="0.3">
      <c r="A687" s="2">
        <v>3</v>
      </c>
      <c r="B687" s="2" t="s">
        <v>1956</v>
      </c>
      <c r="C687" s="2" t="s">
        <v>1957</v>
      </c>
      <c r="D687" s="2" t="s">
        <v>89</v>
      </c>
      <c r="E687" s="2" t="s">
        <v>39</v>
      </c>
      <c r="F687" s="2" t="s">
        <v>15</v>
      </c>
      <c r="G687" s="2" t="s">
        <v>713</v>
      </c>
      <c r="H687" s="2" t="s">
        <v>25</v>
      </c>
      <c r="I687" s="2" t="str">
        <f ca="1">IFERROR(__xludf.DUMMYFUNCTION("GOOGLETRANSLATE(C687,""fr"",""en"")"),"I do not recommend this mutual insurance
I don't want to repeat the same thing ... that you know better than me
  &amp; I beg you all to make me follow your complaints &amp; complaints &amp; de-agrees formulated with your complete contact details ....
that I would"&amp;" follow ... in order to request the cancellation of our contracts
Union is strength .... legally
at: gemtel12@yahoo.fr
We will win together")</f>
        <v>I do not recommend this mutual insurance
I don't want to repeat the same thing ... that you know better than me
  &amp; I beg you all to make me follow your complaints &amp; complaints &amp; de-agrees formulated with your complete contact details ....
that I would follow ... in order to request the cancellation of our contracts
Union is strength .... legally
at: gemtel12@yahoo.fr
We will win together</v>
      </c>
    </row>
    <row r="688" spans="1:9" ht="15.75" customHeight="1" x14ac:dyDescent="0.3">
      <c r="A688" s="2">
        <v>1</v>
      </c>
      <c r="B688" s="2" t="s">
        <v>1958</v>
      </c>
      <c r="C688" s="2" t="s">
        <v>1959</v>
      </c>
      <c r="D688" s="2" t="s">
        <v>303</v>
      </c>
      <c r="E688" s="2" t="s">
        <v>14</v>
      </c>
      <c r="F688" s="2" t="s">
        <v>15</v>
      </c>
      <c r="G688" s="2" t="s">
        <v>1960</v>
      </c>
      <c r="H688" s="2" t="s">
        <v>343</v>
      </c>
      <c r="I688" s="2" t="str">
        <f ca="1">IFERROR(__xludf.DUMMYFUNCTION("GOOGLETRANSLATE(C688,""fr"",""en"")"),"Clio Stepped 7/7, informed of his find on 25/8, at 30/9 still not towed?
Clio found after 30 days Macif claims no before without proof or clarification Date and city city. Oct. 3, writes that the clio will arrive at the garage x and it is a Z garage whic"&amp;"h contacts you.
")</f>
        <v xml:space="preserve">Clio Stepped 7/7, informed of his find on 25/8, at 30/9 still not towed?
Clio found after 30 days Macif claims no before without proof or clarification Date and city city. Oct. 3, writes that the clio will arrive at the garage x and it is a Z garage which contacts you.
</v>
      </c>
    </row>
    <row r="689" spans="1:9" ht="15.75" customHeight="1" x14ac:dyDescent="0.3">
      <c r="A689" s="2">
        <v>3</v>
      </c>
      <c r="B689" s="2" t="s">
        <v>1961</v>
      </c>
      <c r="C689" s="2" t="s">
        <v>1962</v>
      </c>
      <c r="D689" s="2" t="s">
        <v>530</v>
      </c>
      <c r="E689" s="2" t="s">
        <v>39</v>
      </c>
      <c r="F689" s="2" t="s">
        <v>15</v>
      </c>
      <c r="G689" s="2" t="s">
        <v>913</v>
      </c>
      <c r="H689" s="2" t="s">
        <v>248</v>
      </c>
      <c r="I689" s="2" t="str">
        <f ca="1">IFERROR(__xludf.DUMMYFUNCTION("GOOGLETRANSLATE(C689,""fr"",""en"")"),"Easy to reach and always correct and respectful.")</f>
        <v>Easy to reach and always correct and respectful.</v>
      </c>
    </row>
    <row r="690" spans="1:9" ht="15.75" customHeight="1" x14ac:dyDescent="0.3">
      <c r="A690" s="2">
        <v>5</v>
      </c>
      <c r="B690" s="2" t="s">
        <v>1963</v>
      </c>
      <c r="C690" s="2" t="s">
        <v>1964</v>
      </c>
      <c r="D690" s="2" t="s">
        <v>197</v>
      </c>
      <c r="E690" s="2" t="s">
        <v>81</v>
      </c>
      <c r="F690" s="2" t="s">
        <v>15</v>
      </c>
      <c r="G690" s="2" t="s">
        <v>1965</v>
      </c>
      <c r="H690" s="2" t="s">
        <v>389</v>
      </c>
      <c r="I690" s="2" t="str">
        <f ca="1">IFERROR(__xludf.DUMMYFUNCTION("GOOGLETRANSLATE(C690,""fr"",""en"")"),"Very satisfied with this insurance. Very well covered for a very affordable price per month. The compensation service is reactive and efficient. I recommend.")</f>
        <v>Very satisfied with this insurance. Very well covered for a very affordable price per month. The compensation service is reactive and efficient. I recommend.</v>
      </c>
    </row>
    <row r="691" spans="1:9" ht="15.75" customHeight="1" x14ac:dyDescent="0.3">
      <c r="A691" s="2">
        <v>1</v>
      </c>
      <c r="B691" s="2" t="s">
        <v>1966</v>
      </c>
      <c r="C691" s="2" t="s">
        <v>1967</v>
      </c>
      <c r="D691" s="2" t="s">
        <v>65</v>
      </c>
      <c r="E691" s="2" t="s">
        <v>14</v>
      </c>
      <c r="F691" s="2" t="s">
        <v>15</v>
      </c>
      <c r="G691" s="2" t="s">
        <v>20</v>
      </c>
      <c r="H691" s="2" t="s">
        <v>21</v>
      </c>
      <c r="I691" s="2" t="str">
        <f ca="1">IFERROR(__xludf.DUMMYFUNCTION("GOOGLETRANSLATE(C691,""fr"",""en"")"),"Overview, refuses to make an adapted offer after 10 years of customers.
Unpleasant person on the phone.
Just good to take the money. 3 times more expensive than elsewhere. Shameful end point.")</f>
        <v>Overview, refuses to make an adapted offer after 10 years of customers.
Unpleasant person on the phone.
Just good to take the money. 3 times more expensive than elsewhere. Shameful end point.</v>
      </c>
    </row>
    <row r="692" spans="1:9" ht="15.75" customHeight="1" x14ac:dyDescent="0.3">
      <c r="A692" s="2">
        <v>1</v>
      </c>
      <c r="B692" s="2" t="s">
        <v>1968</v>
      </c>
      <c r="C692" s="2" t="s">
        <v>1969</v>
      </c>
      <c r="D692" s="2" t="s">
        <v>13</v>
      </c>
      <c r="E692" s="2" t="s">
        <v>14</v>
      </c>
      <c r="F692" s="2" t="s">
        <v>15</v>
      </c>
      <c r="G692" s="2" t="s">
        <v>1970</v>
      </c>
      <c r="H692" s="2" t="s">
        <v>1344</v>
      </c>
      <c r="I692" s="2" t="str">
        <f ca="1">IFERROR(__xludf.DUMMYFUNCTION("GOOGLETRANSLATE(C692,""fr"",""en"")"),"Client for 4 years at Direct Insurance today I discover how a calamity is a calamity and to flee.
On 25.02, a woman (to her 4th accident responsible for the year) struck my vehicle and projects it on the front vehicle
With 1,300 euros in insurance per"&amp;" year (tranquility / loan vehicle pack), not responsible for this accident, insurance in 20 days has not proceeded to the vehicle's expertise.
- on the pretext that in date of 25.02 after my call, they did not create the claim.
- Then that I failed to"&amp;" inform them from where they had even towed my vehicle
- I discover that I do not have a loan vehicle because subtlety, the loan vehicle is granted only in the event of repair ... Now my vehicle must be appropriate because potentially economically non -r"&amp;"epairable. I have been agreed for 15 days of vehicle rental which is largely insufficient to have the result of the expertise and acquire a new vehicle.
Today, in times of confinement, the insurer who does not have his job within 20 days preceding the "&amp;"beginning of confinement, tells me that I will have nothing until the end of confinement.
This is how by being not responsible for an accident and paying 1350 euros of annual insurance you will find yourself without a vehicle while you live in the open"&amp;" countryside ...
I repeat that even if I understand that confinement is not due to insurance, Direct Insurance did not move an iota during the 20 days preceding the disaster ...")</f>
        <v>Client for 4 years at Direct Insurance today I discover how a calamity is a calamity and to flee.
On 25.02, a woman (to her 4th accident responsible for the year) struck my vehicle and projects it on the front vehicle
With 1,300 euros in insurance per year (tranquility / loan vehicle pack), not responsible for this accident, insurance in 20 days has not proceeded to the vehicle's expertise.
- on the pretext that in date of 25.02 after my call, they did not create the claim.
- Then that I failed to inform them from where they had even towed my vehicle
- I discover that I do not have a loan vehicle because subtlety, the loan vehicle is granted only in the event of repair ... Now my vehicle must be appropriate because potentially economically non -repairable. I have been agreed for 15 days of vehicle rental which is largely insufficient to have the result of the expertise and acquire a new vehicle.
Today, in times of confinement, the insurer who does not have his job within 20 days preceding the beginning of confinement, tells me that I will have nothing until the end of confinement.
This is how by being not responsible for an accident and paying 1350 euros of annual insurance you will find yourself without a vehicle while you live in the open countryside ...
I repeat that even if I understand that confinement is not due to insurance, Direct Insurance did not move an iota during the 20 days preceding the disaster ...</v>
      </c>
    </row>
    <row r="693" spans="1:9" ht="15.75" customHeight="1" x14ac:dyDescent="0.3">
      <c r="A693" s="2">
        <v>2</v>
      </c>
      <c r="B693" s="2" t="s">
        <v>1971</v>
      </c>
      <c r="C693" s="2" t="s">
        <v>1972</v>
      </c>
      <c r="D693" s="2" t="s">
        <v>13</v>
      </c>
      <c r="E693" s="2" t="s">
        <v>14</v>
      </c>
      <c r="F693" s="2" t="s">
        <v>15</v>
      </c>
      <c r="G693" s="2" t="s">
        <v>533</v>
      </c>
      <c r="H693" s="2" t="s">
        <v>25</v>
      </c>
      <c r="I693" s="2" t="str">
        <f ca="1">IFERROR(__xludf.DUMMYFUNCTION("GOOGLETRANSLATE(C693,""fr"",""en"")"),"I find it too expensive because it is less than 5000 km per year and never had a problem.
And it has increased terribly since the start of my subscription.")</f>
        <v>I find it too expensive because it is less than 5000 km per year and never had a problem.
And it has increased terribly since the start of my subscription.</v>
      </c>
    </row>
    <row r="694" spans="1:9" ht="15.75" customHeight="1" x14ac:dyDescent="0.3">
      <c r="A694" s="2">
        <v>5</v>
      </c>
      <c r="B694" s="2" t="s">
        <v>1973</v>
      </c>
      <c r="C694" s="2" t="s">
        <v>1974</v>
      </c>
      <c r="D694" s="2" t="s">
        <v>530</v>
      </c>
      <c r="E694" s="2" t="s">
        <v>137</v>
      </c>
      <c r="F694" s="2" t="s">
        <v>15</v>
      </c>
      <c r="G694" s="2" t="s">
        <v>1480</v>
      </c>
      <c r="H694" s="2" t="s">
        <v>46</v>
      </c>
      <c r="I694" s="2" t="str">
        <f ca="1">IFERROR(__xludf.DUMMYFUNCTION("GOOGLETRANSLATE(C694,""fr"",""en"")"),"I am very satisfied with my wage insurance at the MGP. I will gladly start it again to my entourage and friend. The advisers are very friendly and their explanations are clear.")</f>
        <v>I am very satisfied with my wage insurance at the MGP. I will gladly start it again to my entourage and friend. The advisers are very friendly and their explanations are clear.</v>
      </c>
    </row>
    <row r="695" spans="1:9" ht="15.75" customHeight="1" x14ac:dyDescent="0.3">
      <c r="A695" s="2">
        <v>1</v>
      </c>
      <c r="B695" s="2" t="s">
        <v>1975</v>
      </c>
      <c r="C695" s="2" t="s">
        <v>1976</v>
      </c>
      <c r="D695" s="2" t="s">
        <v>310</v>
      </c>
      <c r="E695" s="2" t="s">
        <v>14</v>
      </c>
      <c r="F695" s="2" t="s">
        <v>15</v>
      </c>
      <c r="G695" s="2" t="s">
        <v>1434</v>
      </c>
      <c r="H695" s="2" t="s">
        <v>328</v>
      </c>
      <c r="I695" s="2" t="str">
        <f ca="1">IFERROR(__xludf.DUMMYFUNCTION("GOOGLETRANSLATE(C695,""fr"",""en"")"),"Bad communication, they waited for the last moment to tell me that there was a concern with the documents I provided, my advisor never contacted me to give me the purpose in relation to my situation, they are no Chalant and frankly I prefer paid a little "&amp;"more and have better follow -up.")</f>
        <v>Bad communication, they waited for the last moment to tell me that there was a concern with the documents I provided, my advisor never contacted me to give me the purpose in relation to my situation, they are no Chalant and frankly I prefer paid a little more and have better follow -up.</v>
      </c>
    </row>
    <row r="696" spans="1:9" ht="15.75" customHeight="1" x14ac:dyDescent="0.3">
      <c r="A696" s="2">
        <v>5</v>
      </c>
      <c r="B696" s="2" t="s">
        <v>1977</v>
      </c>
      <c r="C696" s="2" t="s">
        <v>1978</v>
      </c>
      <c r="D696" s="2" t="s">
        <v>28</v>
      </c>
      <c r="E696" s="2" t="s">
        <v>14</v>
      </c>
      <c r="F696" s="2" t="s">
        <v>15</v>
      </c>
      <c r="G696" s="2" t="s">
        <v>442</v>
      </c>
      <c r="H696" s="2" t="s">
        <v>442</v>
      </c>
      <c r="I696" s="2" t="str">
        <f ca="1">IFERROR(__xludf.DUMMYFUNCTION("GOOGLETRANSLATE(C696,""fr"",""en"")"),"Very good insurance! The prices are very competitive and customer service is perfect: a lot of kindness and quality of the responses provided. For having had 2 claims in 1 month, I can also attest to the quality of claims management with excellent follow "&amp;"-up of the file from the advisor. Their approved network systematically offers a replacement vehicle as well as a installation and deposit service at home!
To be continued, at the next deadline if the impact on my subscription is not too important ;-)")</f>
        <v>Very good insurance! The prices are very competitive and customer service is perfect: a lot of kindness and quality of the responses provided. For having had 2 claims in 1 month, I can also attest to the quality of claims management with excellent follow -up of the file from the advisor. Their approved network systematically offers a replacement vehicle as well as a installation and deposit service at home!
To be continued, at the next deadline if the impact on my subscription is not too important ;-)</v>
      </c>
    </row>
    <row r="697" spans="1:9" ht="15.75" customHeight="1" x14ac:dyDescent="0.3">
      <c r="A697" s="2">
        <v>1</v>
      </c>
      <c r="B697" s="2" t="s">
        <v>1979</v>
      </c>
      <c r="C697" s="2" t="s">
        <v>1980</v>
      </c>
      <c r="D697" s="2" t="s">
        <v>190</v>
      </c>
      <c r="E697" s="2" t="s">
        <v>129</v>
      </c>
      <c r="F697" s="2" t="s">
        <v>15</v>
      </c>
      <c r="G697" s="2" t="s">
        <v>1981</v>
      </c>
      <c r="H697" s="2" t="s">
        <v>35</v>
      </c>
      <c r="I697" s="2" t="str">
        <f ca="1">IFERROR(__xludf.DUMMYFUNCTION("GOOGLETRANSLATE(C697,""fr"",""en"")"),"Everything is fine as long as you have no claims. 2 non -responsible claims (car accident with animal and burglary), and the troubles begin. No compensation for stolen goods even with invoice, poor diagnosis of the expert regarding the damage to the vehic"&amp;"le, suddenly against expertise but no consideration. Total result no compensation. I change my insurance. Do not go there !!")</f>
        <v>Everything is fine as long as you have no claims. 2 non -responsible claims (car accident with animal and burglary), and the troubles begin. No compensation for stolen goods even with invoice, poor diagnosis of the expert regarding the damage to the vehicle, suddenly against expertise but no consideration. Total result no compensation. I change my insurance. Do not go there !!</v>
      </c>
    </row>
    <row r="698" spans="1:9" ht="15.75" customHeight="1" x14ac:dyDescent="0.3">
      <c r="A698" s="2">
        <v>4</v>
      </c>
      <c r="B698" s="2" t="s">
        <v>1982</v>
      </c>
      <c r="C698" s="2" t="s">
        <v>1983</v>
      </c>
      <c r="D698" s="2" t="s">
        <v>13</v>
      </c>
      <c r="E698" s="2" t="s">
        <v>14</v>
      </c>
      <c r="F698" s="2" t="s">
        <v>15</v>
      </c>
      <c r="G698" s="2" t="s">
        <v>754</v>
      </c>
      <c r="H698" s="2" t="s">
        <v>30</v>
      </c>
      <c r="I698" s="2" t="str">
        <f ca="1">IFERROR(__xludf.DUMMYFUNCTION("GOOGLETRANSLATE(C698,""fr"",""en"")"),"Satisfied with customer relations but not follow -up. No sending of my sticker therefore 1 month without apparent insurance on my car. I had to contact them to make things happen and faulty youdrive box, communication by email nonexistent to warn the cust"&amp;"omer.")</f>
        <v>Satisfied with customer relations but not follow -up. No sending of my sticker therefore 1 month without apparent insurance on my car. I had to contact them to make things happen and faulty youdrive box, communication by email nonexistent to warn the customer.</v>
      </c>
    </row>
    <row r="699" spans="1:9" ht="15.75" customHeight="1" x14ac:dyDescent="0.3">
      <c r="A699" s="2">
        <v>3</v>
      </c>
      <c r="B699" s="2" t="s">
        <v>1984</v>
      </c>
      <c r="C699" s="2" t="s">
        <v>1985</v>
      </c>
      <c r="D699" s="2" t="s">
        <v>13</v>
      </c>
      <c r="E699" s="2" t="s">
        <v>14</v>
      </c>
      <c r="F699" s="2" t="s">
        <v>15</v>
      </c>
      <c r="G699" s="2" t="s">
        <v>1986</v>
      </c>
      <c r="H699" s="2" t="s">
        <v>17</v>
      </c>
      <c r="I699" s="2" t="str">
        <f ca="1">IFERROR(__xludf.DUMMYFUNCTION("GOOGLETRANSLATE(C699,""fr"",""en"")"),"Why don't we offer me the monthly payment being already a customer at home.
Because according to what is written it would have been my choice but for that I should have asked me the question!
thank you for your understanding")</f>
        <v>Why don't we offer me the monthly payment being already a customer at home.
Because according to what is written it would have been my choice but for that I should have asked me the question!
thank you for your understanding</v>
      </c>
    </row>
    <row r="700" spans="1:9" ht="15.75" customHeight="1" x14ac:dyDescent="0.3">
      <c r="A700" s="2">
        <v>2</v>
      </c>
      <c r="B700" s="2" t="s">
        <v>1987</v>
      </c>
      <c r="C700" s="2" t="s">
        <v>1988</v>
      </c>
      <c r="D700" s="2" t="s">
        <v>33</v>
      </c>
      <c r="E700" s="2" t="s">
        <v>14</v>
      </c>
      <c r="F700" s="2" t="s">
        <v>15</v>
      </c>
      <c r="G700" s="2" t="s">
        <v>1989</v>
      </c>
      <c r="H700" s="2" t="s">
        <v>1332</v>
      </c>
      <c r="I700" s="2" t="str">
        <f ca="1">IFERROR(__xludf.DUMMYFUNCTION("GOOGLETRANSLATE(C700,""fr"",""en"")"),"Hello,
My wife is stolen are a vehicle he has more than 2 months.
It's been a month since we have no news from the Matmut no response to our emails or calls.
My wife's employer threatens to dismiss her because today she no longer has the opportunity "&amp;"to go to work and unfortunately telework is impossible.
How to be compensated quickly?")</f>
        <v>Hello,
My wife is stolen are a vehicle he has more than 2 months.
It's been a month since we have no news from the Matmut no response to our emails or calls.
My wife's employer threatens to dismiss her because today she no longer has the opportunity to go to work and unfortunately telework is impossible.
How to be compensated quickly?</v>
      </c>
    </row>
    <row r="701" spans="1:9" ht="15.75" customHeight="1" x14ac:dyDescent="0.3">
      <c r="A701" s="2">
        <v>4</v>
      </c>
      <c r="B701" s="2" t="s">
        <v>1990</v>
      </c>
      <c r="C701" s="2" t="s">
        <v>1991</v>
      </c>
      <c r="D701" s="2" t="s">
        <v>13</v>
      </c>
      <c r="E701" s="2" t="s">
        <v>14</v>
      </c>
      <c r="F701" s="2" t="s">
        <v>15</v>
      </c>
      <c r="G701" s="2" t="s">
        <v>1992</v>
      </c>
      <c r="H701" s="2" t="s">
        <v>111</v>
      </c>
      <c r="I701" s="2" t="str">
        <f ca="1">IFERROR(__xludf.DUMMYFUNCTION("GOOGLETRANSLATE(C701,""fr"",""en"")"),"Hello very good reputation speed and very explicit software very well kept and good warranty. After level rate in accordance with television advertising")</f>
        <v>Hello very good reputation speed and very explicit software very well kept and good warranty. After level rate in accordance with television advertising</v>
      </c>
    </row>
    <row r="702" spans="1:9" ht="15.75" customHeight="1" x14ac:dyDescent="0.3">
      <c r="A702" s="2">
        <v>1</v>
      </c>
      <c r="B702" s="2" t="s">
        <v>1993</v>
      </c>
      <c r="C702" s="2" t="s">
        <v>1994</v>
      </c>
      <c r="D702" s="2" t="s">
        <v>145</v>
      </c>
      <c r="E702" s="2" t="s">
        <v>14</v>
      </c>
      <c r="F702" s="2" t="s">
        <v>15</v>
      </c>
      <c r="G702" s="2" t="s">
        <v>1995</v>
      </c>
      <c r="H702" s="2" t="s">
        <v>35</v>
      </c>
      <c r="I702" s="2" t="str">
        <f ca="1">IFERROR(__xludf.DUMMYFUNCTION("GOOGLETRANSLATE(C702,""fr"",""en"")"),"I made a complaint on an advisor. To date, I have no return. We make fun of customers, we lie to them ... I ask for an information recovery on one of my vehicles, it is necessary in the end to have it.
I have never been so disappointed that I pay very de"&amp;"ar. When a complaint is made to obtain apologies and a commercial gesture, because of an advisor who does not respect his clients, we suffocate the case. I will soon say goodbye to the MAAF.")</f>
        <v>I made a complaint on an advisor. To date, I have no return. We make fun of customers, we lie to them ... I ask for an information recovery on one of my vehicles, it is necessary in the end to have it.
I have never been so disappointed that I pay very dear. When a complaint is made to obtain apologies and a commercial gesture, because of an advisor who does not respect his clients, we suffocate the case. I will soon say goodbye to the MAAF.</v>
      </c>
    </row>
    <row r="703" spans="1:9" ht="15.75" customHeight="1" x14ac:dyDescent="0.3">
      <c r="A703" s="2">
        <v>5</v>
      </c>
      <c r="B703" s="2" t="s">
        <v>1996</v>
      </c>
      <c r="C703" s="2" t="s">
        <v>1997</v>
      </c>
      <c r="D703" s="2" t="s">
        <v>13</v>
      </c>
      <c r="E703" s="2" t="s">
        <v>14</v>
      </c>
      <c r="F703" s="2" t="s">
        <v>15</v>
      </c>
      <c r="G703" s="2" t="s">
        <v>434</v>
      </c>
      <c r="H703" s="2" t="s">
        <v>111</v>
      </c>
      <c r="I703" s="2" t="str">
        <f ca="1">IFERROR(__xludf.DUMMYFUNCTION("GOOGLETRANSLATE(C703,""fr"",""en"")"),"Great. I recommend. Very intuitive M, very simple and very very fast. The site is done perfectly well to help you. Customer service available to support you")</f>
        <v>Great. I recommend. Very intuitive M, very simple and very very fast. The site is done perfectly well to help you. Customer service available to support you</v>
      </c>
    </row>
    <row r="704" spans="1:9" ht="15.75" customHeight="1" x14ac:dyDescent="0.3">
      <c r="A704" s="2">
        <v>4</v>
      </c>
      <c r="B704" s="2" t="s">
        <v>1998</v>
      </c>
      <c r="C704" s="2" t="s">
        <v>1999</v>
      </c>
      <c r="D704" s="2" t="s">
        <v>13</v>
      </c>
      <c r="E704" s="2" t="s">
        <v>14</v>
      </c>
      <c r="F704" s="2" t="s">
        <v>15</v>
      </c>
      <c r="G704" s="2" t="s">
        <v>1616</v>
      </c>
      <c r="H704" s="2" t="s">
        <v>111</v>
      </c>
      <c r="I704" s="2" t="str">
        <f ca="1">IFERROR(__xludf.DUMMYFUNCTION("GOOGLETRANSLATE(C704,""fr"",""en"")"),"Ras everything is ok I would communicate the parts missing a reception of the Sino file the establishment of the folder is simple and quick I find it very practical")</f>
        <v>Ras everything is ok I would communicate the parts missing a reception of the Sino file the establishment of the folder is simple and quick I find it very practical</v>
      </c>
    </row>
    <row r="705" spans="1:9" ht="15.75" customHeight="1" x14ac:dyDescent="0.3">
      <c r="A705" s="2">
        <v>2</v>
      </c>
      <c r="B705" s="2" t="s">
        <v>2000</v>
      </c>
      <c r="C705" s="2" t="s">
        <v>2001</v>
      </c>
      <c r="D705" s="2" t="s">
        <v>120</v>
      </c>
      <c r="E705" s="2" t="s">
        <v>61</v>
      </c>
      <c r="F705" s="2" t="s">
        <v>15</v>
      </c>
      <c r="G705" s="2" t="s">
        <v>2002</v>
      </c>
      <c r="H705" s="2" t="s">
        <v>181</v>
      </c>
      <c r="I705" s="2" t="str">
        <f ca="1">IFERROR(__xludf.DUMMYFUNCTION("GOOGLETRANSLATE(C705,""fr"",""en"")"),"Unable to connect for 2 months. No error message after attempted login. No communication from AFER to say where they are
It looks like they are putting an unscathed site, badly migrated")</f>
        <v>Unable to connect for 2 months. No error message after attempted login. No communication from AFER to say where they are
It looks like they are putting an unscathed site, badly migrated</v>
      </c>
    </row>
    <row r="706" spans="1:9" ht="15.75" customHeight="1" x14ac:dyDescent="0.3">
      <c r="A706" s="2">
        <v>4</v>
      </c>
      <c r="B706" s="2" t="s">
        <v>2003</v>
      </c>
      <c r="C706" s="2" t="s">
        <v>2004</v>
      </c>
      <c r="D706" s="2" t="s">
        <v>190</v>
      </c>
      <c r="E706" s="2" t="s">
        <v>14</v>
      </c>
      <c r="F706" s="2" t="s">
        <v>15</v>
      </c>
      <c r="G706" s="2" t="s">
        <v>1753</v>
      </c>
      <c r="H706" s="2" t="s">
        <v>21</v>
      </c>
      <c r="I706" s="2" t="str">
        <f ca="1">IFERROR(__xludf.DUMMYFUNCTION("GOOGLETRANSLATE(C706,""fr"",""en"")"),"I am satisfied with almost everything
GMF offers a complete service in terms of insurance
I'm still waiting for some improvements
However, I also give a 5 stars for online services.
I can do everything online")</f>
        <v>I am satisfied with almost everything
GMF offers a complete service in terms of insurance
I'm still waiting for some improvements
However, I also give a 5 stars for online services.
I can do everything online</v>
      </c>
    </row>
    <row r="707" spans="1:9" ht="15.75" customHeight="1" x14ac:dyDescent="0.3">
      <c r="A707" s="2">
        <v>5</v>
      </c>
      <c r="B707" s="2" t="s">
        <v>2005</v>
      </c>
      <c r="C707" s="2" t="s">
        <v>2006</v>
      </c>
      <c r="D707" s="2" t="s">
        <v>28</v>
      </c>
      <c r="E707" s="2" t="s">
        <v>14</v>
      </c>
      <c r="F707" s="2" t="s">
        <v>15</v>
      </c>
      <c r="G707" s="2" t="s">
        <v>2007</v>
      </c>
      <c r="H707" s="2" t="s">
        <v>46</v>
      </c>
      <c r="I707" s="2" t="str">
        <f ca="1">IFERROR(__xludf.DUMMYFUNCTION("GOOGLETRANSLATE(C707,""fr"",""en"")"),"I am satisfied with the proposal of the insurance olive tree. Telephone reception and offer advice.
Some difficulties in connection with the personal space and the finalization of the contract.")</f>
        <v>I am satisfied with the proposal of the insurance olive tree. Telephone reception and offer advice.
Some difficulties in connection with the personal space and the finalization of the contract.</v>
      </c>
    </row>
    <row r="708" spans="1:9" ht="15.75" customHeight="1" x14ac:dyDescent="0.3">
      <c r="A708" s="2">
        <v>4</v>
      </c>
      <c r="B708" s="2" t="s">
        <v>2008</v>
      </c>
      <c r="C708" s="2" t="s">
        <v>2009</v>
      </c>
      <c r="D708" s="2" t="s">
        <v>28</v>
      </c>
      <c r="E708" s="2" t="s">
        <v>14</v>
      </c>
      <c r="F708" s="2" t="s">
        <v>15</v>
      </c>
      <c r="G708" s="2" t="s">
        <v>456</v>
      </c>
      <c r="H708" s="2" t="s">
        <v>111</v>
      </c>
      <c r="I708" s="2" t="str">
        <f ca="1">IFERROR(__xludf.DUMMYFUNCTION("GOOGLETRANSLATE(C708,""fr"",""en"")"),"Hello
We are very happy with your proposal and the agreement we found regarding the insurance of the vehicle of our son Romain Martin thank you soon Christine Martin")</f>
        <v>Hello
We are very happy with your proposal and the agreement we found regarding the insurance of the vehicle of our son Romain Martin thank you soon Christine Martin</v>
      </c>
    </row>
    <row r="709" spans="1:9" ht="15.75" customHeight="1" x14ac:dyDescent="0.3">
      <c r="A709" s="2">
        <v>5</v>
      </c>
      <c r="B709" s="2" t="s">
        <v>2010</v>
      </c>
      <c r="C709" s="2" t="s">
        <v>2011</v>
      </c>
      <c r="D709" s="2" t="s">
        <v>28</v>
      </c>
      <c r="E709" s="2" t="s">
        <v>14</v>
      </c>
      <c r="F709" s="2" t="s">
        <v>15</v>
      </c>
      <c r="G709" s="2" t="s">
        <v>1187</v>
      </c>
      <c r="H709" s="2" t="s">
        <v>111</v>
      </c>
      <c r="I709" s="2" t="str">
        <f ca="1">IFERROR(__xludf.DUMMYFUNCTION("GOOGLETRANSLATE(C709,""fr"",""en"")"),"Very satisfied for subscription. Hoping that my experience with the Olivier Insurance continues under the same conditions and everything will be perfect")</f>
        <v>Very satisfied for subscription. Hoping that my experience with the Olivier Insurance continues under the same conditions and everything will be perfect</v>
      </c>
    </row>
    <row r="710" spans="1:9" ht="15.75" customHeight="1" x14ac:dyDescent="0.3">
      <c r="A710" s="2">
        <v>1</v>
      </c>
      <c r="B710" s="2" t="s">
        <v>2012</v>
      </c>
      <c r="C710" s="2" t="s">
        <v>2013</v>
      </c>
      <c r="D710" s="2" t="s">
        <v>55</v>
      </c>
      <c r="E710" s="2" t="s">
        <v>39</v>
      </c>
      <c r="F710" s="2" t="s">
        <v>15</v>
      </c>
      <c r="G710" s="2" t="s">
        <v>1728</v>
      </c>
      <c r="H710" s="2" t="s">
        <v>389</v>
      </c>
      <c r="I710" s="2" t="str">
        <f ca="1">IFERROR(__xludf.DUMMYFUNCTION("GOOGLETRANSLATE(C710,""fr"",""en"")"),"Do not meet endless tel or perès! Prohibit the answer by email and give 1 different refuse to each shipment on their messaging by not taking up the starting ref and therefore are unable to follow a history! Claim undue costisations! Are unable to set up N"&amp;"oemie before months when it comes to the CPAM but especially the MGEN! In short, to be avoided! Opinion of a mutualist who knew Swis Life, GFP, UMC, Verspieren, Touraine Mutualiste, Smeba, etc.")</f>
        <v>Do not meet endless tel or perès! Prohibit the answer by email and give 1 different refuse to each shipment on their messaging by not taking up the starting ref and therefore are unable to follow a history! Claim undue costisations! Are unable to set up Noemie before months when it comes to the CPAM but especially the MGEN! In short, to be avoided! Opinion of a mutualist who knew Swis Life, GFP, UMC, Verspieren, Touraine Mutualiste, Smeba, etc.</v>
      </c>
    </row>
    <row r="711" spans="1:9" ht="15.75" customHeight="1" x14ac:dyDescent="0.3">
      <c r="A711" s="2">
        <v>4</v>
      </c>
      <c r="B711" s="2" t="s">
        <v>2014</v>
      </c>
      <c r="C711" s="2" t="s">
        <v>2015</v>
      </c>
      <c r="D711" s="2" t="s">
        <v>13</v>
      </c>
      <c r="E711" s="2" t="s">
        <v>14</v>
      </c>
      <c r="F711" s="2" t="s">
        <v>15</v>
      </c>
      <c r="G711" s="2" t="s">
        <v>722</v>
      </c>
      <c r="H711" s="2" t="s">
        <v>21</v>
      </c>
      <c r="I711" s="2" t="str">
        <f ca="1">IFERROR(__xludf.DUMMYFUNCTION("GOOGLETRANSLATE(C711,""fr"",""en"")"),"I am satisfied with your prices. The prices are obtained by the lynx. These elements seem very attractive. The ergonomics of your website is pleasant")</f>
        <v>I am satisfied with your prices. The prices are obtained by the lynx. These elements seem very attractive. The ergonomics of your website is pleasant</v>
      </c>
    </row>
    <row r="712" spans="1:9" ht="15.75" customHeight="1" x14ac:dyDescent="0.3">
      <c r="A712" s="2">
        <v>4</v>
      </c>
      <c r="B712" s="2" t="s">
        <v>2016</v>
      </c>
      <c r="C712" s="2" t="s">
        <v>2017</v>
      </c>
      <c r="D712" s="2" t="s">
        <v>33</v>
      </c>
      <c r="E712" s="2" t="s">
        <v>14</v>
      </c>
      <c r="F712" s="2" t="s">
        <v>15</v>
      </c>
      <c r="G712" s="2" t="s">
        <v>361</v>
      </c>
      <c r="H712" s="2" t="s">
        <v>361</v>
      </c>
      <c r="I712" s="2" t="str">
        <f ca="1">IFERROR(__xludf.DUMMYFUNCTION("GOOGLETRANSLATE(C712,""fr"",""en"")"),"Very happy with this kind and competent contact insurance for having it. Car accident 2 times and fast reaction and listening.
")</f>
        <v xml:space="preserve">Very happy with this kind and competent contact insurance for having it. Car accident 2 times and fast reaction and listening.
</v>
      </c>
    </row>
    <row r="713" spans="1:9" ht="15.75" customHeight="1" x14ac:dyDescent="0.3">
      <c r="A713" s="2">
        <v>3</v>
      </c>
      <c r="B713" s="2" t="s">
        <v>2018</v>
      </c>
      <c r="C713" s="2" t="s">
        <v>2019</v>
      </c>
      <c r="D713" s="2" t="s">
        <v>44</v>
      </c>
      <c r="E713" s="2" t="s">
        <v>39</v>
      </c>
      <c r="F713" s="2" t="s">
        <v>15</v>
      </c>
      <c r="G713" s="2" t="s">
        <v>2020</v>
      </c>
      <c r="H713" s="2" t="s">
        <v>46</v>
      </c>
      <c r="I713" s="2" t="str">
        <f ca="1">IFERROR(__xludf.DUMMYFUNCTION("GOOGLETRANSLATE(C713,""fr"",""en"")"),"I am satisfied with the product and the price. Registration is easy and quick by making it on the internet.
The choices are interesting and are suitable for all budgets.
")</f>
        <v xml:space="preserve">I am satisfied with the product and the price. Registration is easy and quick by making it on the internet.
The choices are interesting and are suitable for all budgets.
</v>
      </c>
    </row>
    <row r="714" spans="1:9" ht="15.75" customHeight="1" x14ac:dyDescent="0.3">
      <c r="A714" s="2">
        <v>3</v>
      </c>
      <c r="B714" s="2" t="s">
        <v>2021</v>
      </c>
      <c r="C714" s="2" t="s">
        <v>2022</v>
      </c>
      <c r="D714" s="2" t="s">
        <v>28</v>
      </c>
      <c r="E714" s="2" t="s">
        <v>14</v>
      </c>
      <c r="F714" s="2" t="s">
        <v>15</v>
      </c>
      <c r="G714" s="2" t="s">
        <v>2023</v>
      </c>
      <c r="H714" s="2" t="s">
        <v>111</v>
      </c>
      <c r="I714" s="2" t="str">
        <f ca="1">IFERROR(__xludf.DUMMYFUNCTION("GOOGLETRANSLATE(C714,""fr"",""en"")"),"Difficult management when you break down far from Being on Friday evening ...
Bad experience lived with a previous vehicle last year")</f>
        <v>Difficult management when you break down far from Being on Friday evening ...
Bad experience lived with a previous vehicle last year</v>
      </c>
    </row>
    <row r="715" spans="1:9" ht="15.75" customHeight="1" x14ac:dyDescent="0.3">
      <c r="A715" s="2">
        <v>4</v>
      </c>
      <c r="B715" s="2" t="s">
        <v>2024</v>
      </c>
      <c r="C715" s="2" t="s">
        <v>2025</v>
      </c>
      <c r="D715" s="2" t="s">
        <v>28</v>
      </c>
      <c r="E715" s="2" t="s">
        <v>14</v>
      </c>
      <c r="F715" s="2" t="s">
        <v>15</v>
      </c>
      <c r="G715" s="2" t="s">
        <v>121</v>
      </c>
      <c r="H715" s="2" t="s">
        <v>21</v>
      </c>
      <c r="I715" s="2" t="str">
        <f ca="1">IFERROR(__xludf.DUMMYFUNCTION("GOOGLETRANSLATE(C715,""fr"",""en"")"),"I am satisfied with the service and the telephone reception as well as the information provided.
The interlocutor was good advice.
The prices are suitable.")</f>
        <v>I am satisfied with the service and the telephone reception as well as the information provided.
The interlocutor was good advice.
The prices are suitable.</v>
      </c>
    </row>
    <row r="716" spans="1:9" ht="15.75" customHeight="1" x14ac:dyDescent="0.3">
      <c r="A716" s="2">
        <v>1</v>
      </c>
      <c r="B716" s="2" t="s">
        <v>2026</v>
      </c>
      <c r="C716" s="2" t="s">
        <v>2027</v>
      </c>
      <c r="D716" s="2" t="s">
        <v>13</v>
      </c>
      <c r="E716" s="2" t="s">
        <v>14</v>
      </c>
      <c r="F716" s="2" t="s">
        <v>15</v>
      </c>
      <c r="G716" s="2" t="s">
        <v>615</v>
      </c>
      <c r="H716" s="2" t="s">
        <v>25</v>
      </c>
      <c r="I716" s="2" t="str">
        <f ca="1">IFERROR(__xludf.DUMMYFUNCTION("GOOGLETRANSLATE(C716,""fr"",""en"")"),"Customer service does not respond after 15 minutes of waiting. Exorbitant price. Website not to the point. I am extremely disappointed with the company's services.
I will flee!")</f>
        <v>Customer service does not respond after 15 minutes of waiting. Exorbitant price. Website not to the point. I am extremely disappointed with the company's services.
I will flee!</v>
      </c>
    </row>
    <row r="717" spans="1:9" ht="15.75" customHeight="1" x14ac:dyDescent="0.3">
      <c r="A717" s="2">
        <v>1</v>
      </c>
      <c r="B717" s="2" t="s">
        <v>2028</v>
      </c>
      <c r="C717" s="2" t="s">
        <v>2029</v>
      </c>
      <c r="D717" s="2" t="s">
        <v>28</v>
      </c>
      <c r="E717" s="2" t="s">
        <v>14</v>
      </c>
      <c r="F717" s="2" t="s">
        <v>15</v>
      </c>
      <c r="G717" s="2" t="s">
        <v>71</v>
      </c>
      <c r="H717" s="2" t="s">
        <v>71</v>
      </c>
      <c r="I717" s="2" t="str">
        <f ca="1">IFERROR(__xludf.DUMMYFUNCTION("GOOGLETRANSLATE(C717,""fr"",""en"")"),"The only insurance to which I have subscribed who never unndrecies its customers in the event of a claim, all means are good for never compensating (use of law without any report and others ...)
RUN AWAY")</f>
        <v>The only insurance to which I have subscribed who never unndrecies its customers in the event of a claim, all means are good for never compensating (use of law without any report and others ...)
RUN AWAY</v>
      </c>
    </row>
    <row r="718" spans="1:9" ht="15.75" customHeight="1" x14ac:dyDescent="0.3">
      <c r="A718" s="2">
        <v>5</v>
      </c>
      <c r="B718" s="2" t="s">
        <v>2030</v>
      </c>
      <c r="C718" s="2" t="s">
        <v>2031</v>
      </c>
      <c r="D718" s="2" t="s">
        <v>28</v>
      </c>
      <c r="E718" s="2" t="s">
        <v>14</v>
      </c>
      <c r="F718" s="2" t="s">
        <v>15</v>
      </c>
      <c r="G718" s="2" t="s">
        <v>1931</v>
      </c>
      <c r="H718" s="2" t="s">
        <v>21</v>
      </c>
      <c r="I718" s="2" t="str">
        <f ca="1">IFERROR(__xludf.DUMMYFUNCTION("GOOGLETRANSLATE(C718,""fr"",""en"")"),"Price completely correct and adapted to my situation as well as to the age of my car.
Adjustable and courteous advisers.
Easy and quick subscription.
I recommend.")</f>
        <v>Price completely correct and adapted to my situation as well as to the age of my car.
Adjustable and courteous advisers.
Easy and quick subscription.
I recommend.</v>
      </c>
    </row>
    <row r="719" spans="1:9" ht="15.75" customHeight="1" x14ac:dyDescent="0.3">
      <c r="A719" s="2">
        <v>4</v>
      </c>
      <c r="B719" s="2" t="s">
        <v>2032</v>
      </c>
      <c r="C719" s="2" t="s">
        <v>2033</v>
      </c>
      <c r="D719" s="2" t="s">
        <v>28</v>
      </c>
      <c r="E719" s="2" t="s">
        <v>14</v>
      </c>
      <c r="F719" s="2" t="s">
        <v>15</v>
      </c>
      <c r="G719" s="2" t="s">
        <v>1635</v>
      </c>
      <c r="H719" s="2" t="s">
        <v>30</v>
      </c>
      <c r="I719" s="2" t="str">
        <f ca="1">IFERROR(__xludf.DUMMYFUNCTION("GOOGLETRANSLATE(C719,""fr"",""en"")"),"Very competitive insurance on the market, they offer a very attractive price. In particular young permits (50% cheaper for full insurance. I had a claim a short time ago, the care was rather reactive, I was able to call them several times in order to have"&amp;" information. The answer to the phone was fast. The only negative point is the time that the expert put to come to the garage (about 1 month). Do not hesitate to use my partner code: LOA-FQKS45")</f>
        <v>Very competitive insurance on the market, they offer a very attractive price. In particular young permits (50% cheaper for full insurance. I had a claim a short time ago, the care was rather reactive, I was able to call them several times in order to have information. The answer to the phone was fast. The only negative point is the time that the expert put to come to the garage (about 1 month). Do not hesitate to use my partner code: LOA-FQKS45</v>
      </c>
    </row>
    <row r="720" spans="1:9" ht="15.75" customHeight="1" x14ac:dyDescent="0.3">
      <c r="A720" s="2">
        <v>4</v>
      </c>
      <c r="B720" s="2" t="s">
        <v>2034</v>
      </c>
      <c r="C720" s="2" t="s">
        <v>2035</v>
      </c>
      <c r="D720" s="2" t="s">
        <v>28</v>
      </c>
      <c r="E720" s="2" t="s">
        <v>14</v>
      </c>
      <c r="F720" s="2" t="s">
        <v>15</v>
      </c>
      <c r="G720" s="2" t="s">
        <v>1251</v>
      </c>
      <c r="H720" s="2" t="s">
        <v>83</v>
      </c>
      <c r="I720" s="2" t="str">
        <f ca="1">IFERROR(__xludf.DUMMYFUNCTION("GOOGLETRANSLATE(C720,""fr"",""en"")"),"Difficult for a computer neophyte. I have been forced to be helped like it that everything is well done. I am waiting for my green card and thank you for the reception I received.")</f>
        <v>Difficult for a computer neophyte. I have been forced to be helped like it that everything is well done. I am waiting for my green card and thank you for the reception I received.</v>
      </c>
    </row>
    <row r="721" spans="1:9" ht="15.75" customHeight="1" x14ac:dyDescent="0.3">
      <c r="A721" s="2">
        <v>1</v>
      </c>
      <c r="B721" s="2" t="s">
        <v>2036</v>
      </c>
      <c r="C721" s="2" t="s">
        <v>2037</v>
      </c>
      <c r="D721" s="2" t="s">
        <v>128</v>
      </c>
      <c r="E721" s="2" t="s">
        <v>129</v>
      </c>
      <c r="F721" s="2" t="s">
        <v>15</v>
      </c>
      <c r="G721" s="2" t="s">
        <v>2038</v>
      </c>
      <c r="H721" s="2" t="s">
        <v>385</v>
      </c>
      <c r="I721" s="2" t="str">
        <f ca="1">IFERROR(__xludf.DUMMYFUNCTION("GOOGLETRANSLATE(C721,""fr"",""en"")"),"Incompetent who add options without your agreement and then try to impose the signing of a new contract to prevent your flight from other insurers. To avoid absolutely.")</f>
        <v>Incompetent who add options without your agreement and then try to impose the signing of a new contract to prevent your flight from other insurers. To avoid absolutely.</v>
      </c>
    </row>
    <row r="722" spans="1:9" ht="15.75" customHeight="1" x14ac:dyDescent="0.3">
      <c r="A722" s="2">
        <v>1</v>
      </c>
      <c r="B722" s="2" t="s">
        <v>2039</v>
      </c>
      <c r="C722" s="2" t="s">
        <v>2040</v>
      </c>
      <c r="D722" s="2" t="s">
        <v>303</v>
      </c>
      <c r="E722" s="2" t="s">
        <v>14</v>
      </c>
      <c r="F722" s="2" t="s">
        <v>15</v>
      </c>
      <c r="G722" s="2" t="s">
        <v>2041</v>
      </c>
      <c r="H722" s="2" t="s">
        <v>133</v>
      </c>
      <c r="I722" s="2" t="str">
        <f ca="1">IFERROR(__xludf.DUMMYFUNCTION("GOOGLETRANSLATE(C722,""fr"",""en"")"),"The Macif and a very good insurance provided that you do not use it when you need them to have 31 years old with 50% for more than 20 years member it is less expensive must because you have to add little extra")</f>
        <v>The Macif and a very good insurance provided that you do not use it when you need them to have 31 years old with 50% for more than 20 years member it is less expensive must because you have to add little extra</v>
      </c>
    </row>
    <row r="723" spans="1:9" ht="15.75" customHeight="1" x14ac:dyDescent="0.3">
      <c r="A723" s="2">
        <v>5</v>
      </c>
      <c r="B723" s="2" t="s">
        <v>2042</v>
      </c>
      <c r="C723" s="2" t="s">
        <v>2043</v>
      </c>
      <c r="D723" s="2" t="s">
        <v>28</v>
      </c>
      <c r="E723" s="2" t="s">
        <v>14</v>
      </c>
      <c r="F723" s="2" t="s">
        <v>15</v>
      </c>
      <c r="G723" s="2" t="s">
        <v>173</v>
      </c>
      <c r="H723" s="2" t="s">
        <v>30</v>
      </c>
      <c r="I723" s="2" t="str">
        <f ca="1">IFERROR(__xludf.DUMMYFUNCTION("GOOGLETRANSLATE(C723,""fr"",""en"")"),"Satisfied with the online and speed service in the procedures for registration and payment as well as the opening of my insured space. I am reassured to have been able to subscribe to you")</f>
        <v>Satisfied with the online and speed service in the procedures for registration and payment as well as the opening of my insured space. I am reassured to have been able to subscribe to you</v>
      </c>
    </row>
    <row r="724" spans="1:9" ht="15.75" customHeight="1" x14ac:dyDescent="0.3">
      <c r="A724" s="2">
        <v>2</v>
      </c>
      <c r="B724" s="2" t="s">
        <v>2044</v>
      </c>
      <c r="C724" s="2" t="s">
        <v>2045</v>
      </c>
      <c r="D724" s="2" t="s">
        <v>664</v>
      </c>
      <c r="E724" s="2" t="s">
        <v>39</v>
      </c>
      <c r="F724" s="2" t="s">
        <v>15</v>
      </c>
      <c r="G724" s="2" t="s">
        <v>2046</v>
      </c>
      <c r="H724" s="2" t="s">
        <v>236</v>
      </c>
      <c r="I724" s="2" t="str">
        <f ca="1">IFERROR(__xludf.DUMMYFUNCTION("GOOGLETRANSLATE(C724,""fr"",""en"")"),"After difficulty in reimbursement L4 Interlocutor de Santiane solved the problem quickly")</f>
        <v>After difficulty in reimbursement L4 Interlocutor de Santiane solved the problem quickly</v>
      </c>
    </row>
    <row r="725" spans="1:9" ht="15.75" customHeight="1" x14ac:dyDescent="0.3">
      <c r="A725" s="2">
        <v>1</v>
      </c>
      <c r="B725" s="2" t="s">
        <v>2047</v>
      </c>
      <c r="C725" s="2" t="s">
        <v>2048</v>
      </c>
      <c r="D725" s="2" t="s">
        <v>44</v>
      </c>
      <c r="E725" s="2" t="s">
        <v>101</v>
      </c>
      <c r="F725" s="2" t="s">
        <v>15</v>
      </c>
      <c r="G725" s="2" t="s">
        <v>2049</v>
      </c>
      <c r="H725" s="2" t="s">
        <v>133</v>
      </c>
      <c r="I725" s="2" t="str">
        <f ca="1">IFERROR(__xludf.DUMMYFUNCTION("GOOGLETRANSLATE(C725,""fr"",""en"")"),"Having a bad health it is a fight of any moment to try to compensate you to compensate they did not start to do so that already an expert is mission and everything is blocked until the date of the meeting Bravo April and a little advice take an expert Wit"&amp;"h you in case of expertise also not it is lost in advance April to banish")</f>
        <v>Having a bad health it is a fight of any moment to try to compensate you to compensate they did not start to do so that already an expert is mission and everything is blocked until the date of the meeting Bravo April and a little advice take an expert With you in case of expertise also not it is lost in advance April to banish</v>
      </c>
    </row>
    <row r="726" spans="1:9" ht="15.75" customHeight="1" x14ac:dyDescent="0.3">
      <c r="A726" s="2">
        <v>1</v>
      </c>
      <c r="B726" s="2" t="s">
        <v>2050</v>
      </c>
      <c r="C726" s="2" t="s">
        <v>2051</v>
      </c>
      <c r="D726" s="2" t="s">
        <v>13</v>
      </c>
      <c r="E726" s="2" t="s">
        <v>14</v>
      </c>
      <c r="F726" s="2" t="s">
        <v>15</v>
      </c>
      <c r="G726" s="2" t="s">
        <v>1412</v>
      </c>
      <c r="H726" s="2" t="s">
        <v>25</v>
      </c>
      <c r="I726" s="2" t="str">
        <f ca="1">IFERROR(__xludf.DUMMYFUNCTION("GOOGLETRANSLATE(C726,""fr"",""en"")"),"I very dissatisfied, disappointed, because I am vandalized and the broken ice does not work.
Totally disappointing.
 I go from home, assured for several years without any claim bravo recognition.")</f>
        <v>I very dissatisfied, disappointed, because I am vandalized and the broken ice does not work.
Totally disappointing.
 I go from home, assured for several years without any claim bravo recognition.</v>
      </c>
    </row>
    <row r="727" spans="1:9" ht="15.75" customHeight="1" x14ac:dyDescent="0.3">
      <c r="A727" s="2">
        <v>1</v>
      </c>
      <c r="B727" s="2" t="s">
        <v>2052</v>
      </c>
      <c r="C727" s="2" t="s">
        <v>2053</v>
      </c>
      <c r="D727" s="2" t="s">
        <v>55</v>
      </c>
      <c r="E727" s="2" t="s">
        <v>39</v>
      </c>
      <c r="F727" s="2" t="s">
        <v>15</v>
      </c>
      <c r="G727" s="2" t="s">
        <v>2054</v>
      </c>
      <c r="H727" s="2" t="s">
        <v>57</v>
      </c>
      <c r="I727" s="2" t="str">
        <f ca="1">IFERROR(__xludf.DUMMYFUNCTION("GOOGLETRANSLATE(C727,""fr"",""en"")"),"To flee urgently. Mutual that does not know how to answer questions. They never have the information or changing information depending on the agents ... Some agents lack courtesy, love ... the long -term processing time. The reimbursement period will not "&amp;"speak !!
I have always been waiting for my reimbursements since August (we are soon in February ...)
Go, run away ... but don't leave them your health and your money !!")</f>
        <v>To flee urgently. Mutual that does not know how to answer questions. They never have the information or changing information depending on the agents ... Some agents lack courtesy, love ... the long -term processing time. The reimbursement period will not speak !!
I have always been waiting for my reimbursements since August (we are soon in February ...)
Go, run away ... but don't leave them your health and your money !!</v>
      </c>
    </row>
    <row r="728" spans="1:9" ht="15.75" customHeight="1" x14ac:dyDescent="0.3">
      <c r="A728" s="2">
        <v>1</v>
      </c>
      <c r="B728" s="2" t="s">
        <v>2055</v>
      </c>
      <c r="C728" s="2" t="s">
        <v>2056</v>
      </c>
      <c r="D728" s="2" t="s">
        <v>394</v>
      </c>
      <c r="E728" s="2" t="s">
        <v>129</v>
      </c>
      <c r="F728" s="2" t="s">
        <v>15</v>
      </c>
      <c r="G728" s="2" t="s">
        <v>2057</v>
      </c>
      <c r="H728" s="2" t="s">
        <v>52</v>
      </c>
      <c r="I728" s="2" t="str">
        <f ca="1">IFERROR(__xludf.DUMMYFUNCTION("GOOGLETRANSLATE(C728,""fr"",""en"")"),"5 years ago I subscribed to home insurance for 35 euros monthly. To date I am at 40 euros per month. In 5 years I declared only 1 claim for water damage last year, that is to say in September 2019. We are in September 2020 and after several recommended, I"&amp;" have still not heard of my insurer. Frankly if you have the money to throw out the window, to be able to go to the SOGESSUR. If you go on a comparator to subscribe to insurance, if the Sogessur offers you the best price, passed your way. I will not recom"&amp;"mend this insurance company to someone, even to my enemy. ABSOLUTELY NOT.")</f>
        <v>5 years ago I subscribed to home insurance for 35 euros monthly. To date I am at 40 euros per month. In 5 years I declared only 1 claim for water damage last year, that is to say in September 2019. We are in September 2020 and after several recommended, I have still not heard of my insurer. Frankly if you have the money to throw out the window, to be able to go to the SOGESSUR. If you go on a comparator to subscribe to insurance, if the Sogessur offers you the best price, passed your way. I will not recommend this insurance company to someone, even to my enemy. ABSOLUTELY NOT.</v>
      </c>
    </row>
    <row r="729" spans="1:9" ht="15.75" customHeight="1" x14ac:dyDescent="0.3">
      <c r="A729" s="2">
        <v>4</v>
      </c>
      <c r="B729" s="2" t="s">
        <v>2058</v>
      </c>
      <c r="C729" s="2" t="s">
        <v>2059</v>
      </c>
      <c r="D729" s="2" t="s">
        <v>493</v>
      </c>
      <c r="E729" s="2" t="s">
        <v>101</v>
      </c>
      <c r="F729" s="2" t="s">
        <v>15</v>
      </c>
      <c r="G729" s="2" t="s">
        <v>1114</v>
      </c>
      <c r="H729" s="2" t="s">
        <v>17</v>
      </c>
      <c r="I729" s="2" t="str">
        <f ca="1">IFERROR(__xludf.DUMMYFUNCTION("GOOGLETRANSLATE(C729,""fr"",""en"")"),"I am satisfied with the service, prices suit me, simple and practical. Good contact with Benjamin. It is pleasant and responsive.
I highly recommend.
")</f>
        <v xml:space="preserve">I am satisfied with the service, prices suit me, simple and practical. Good contact with Benjamin. It is pleasant and responsive.
I highly recommend.
</v>
      </c>
    </row>
    <row r="730" spans="1:9" ht="15.75" customHeight="1" x14ac:dyDescent="0.3">
      <c r="A730" s="2">
        <v>4</v>
      </c>
      <c r="B730" s="2" t="s">
        <v>2060</v>
      </c>
      <c r="C730" s="2" t="s">
        <v>2061</v>
      </c>
      <c r="D730" s="2" t="s">
        <v>13</v>
      </c>
      <c r="E730" s="2" t="s">
        <v>14</v>
      </c>
      <c r="F730" s="2" t="s">
        <v>15</v>
      </c>
      <c r="G730" s="2" t="s">
        <v>654</v>
      </c>
      <c r="H730" s="2" t="s">
        <v>83</v>
      </c>
      <c r="I730" s="2" t="str">
        <f ca="1">IFERROR(__xludf.DUMMYFUNCTION("GOOGLETRANSLATE(C730,""fr"",""en"")"),"I am completely satisfied with the Direct Insurance service.
The prices are reasonable. I think good drivers should have an additional bonus.")</f>
        <v>I am completely satisfied with the Direct Insurance service.
The prices are reasonable. I think good drivers should have an additional bonus.</v>
      </c>
    </row>
    <row r="731" spans="1:9" ht="15.75" customHeight="1" x14ac:dyDescent="0.3">
      <c r="A731" s="2">
        <v>4</v>
      </c>
      <c r="B731" s="2" t="s">
        <v>2062</v>
      </c>
      <c r="C731" s="2" t="s">
        <v>2063</v>
      </c>
      <c r="D731" s="2" t="s">
        <v>28</v>
      </c>
      <c r="E731" s="2" t="s">
        <v>14</v>
      </c>
      <c r="F731" s="2" t="s">
        <v>15</v>
      </c>
      <c r="G731" s="2" t="s">
        <v>1716</v>
      </c>
      <c r="H731" s="2" t="s">
        <v>83</v>
      </c>
      <c r="I731" s="2" t="str">
        <f ca="1">IFERROR(__xludf.DUMMYFUNCTION("GOOGLETRANSLATE(C731,""fr"",""en"")"),"I am satisfied with the service and the price that seems correct to me. The telephone reception was also very good and the advice was good. thank you")</f>
        <v>I am satisfied with the service and the price that seems correct to me. The telephone reception was also very good and the advice was good. thank you</v>
      </c>
    </row>
    <row r="732" spans="1:9" ht="15.75" customHeight="1" x14ac:dyDescent="0.3">
      <c r="A732" s="2">
        <v>4</v>
      </c>
      <c r="B732" s="2" t="s">
        <v>2064</v>
      </c>
      <c r="C732" s="2" t="s">
        <v>2065</v>
      </c>
      <c r="D732" s="2" t="s">
        <v>13</v>
      </c>
      <c r="E732" s="2" t="s">
        <v>14</v>
      </c>
      <c r="F732" s="2" t="s">
        <v>15</v>
      </c>
      <c r="G732" s="2" t="s">
        <v>2066</v>
      </c>
      <c r="H732" s="2" t="s">
        <v>286</v>
      </c>
      <c r="I732" s="2" t="str">
        <f ca="1">IFERROR(__xludf.DUMMYFUNCTION("GOOGLETRANSLATE(C732,""fr"",""en"")"),"I have been a customer since 2009 no worries file always well followed in the event of a claim or others I am fully satisfied with direct insurance I highly recommend")</f>
        <v>I have been a customer since 2009 no worries file always well followed in the event of a claim or others I am fully satisfied with direct insurance I highly recommend</v>
      </c>
    </row>
    <row r="733" spans="1:9" ht="15.75" customHeight="1" x14ac:dyDescent="0.3">
      <c r="A733" s="2">
        <v>5</v>
      </c>
      <c r="B733" s="2" t="s">
        <v>2067</v>
      </c>
      <c r="C733" s="2" t="s">
        <v>2068</v>
      </c>
      <c r="D733" s="2" t="s">
        <v>13</v>
      </c>
      <c r="E733" s="2" t="s">
        <v>14</v>
      </c>
      <c r="F733" s="2" t="s">
        <v>15</v>
      </c>
      <c r="G733" s="2" t="s">
        <v>420</v>
      </c>
      <c r="H733" s="2" t="s">
        <v>17</v>
      </c>
      <c r="I733" s="2" t="str">
        <f ca="1">IFERROR(__xludf.DUMMYFUNCTION("GOOGLETRANSLATE(C733,""fr"",""en"")"),"Satisfied with the various insurance solutions offered
Ease of registration and termination
The guarantees are well explained
Very fast light limpid
The prices are very attractive
")</f>
        <v xml:space="preserve">Satisfied with the various insurance solutions offered
Ease of registration and termination
The guarantees are well explained
Very fast light limpid
The prices are very attractive
</v>
      </c>
    </row>
    <row r="734" spans="1:9" ht="15.75" customHeight="1" x14ac:dyDescent="0.3">
      <c r="A734" s="2">
        <v>3</v>
      </c>
      <c r="B734" s="2" t="s">
        <v>2069</v>
      </c>
      <c r="C734" s="2" t="s">
        <v>2070</v>
      </c>
      <c r="D734" s="2" t="s">
        <v>322</v>
      </c>
      <c r="E734" s="2" t="s">
        <v>14</v>
      </c>
      <c r="F734" s="2" t="s">
        <v>15</v>
      </c>
      <c r="G734" s="2" t="s">
        <v>818</v>
      </c>
      <c r="H734" s="2" t="s">
        <v>328</v>
      </c>
      <c r="I734" s="2" t="str">
        <f ca="1">IFERROR(__xludf.DUMMYFUNCTION("GOOGLETRANSLATE(C734,""fr"",""en"")"),"Very short and very disappointing experience. Don't make my mistake and run away! I started steps with this insurance in order to save money.
I paid for several months then impossible to have a contract. Having several hundred euros of engaged, I make a "&amp;"fraud file with my bank not to make.")</f>
        <v>Very short and very disappointing experience. Don't make my mistake and run away! I started steps with this insurance in order to save money.
I paid for several months then impossible to have a contract. Having several hundred euros of engaged, I make a fraud file with my bank not to make.</v>
      </c>
    </row>
    <row r="735" spans="1:9" ht="15.75" customHeight="1" x14ac:dyDescent="0.3">
      <c r="A735" s="2">
        <v>5</v>
      </c>
      <c r="B735" s="2" t="s">
        <v>2071</v>
      </c>
      <c r="C735" s="2" t="s">
        <v>2072</v>
      </c>
      <c r="D735" s="2" t="s">
        <v>197</v>
      </c>
      <c r="E735" s="2" t="s">
        <v>81</v>
      </c>
      <c r="F735" s="2" t="s">
        <v>15</v>
      </c>
      <c r="G735" s="2" t="s">
        <v>2073</v>
      </c>
      <c r="H735" s="2" t="s">
        <v>17</v>
      </c>
      <c r="I735" s="2" t="str">
        <f ca="1">IFERROR(__xludf.DUMMYFUNCTION("GOOGLETRANSLATE(C735,""fr"",""en"")"),"I am satisfied with the welcome from AMV to ensure my scooter, hoping to continue to trust you at length, the pleasure of your support.")</f>
        <v>I am satisfied with the welcome from AMV to ensure my scooter, hoping to continue to trust you at length, the pleasure of your support.</v>
      </c>
    </row>
    <row r="736" spans="1:9" ht="15.75" customHeight="1" x14ac:dyDescent="0.3">
      <c r="A736" s="2">
        <v>4</v>
      </c>
      <c r="B736" s="2" t="s">
        <v>2074</v>
      </c>
      <c r="C736" s="2" t="s">
        <v>2075</v>
      </c>
      <c r="D736" s="2" t="s">
        <v>28</v>
      </c>
      <c r="E736" s="2" t="s">
        <v>14</v>
      </c>
      <c r="F736" s="2" t="s">
        <v>15</v>
      </c>
      <c r="G736" s="2" t="s">
        <v>1869</v>
      </c>
      <c r="H736" s="2" t="s">
        <v>111</v>
      </c>
      <c r="I736" s="2" t="str">
        <f ca="1">IFERROR(__xludf.DUMMYFUNCTION("GOOGLETRANSLATE(C736,""fr"",""en"")"),"I recommend this personal and very pleasant personal insurance answered all my questions and offered me a formula suitable for my search")</f>
        <v>I recommend this personal and very pleasant personal insurance answered all my questions and offered me a formula suitable for my search</v>
      </c>
    </row>
    <row r="737" spans="1:9" ht="15.75" customHeight="1" x14ac:dyDescent="0.3">
      <c r="A737" s="2">
        <v>4</v>
      </c>
      <c r="B737" s="2" t="s">
        <v>2076</v>
      </c>
      <c r="C737" s="2" t="s">
        <v>2077</v>
      </c>
      <c r="D737" s="2" t="s">
        <v>13</v>
      </c>
      <c r="E737" s="2" t="s">
        <v>14</v>
      </c>
      <c r="F737" s="2" t="s">
        <v>15</v>
      </c>
      <c r="G737" s="2" t="s">
        <v>167</v>
      </c>
      <c r="H737" s="2" t="s">
        <v>17</v>
      </c>
      <c r="I737" s="2" t="str">
        <f ca="1">IFERROR(__xludf.DUMMYFUNCTION("GOOGLETRANSLATE(C737,""fr"",""en"")"),"Super and easy to use
Practical and reliable and reliable
Quick at the intervention level
CONVIVITY on the phone I recommend unbeatable price")</f>
        <v>Super and easy to use
Practical and reliable and reliable
Quick at the intervention level
CONVIVITY on the phone I recommend unbeatable price</v>
      </c>
    </row>
    <row r="738" spans="1:9" ht="15.75" customHeight="1" x14ac:dyDescent="0.3">
      <c r="A738" s="2">
        <v>3</v>
      </c>
      <c r="B738" s="2" t="s">
        <v>2078</v>
      </c>
      <c r="C738" s="2" t="s">
        <v>2079</v>
      </c>
      <c r="D738" s="2" t="s">
        <v>13</v>
      </c>
      <c r="E738" s="2" t="s">
        <v>14</v>
      </c>
      <c r="F738" s="2" t="s">
        <v>15</v>
      </c>
      <c r="G738" s="2" t="s">
        <v>1243</v>
      </c>
      <c r="H738" s="2" t="s">
        <v>448</v>
      </c>
      <c r="I738" s="2" t="str">
        <f ca="1">IFERROR(__xludf.DUMMYFUNCTION("GOOGLETRANSLATE(C738,""fr"",""en"")"),"Cheap !!!!! I had a non -responsible disaster, car less than a year old. Complete refund. After threat and insistence, I was reimbursed after 6 months. As soon as we come across my file the line cuts ... weird ...")</f>
        <v>Cheap !!!!! I had a non -responsible disaster, car less than a year old. Complete refund. After threat and insistence, I was reimbursed after 6 months. As soon as we come across my file the line cuts ... weird ...</v>
      </c>
    </row>
    <row r="739" spans="1:9" ht="15.75" customHeight="1" x14ac:dyDescent="0.3">
      <c r="A739" s="2">
        <v>1</v>
      </c>
      <c r="B739" s="2" t="s">
        <v>2080</v>
      </c>
      <c r="C739" s="2" t="s">
        <v>2081</v>
      </c>
      <c r="D739" s="2" t="s">
        <v>326</v>
      </c>
      <c r="E739" s="2" t="s">
        <v>14</v>
      </c>
      <c r="F739" s="2" t="s">
        <v>15</v>
      </c>
      <c r="G739" s="2" t="s">
        <v>2082</v>
      </c>
      <c r="H739" s="2" t="s">
        <v>1034</v>
      </c>
      <c r="I739" s="2" t="str">
        <f ca="1">IFERROR(__xludf.DUMMYFUNCTION("GOOGLETRANSLATE(C739,""fr"",""en"")"),"Very bad insurance company. Do not subscribe to them ... their part of the contributions, nothing. Insurer to avoid absolutely! Disrespectful insurance of its good customers. I strongly advise against this insurance. I have never seen that.")</f>
        <v>Very bad insurance company. Do not subscribe to them ... their part of the contributions, nothing. Insurer to avoid absolutely! Disrespectful insurance of its good customers. I strongly advise against this insurance. I have never seen that.</v>
      </c>
    </row>
    <row r="740" spans="1:9" ht="15.75" customHeight="1" x14ac:dyDescent="0.3">
      <c r="A740" s="2">
        <v>2</v>
      </c>
      <c r="B740" s="2" t="s">
        <v>2083</v>
      </c>
      <c r="C740" s="2" t="s">
        <v>2084</v>
      </c>
      <c r="D740" s="2" t="s">
        <v>322</v>
      </c>
      <c r="E740" s="2" t="s">
        <v>14</v>
      </c>
      <c r="F740" s="2" t="s">
        <v>15</v>
      </c>
      <c r="G740" s="2" t="s">
        <v>2085</v>
      </c>
      <c r="H740" s="2" t="s">
        <v>216</v>
      </c>
      <c r="I740" s="2" t="str">
        <f ca="1">IFERROR(__xludf.DUMMYFUNCTION("GOOGLETRANSLATE(C740,""fr"",""en"")"),"I signed an insurance contract on the site, settled the deposit requested more than 12 days ago and there interstellar silence.
No email to provide a file number, no telephone contact, no possibility of consulting the advancement of the file, it is impos"&amp;"sible to have a manager without going through a surcharged number")</f>
        <v>I signed an insurance contract on the site, settled the deposit requested more than 12 days ago and there interstellar silence.
No email to provide a file number, no telephone contact, no possibility of consulting the advancement of the file, it is impossible to have a manager without going through a surcharged number</v>
      </c>
    </row>
    <row r="741" spans="1:9" ht="15.75" customHeight="1" x14ac:dyDescent="0.3">
      <c r="A741" s="2">
        <v>4</v>
      </c>
      <c r="B741" s="2" t="s">
        <v>2086</v>
      </c>
      <c r="C741" s="2" t="s">
        <v>2087</v>
      </c>
      <c r="D741" s="2" t="s">
        <v>13</v>
      </c>
      <c r="E741" s="2" t="s">
        <v>14</v>
      </c>
      <c r="F741" s="2" t="s">
        <v>15</v>
      </c>
      <c r="G741" s="2" t="s">
        <v>17</v>
      </c>
      <c r="H741" s="2" t="s">
        <v>17</v>
      </c>
      <c r="I741" s="2" t="str">
        <f ca="1">IFERROR(__xludf.DUMMYFUNCTION("GOOGLETRANSLATE(C741,""fr"",""en"")"),"I am very satisfied with this service and I also advise my loved ones to subscribe, Direct Insurance remains the number 1 of insurance, the low prices.")</f>
        <v>I am very satisfied with this service and I also advise my loved ones to subscribe, Direct Insurance remains the number 1 of insurance, the low prices.</v>
      </c>
    </row>
    <row r="742" spans="1:9" ht="15.75" customHeight="1" x14ac:dyDescent="0.3">
      <c r="A742" s="2">
        <v>1</v>
      </c>
      <c r="B742" s="2" t="s">
        <v>2088</v>
      </c>
      <c r="C742" s="2" t="s">
        <v>2089</v>
      </c>
      <c r="D742" s="2" t="s">
        <v>1008</v>
      </c>
      <c r="E742" s="2" t="s">
        <v>101</v>
      </c>
      <c r="F742" s="2" t="s">
        <v>15</v>
      </c>
      <c r="G742" s="2" t="s">
        <v>2090</v>
      </c>
      <c r="H742" s="2" t="s">
        <v>248</v>
      </c>
      <c r="I742" s="2" t="str">
        <f ca="1">IFERROR(__xludf.DUMMYFUNCTION("GOOGLETRANSLATE(C742,""fr"",""en"")"),"Hello, I am totally desperate from the attitude of Metlife, I am very unhappy, I do not even give a star to this insurance. It is the worst insurer known in my life, it is catastrophic. It is absolutely impossible to reach. I have been insured since April"&amp;" 5, 2019, but my bank had not yet accepted the change of insurance. I had a positive response from December 5, 2019 (letter I received on November 25). I sent all the documents on November 27 to request the endorsement of my contract (with the start of th"&amp;"e contract on December 5) and also by requesting the reimbursement of premiums paid from May 5 to November 5. I did not have an answer at all, I relaunched several times the email at dip@metlife.fr even of several email addresses. Finally, I had an answer"&amp;" that on May 12, 2020 (6 months after), with my contract endorsement which started on December 5 and I received an email saying that I will be reimbursed the total I paid in More than May 5 to November 5, but they reimbursed me for a 30% of what the email"&amp;" said. I sent an email to ask why I did not receive the total amount and obviously not at all.
In addition, during confinement, my bank asked me for a letter of agreement from insurance to postpone the monthly payment of my credit since I was in partia"&amp;"l unemployment. I sent an email to dip@metlife.fr and also to management.sinistre@metlife.fr and still without response. At the time I needed the assurance that I pay every month and I did not manage to postpone my monthly payments. I wonder why I must co"&amp;"ntinue to pay insurance that is not there in the moment I need. What is it for this insurance to have ??? I regret that I have changed insurance. Aside that I do not recover my money, I do not count with the profits of having insurance in case I cannot pa"&amp;"y my credit.
If I could not put stars, I would not have put one. It is anything this insurance. I had a disastrous experience.")</f>
        <v>Hello, I am totally desperate from the attitude of Metlife, I am very unhappy, I do not even give a star to this insurance. It is the worst insurer known in my life, it is catastrophic. It is absolutely impossible to reach. I have been insured since April 5, 2019, but my bank had not yet accepted the change of insurance. I had a positive response from December 5, 2019 (letter I received on November 25). I sent all the documents on November 27 to request the endorsement of my contract (with the start of the contract on December 5) and also by requesting the reimbursement of premiums paid from May 5 to November 5. I did not have an answer at all, I relaunched several times the email at dip@metlife.fr even of several email addresses. Finally, I had an answer that on May 12, 2020 (6 months after), with my contract endorsement which started on December 5 and I received an email saying that I will be reimbursed the total I paid in More than May 5 to November 5, but they reimbursed me for a 30% of what the email said. I sent an email to ask why I did not receive the total amount and obviously not at all.
In addition, during confinement, my bank asked me for a letter of agreement from insurance to postpone the monthly payment of my credit since I was in partial unemployment. I sent an email to dip@metlife.fr and also to management.sinistre@metlife.fr and still without response. At the time I needed the assurance that I pay every month and I did not manage to postpone my monthly payments. I wonder why I must continue to pay insurance that is not there in the moment I need. What is it for this insurance to have ??? I regret that I have changed insurance. Aside that I do not recover my money, I do not count with the profits of having insurance in case I cannot pay my credit.
If I could not put stars, I would not have put one. It is anything this insurance. I had a disastrous experience.</v>
      </c>
    </row>
    <row r="743" spans="1:9" ht="15.75" customHeight="1" x14ac:dyDescent="0.3">
      <c r="A743" s="2">
        <v>5</v>
      </c>
      <c r="B743" s="2" t="s">
        <v>2091</v>
      </c>
      <c r="C743" s="2" t="s">
        <v>2092</v>
      </c>
      <c r="D743" s="2" t="s">
        <v>197</v>
      </c>
      <c r="E743" s="2" t="s">
        <v>81</v>
      </c>
      <c r="F743" s="2" t="s">
        <v>15</v>
      </c>
      <c r="G743" s="2" t="s">
        <v>56</v>
      </c>
      <c r="H743" s="2" t="s">
        <v>57</v>
      </c>
      <c r="I743" s="2" t="str">
        <f ca="1">IFERROR(__xludf.DUMMYFUNCTION("GOOGLETRANSLATE(C743,""fr"",""en"")"),"Serious and competent staff
Reasonable price
Quick file to make, even for insurance changes, green card a little long to receive but it remains reasonable")</f>
        <v>Serious and competent staff
Reasonable price
Quick file to make, even for insurance changes, green card a little long to receive but it remains reasonable</v>
      </c>
    </row>
    <row r="744" spans="1:9" ht="15.75" customHeight="1" x14ac:dyDescent="0.3">
      <c r="A744" s="2">
        <v>3</v>
      </c>
      <c r="B744" s="2" t="s">
        <v>2093</v>
      </c>
      <c r="C744" s="2" t="s">
        <v>2094</v>
      </c>
      <c r="D744" s="2" t="s">
        <v>601</v>
      </c>
      <c r="E744" s="2" t="s">
        <v>39</v>
      </c>
      <c r="F744" s="2" t="s">
        <v>15</v>
      </c>
      <c r="G744" s="2" t="s">
        <v>716</v>
      </c>
      <c r="H744" s="2" t="s">
        <v>25</v>
      </c>
      <c r="I744" s="2" t="str">
        <f ca="1">IFERROR(__xludf.DUMMYFUNCTION("GOOGLETRANSLATE(C744,""fr"",""en"")"),"Hello ,
I would like to thank the generation advisor. His knowledge of the software and his kindness allowed us to communicate and solve my problem.
Super welcome and very human advisor.
Cordially.")</f>
        <v>Hello ,
I would like to thank the generation advisor. His knowledge of the software and his kindness allowed us to communicate and solve my problem.
Super welcome and very human advisor.
Cordially.</v>
      </c>
    </row>
    <row r="745" spans="1:9" ht="15.75" customHeight="1" x14ac:dyDescent="0.3">
      <c r="A745" s="2">
        <v>1</v>
      </c>
      <c r="B745" s="2" t="s">
        <v>2095</v>
      </c>
      <c r="C745" s="2" t="s">
        <v>2096</v>
      </c>
      <c r="D745" s="2" t="s">
        <v>623</v>
      </c>
      <c r="E745" s="2" t="s">
        <v>101</v>
      </c>
      <c r="F745" s="2" t="s">
        <v>15</v>
      </c>
      <c r="G745" s="2" t="s">
        <v>1454</v>
      </c>
      <c r="H745" s="2" t="s">
        <v>286</v>
      </c>
      <c r="I745" s="2" t="str">
        <f ca="1">IFERROR(__xludf.DUMMYFUNCTION("GOOGLETRANSLATE(C745,""fr"",""en"")"),"There is no word to describe this insurance that robbed customers ... They saved time to avoid repaying me. Unemployed since January 2020, I spent my time returning papers they already had or they asked me for papers that had nothing to do with my request"&amp;" ... The covid and the confinement on the large back. In short, no refund in view because I have finished paying my car loan so strangely they can do nothing for me ... What a lack of respect, I paid 5 years a loan insurance ...
Lamentable")</f>
        <v>There is no word to describe this insurance that robbed customers ... They saved time to avoid repaying me. Unemployed since January 2020, I spent my time returning papers they already had or they asked me for papers that had nothing to do with my request ... The covid and the confinement on the large back. In short, no refund in view because I have finished paying my car loan so strangely they can do nothing for me ... What a lack of respect, I paid 5 years a loan insurance ...
Lamentable</v>
      </c>
    </row>
    <row r="746" spans="1:9" ht="15.75" customHeight="1" x14ac:dyDescent="0.3">
      <c r="A746" s="2">
        <v>4</v>
      </c>
      <c r="B746" s="2" t="s">
        <v>2097</v>
      </c>
      <c r="C746" s="2" t="s">
        <v>2098</v>
      </c>
      <c r="D746" s="2" t="s">
        <v>13</v>
      </c>
      <c r="E746" s="2" t="s">
        <v>14</v>
      </c>
      <c r="F746" s="2" t="s">
        <v>15</v>
      </c>
      <c r="G746" s="2" t="s">
        <v>2099</v>
      </c>
      <c r="H746" s="2" t="s">
        <v>17</v>
      </c>
      <c r="I746" s="2" t="str">
        <f ca="1">IFERROR(__xludf.DUMMYFUNCTION("GOOGLETRANSLATE(C746,""fr"",""en"")"),"To see in the future, first contract with you I could only really judge with a little hindsight. The prices seem very reasonable, but I could not know that you are as good as a physical insurer as if one day I need you.")</f>
        <v>To see in the future, first contract with you I could only really judge with a little hindsight. The prices seem very reasonable, but I could not know that you are as good as a physical insurer as if one day I need you.</v>
      </c>
    </row>
    <row r="747" spans="1:9" ht="15.75" customHeight="1" x14ac:dyDescent="0.3">
      <c r="A747" s="2">
        <v>1</v>
      </c>
      <c r="B747" s="2" t="s">
        <v>2100</v>
      </c>
      <c r="C747" s="2" t="s">
        <v>2101</v>
      </c>
      <c r="D747" s="2" t="s">
        <v>2102</v>
      </c>
      <c r="E747" s="2" t="s">
        <v>101</v>
      </c>
      <c r="F747" s="2" t="s">
        <v>15</v>
      </c>
      <c r="G747" s="2" t="s">
        <v>615</v>
      </c>
      <c r="H747" s="2" t="s">
        <v>25</v>
      </c>
      <c r="I747" s="2" t="str">
        <f ca="1">IFERROR(__xludf.DUMMYFUNCTION("GOOGLETRANSLATE(C747,""fr"",""en"")"),"Too bad we can't put 0, following big health seeds, insurance no longer takes care of because my husband ""is consolidated"" the joke after an artrodese operation misses painful pain an impossible standing more than 1 hour In a row, for their experts all "&amp;"is well, he can no longer resume his job according to their expert incapacity to resume his customary rate incapacity 100%, on another profession 50% despite that he does not compensate anything because he can exercise a profession of surveillance surveil"&amp;"lance !!!!!! dixit the expert report of who makes fun of it, they wait although he puts a ball because yes he is at the end of the obvious physical pain is added a very big depression. I would like the See these insurancers after 3 years to suffer physica"&amp;"lly night and day not to sleep on a decent night, our life stopped following this accident more out of the way, more vacation, living with someone who suffers permanently and far from being obvious the whole family is impact é. A advice run away to flee. "&amp;"I specify that I have always been at the CMB all my accounts and insurance are there, my father was a chiter worked there. What disappointment. more listening. A advice run away.")</f>
        <v>Too bad we can't put 0, following big health seeds, insurance no longer takes care of because my husband "is consolidated" the joke after an artrodese operation misses painful pain an impossible standing more than 1 hour In a row, for their experts all is well, he can no longer resume his job according to their expert incapacity to resume his customary rate incapacity 100%, on another profession 50% despite that he does not compensate anything because he can exercise a profession of surveillance surveillance !!!!!! dixit the expert report of who makes fun of it, they wait although he puts a ball because yes he is at the end of the obvious physical pain is added a very big depression. I would like the See these insurancers after 3 years to suffer physically night and day not to sleep on a decent night, our life stopped following this accident more out of the way, more vacation, living with someone who suffers permanently and far from being obvious the whole family is impact é. A advice run away to flee. I specify that I have always been at the CMB all my accounts and insurance are there, my father was a chiter worked there. What disappointment. more listening. A advice run away.</v>
      </c>
    </row>
    <row r="748" spans="1:9" ht="15.75" customHeight="1" x14ac:dyDescent="0.3">
      <c r="A748" s="2">
        <v>5</v>
      </c>
      <c r="B748" s="2" t="s">
        <v>2103</v>
      </c>
      <c r="C748" s="2" t="s">
        <v>2104</v>
      </c>
      <c r="D748" s="2" t="s">
        <v>13</v>
      </c>
      <c r="E748" s="2" t="s">
        <v>14</v>
      </c>
      <c r="F748" s="2" t="s">
        <v>15</v>
      </c>
      <c r="G748" s="2" t="s">
        <v>748</v>
      </c>
      <c r="H748" s="2" t="s">
        <v>83</v>
      </c>
      <c r="I748" s="2" t="str">
        <f ca="1">IFERROR(__xludf.DUMMYFUNCTION("GOOGLETRANSLATE(C748,""fr"",""en"")"),"I am very satisfied with the signed contracts, the guaranteed report and price, and the reception the sympathy of the information and the patience of the advisor.")</f>
        <v>I am very satisfied with the signed contracts, the guaranteed report and price, and the reception the sympathy of the information and the patience of the advisor.</v>
      </c>
    </row>
    <row r="749" spans="1:9" ht="15.75" customHeight="1" x14ac:dyDescent="0.3">
      <c r="A749" s="2">
        <v>5</v>
      </c>
      <c r="B749" s="2" t="s">
        <v>2105</v>
      </c>
      <c r="C749" s="2" t="s">
        <v>2106</v>
      </c>
      <c r="D749" s="2" t="s">
        <v>493</v>
      </c>
      <c r="E749" s="2" t="s">
        <v>101</v>
      </c>
      <c r="F749" s="2" t="s">
        <v>15</v>
      </c>
      <c r="G749" s="2" t="s">
        <v>1075</v>
      </c>
      <c r="H749" s="2" t="s">
        <v>71</v>
      </c>
      <c r="I749" s="2" t="str">
        <f ca="1">IFERROR(__xludf.DUMMYFUNCTION("GOOGLETRANSLATE(C749,""fr"",""en"")"),"Quick contact, reminder by quick support, advisor remains attentive if necessary
Best price proposals share the bank's proposal
")</f>
        <v xml:space="preserve">Quick contact, reminder by quick support, advisor remains attentive if necessary
Best price proposals share the bank's proposal
</v>
      </c>
    </row>
    <row r="750" spans="1:9" ht="15.75" customHeight="1" x14ac:dyDescent="0.3">
      <c r="A750" s="2">
        <v>1</v>
      </c>
      <c r="B750" s="2" t="s">
        <v>2107</v>
      </c>
      <c r="C750" s="2" t="s">
        <v>2108</v>
      </c>
      <c r="D750" s="2" t="s">
        <v>13</v>
      </c>
      <c r="E750" s="2" t="s">
        <v>14</v>
      </c>
      <c r="F750" s="2" t="s">
        <v>15</v>
      </c>
      <c r="G750" s="2" t="s">
        <v>2109</v>
      </c>
      <c r="H750" s="2" t="s">
        <v>1213</v>
      </c>
      <c r="I750" s="2" t="str">
        <f ca="1">IFERROR(__xludf.DUMMYFUNCTION("GOOGLETRANSLATE(C750,""fr"",""en"")"),"Hello,
I was insulted by a person telling me that I did not know how to express myself, because she asked me for my mature contract, but she told me about 2016. She finally hung me over. Shameful, I change insurer immediately.
")</f>
        <v xml:space="preserve">Hello,
I was insulted by a person telling me that I did not know how to express myself, because she asked me for my mature contract, but she told me about 2016. She finally hung me over. Shameful, I change insurer immediately.
</v>
      </c>
    </row>
    <row r="751" spans="1:9" ht="15.75" customHeight="1" x14ac:dyDescent="0.3">
      <c r="A751" s="2">
        <v>1</v>
      </c>
      <c r="B751" s="2" t="s">
        <v>2110</v>
      </c>
      <c r="C751" s="2" t="s">
        <v>2111</v>
      </c>
      <c r="D751" s="2" t="s">
        <v>28</v>
      </c>
      <c r="E751" s="2" t="s">
        <v>14</v>
      </c>
      <c r="F751" s="2" t="s">
        <v>15</v>
      </c>
      <c r="G751" s="2" t="s">
        <v>895</v>
      </c>
      <c r="H751" s="2" t="s">
        <v>83</v>
      </c>
      <c r="I751" s="2" t="str">
        <f ca="1">IFERROR(__xludf.DUMMYFUNCTION("GOOGLETRANSLATE(C751,""fr"",""en"")"),"Never need it when you need it to flee! No help in the event of a claim No help in the event of an excessive price no customer service more than a month to obtain an unacceptable refund")</f>
        <v>Never need it when you need it to flee! No help in the event of a claim No help in the event of an excessive price no customer service more than a month to obtain an unacceptable refund</v>
      </c>
    </row>
    <row r="752" spans="1:9" ht="15.75" customHeight="1" x14ac:dyDescent="0.3">
      <c r="A752" s="2">
        <v>2</v>
      </c>
      <c r="B752" s="2" t="s">
        <v>2112</v>
      </c>
      <c r="C752" s="2" t="s">
        <v>2113</v>
      </c>
      <c r="D752" s="2" t="s">
        <v>28</v>
      </c>
      <c r="E752" s="2" t="s">
        <v>14</v>
      </c>
      <c r="F752" s="2" t="s">
        <v>15</v>
      </c>
      <c r="G752" s="2" t="s">
        <v>2114</v>
      </c>
      <c r="H752" s="2" t="s">
        <v>133</v>
      </c>
      <c r="I752" s="2" t="str">
        <f ca="1">IFERROR(__xludf.DUMMYFUNCTION("GOOGLETRANSLATE(C752,""fr"",""en"")"),"Via the Assurland site, I discovered that this insurance took charge of the people unjustized and having difficulties in being able to reassure themselves, which was my case. Responsible accident with the consequences that follow (loss of point, fine, sus"&amp;"pension of driving license with compulsory medical visits). I filled my file, provided all the documents necessary for the constitution of this one, paid my subscription in one go, the two parties signed. Everything was ok.
I receive an email today telli"&amp;"ng me that they had decided to terminate me in accordance with article L 113-4, because my license has a validity duration !! ?? It is a responsible accident with driving license suspension! A second medical visit is compulsory for the final obtaining of "&amp;"his driving license ...
Insurance which in no way covers people who had a responsible accident.
I strongly advise against this insurance.")</f>
        <v>Via the Assurland site, I discovered that this insurance took charge of the people unjustized and having difficulties in being able to reassure themselves, which was my case. Responsible accident with the consequences that follow (loss of point, fine, suspension of driving license with compulsory medical visits). I filled my file, provided all the documents necessary for the constitution of this one, paid my subscription in one go, the two parties signed. Everything was ok.
I receive an email today telling me that they had decided to terminate me in accordance with article L 113-4, because my license has a validity duration !! ?? It is a responsible accident with driving license suspension! A second medical visit is compulsory for the final obtaining of his driving license ...
Insurance which in no way covers people who had a responsible accident.
I strongly advise against this insurance.</v>
      </c>
    </row>
    <row r="753" spans="1:9" ht="15.75" customHeight="1" x14ac:dyDescent="0.3">
      <c r="A753" s="2">
        <v>3</v>
      </c>
      <c r="B753" s="2" t="s">
        <v>2115</v>
      </c>
      <c r="C753" s="2" t="s">
        <v>2116</v>
      </c>
      <c r="D753" s="2" t="s">
        <v>65</v>
      </c>
      <c r="E753" s="2" t="s">
        <v>14</v>
      </c>
      <c r="F753" s="2" t="s">
        <v>15</v>
      </c>
      <c r="G753" s="2" t="s">
        <v>2117</v>
      </c>
      <c r="H753" s="2" t="s">
        <v>354</v>
      </c>
      <c r="I753" s="2" t="str">
        <f ca="1">IFERROR(__xludf.DUMMYFUNCTION("GOOGLETRANSLATE(C753,""fr"",""en"")"),"You have to be vigilant each year on price increases and do not hesitate to claim an adjustment.
That said, I am satisfied with the level of reimbursement and the speed of payment.
The website is not very intuitive when you also have investments at Alli"&amp;"anz but it is a matter of habit.
The agency employees are friendly and attentive.")</f>
        <v>You have to be vigilant each year on price increases and do not hesitate to claim an adjustment.
That said, I am satisfied with the level of reimbursement and the speed of payment.
The website is not very intuitive when you also have investments at Allianz but it is a matter of habit.
The agency employees are friendly and attentive.</v>
      </c>
    </row>
    <row r="754" spans="1:9" ht="15.75" customHeight="1" x14ac:dyDescent="0.3">
      <c r="A754" s="2">
        <v>3</v>
      </c>
      <c r="B754" s="2" t="s">
        <v>2118</v>
      </c>
      <c r="C754" s="2" t="s">
        <v>2119</v>
      </c>
      <c r="D754" s="2" t="s">
        <v>664</v>
      </c>
      <c r="E754" s="2" t="s">
        <v>39</v>
      </c>
      <c r="F754" s="2" t="s">
        <v>15</v>
      </c>
      <c r="G754" s="2" t="s">
        <v>2120</v>
      </c>
      <c r="H754" s="2" t="s">
        <v>236</v>
      </c>
      <c r="I754" s="2" t="str">
        <f ca="1">IFERROR(__xludf.DUMMYFUNCTION("GOOGLETRANSLATE(C754,""fr"",""en"")"),"Interesting proposition but a little late, the revival could have been carried out earlier.
Otherwise the price is correct and the amount of reimbursements seem advantageous.")</f>
        <v>Interesting proposition but a little late, the revival could have been carried out earlier.
Otherwise the price is correct and the amount of reimbursements seem advantageous.</v>
      </c>
    </row>
    <row r="755" spans="1:9" ht="15.75" customHeight="1" x14ac:dyDescent="0.3">
      <c r="A755" s="2">
        <v>3</v>
      </c>
      <c r="B755" s="2" t="s">
        <v>2121</v>
      </c>
      <c r="C755" s="2" t="s">
        <v>2122</v>
      </c>
      <c r="D755" s="2" t="s">
        <v>13</v>
      </c>
      <c r="E755" s="2" t="s">
        <v>14</v>
      </c>
      <c r="F755" s="2" t="s">
        <v>15</v>
      </c>
      <c r="G755" s="2" t="s">
        <v>1829</v>
      </c>
      <c r="H755" s="2" t="s">
        <v>83</v>
      </c>
      <c r="I755" s="2" t="str">
        <f ca="1">IFERROR(__xludf.DUMMYFUNCTION("GOOGLETRANSLATE(C755,""fr"",""en"")"),"Compare the price of my insurance 4 years ago and today, for this same car with no claim, you will understand why I will change insurance")</f>
        <v>Compare the price of my insurance 4 years ago and today, for this same car with no claim, you will understand why I will change insurance</v>
      </c>
    </row>
    <row r="756" spans="1:9" ht="15.75" customHeight="1" x14ac:dyDescent="0.3">
      <c r="A756" s="2">
        <v>2</v>
      </c>
      <c r="B756" s="2" t="s">
        <v>2123</v>
      </c>
      <c r="C756" s="2" t="s">
        <v>2124</v>
      </c>
      <c r="D756" s="2" t="s">
        <v>33</v>
      </c>
      <c r="E756" s="2" t="s">
        <v>129</v>
      </c>
      <c r="F756" s="2" t="s">
        <v>15</v>
      </c>
      <c r="G756" s="2" t="s">
        <v>1274</v>
      </c>
      <c r="H756" s="2" t="s">
        <v>181</v>
      </c>
      <c r="I756" s="2" t="str">
        <f ca="1">IFERROR(__xludf.DUMMYFUNCTION("GOOGLETRANSLATE(C756,""fr"",""en"")"),"Sinitre Declare on July 14, 2019, since we have been anything impossible on November 13, no answer by email nothing and yet I transmitted a quote September 30, but no nothing to beat")</f>
        <v>Sinitre Declare on July 14, 2019, since we have been anything impossible on November 13, no answer by email nothing and yet I transmitted a quote September 30, but no nothing to beat</v>
      </c>
    </row>
    <row r="757" spans="1:9" ht="15.75" customHeight="1" x14ac:dyDescent="0.3">
      <c r="A757" s="2">
        <v>3</v>
      </c>
      <c r="B757" s="2" t="s">
        <v>2125</v>
      </c>
      <c r="C757" s="2" t="s">
        <v>2126</v>
      </c>
      <c r="D757" s="2" t="s">
        <v>28</v>
      </c>
      <c r="E757" s="2" t="s">
        <v>14</v>
      </c>
      <c r="F757" s="2" t="s">
        <v>15</v>
      </c>
      <c r="G757" s="2" t="s">
        <v>2127</v>
      </c>
      <c r="H757" s="2" t="s">
        <v>46</v>
      </c>
      <c r="I757" s="2" t="str">
        <f ca="1">IFERROR(__xludf.DUMMYFUNCTION("GOOGLETRANSLATE(C757,""fr"",""en"")"),"I am well satisfied due to service
Prices suit me
Simple and practical
Perfect telephone apelle
Listening to our requests
I would talk about it to my entourage
")</f>
        <v xml:space="preserve">I am well satisfied due to service
Prices suit me
Simple and practical
Perfect telephone apelle
Listening to our requests
I would talk about it to my entourage
</v>
      </c>
    </row>
    <row r="758" spans="1:9" ht="15.75" customHeight="1" x14ac:dyDescent="0.3">
      <c r="A758" s="2">
        <v>5</v>
      </c>
      <c r="B758" s="2" t="s">
        <v>2128</v>
      </c>
      <c r="C758" s="2" t="s">
        <v>2129</v>
      </c>
      <c r="D758" s="2" t="s">
        <v>28</v>
      </c>
      <c r="E758" s="2" t="s">
        <v>14</v>
      </c>
      <c r="F758" s="2" t="s">
        <v>15</v>
      </c>
      <c r="G758" s="2" t="s">
        <v>997</v>
      </c>
      <c r="H758" s="2" t="s">
        <v>389</v>
      </c>
      <c r="I758" s="2" t="str">
        <f ca="1">IFERROR(__xludf.DUMMYFUNCTION("GOOGLETRANSLATE(C758,""fr"",""en"")"),"Very professional and serious.
Respond to phone calls very quickly, very friendly service.
I recommend the eyes closed, whether we are young drivers or experienced prices are very attractive.
")</f>
        <v xml:space="preserve">Very professional and serious.
Respond to phone calls very quickly, very friendly service.
I recommend the eyes closed, whether we are young drivers or experienced prices are very attractive.
</v>
      </c>
    </row>
    <row r="759" spans="1:9" ht="15.75" customHeight="1" x14ac:dyDescent="0.3">
      <c r="A759" s="2">
        <v>1</v>
      </c>
      <c r="B759" s="2" t="s">
        <v>2130</v>
      </c>
      <c r="C759" s="2" t="s">
        <v>2131</v>
      </c>
      <c r="D759" s="2" t="s">
        <v>28</v>
      </c>
      <c r="E759" s="2" t="s">
        <v>14</v>
      </c>
      <c r="F759" s="2" t="s">
        <v>15</v>
      </c>
      <c r="G759" s="2" t="s">
        <v>2132</v>
      </c>
      <c r="H759" s="2" t="s">
        <v>108</v>
      </c>
      <c r="I759" s="2" t="str">
        <f ca="1">IFERROR(__xludf.DUMMYFUNCTION("GOOGLETRANSLATE(C759,""fr"",""en"")"),"A ""return within 5 working days"" which looks more like 15 working days for a broken mirror.
I contacted the insurance for a formula improvement and I was lied to explaining that by coverage any risk, the deductible applied only to the degates of my r"&amp;"esponsibility. This is false, if the tier is not identified (vandalism, theft, etc.) the franchise is to be paid. 700 € more, shame. I stop at the end of my contract, all want to take our money from us, and liars in addition.")</f>
        <v>A "return within 5 working days" which looks more like 15 working days for a broken mirror.
I contacted the insurance for a formula improvement and I was lied to explaining that by coverage any risk, the deductible applied only to the degates of my responsibility. This is false, if the tier is not identified (vandalism, theft, etc.) the franchise is to be paid. 700 € more, shame. I stop at the end of my contract, all want to take our money from us, and liars in addition.</v>
      </c>
    </row>
    <row r="760" spans="1:9" ht="15.75" customHeight="1" x14ac:dyDescent="0.3">
      <c r="A760" s="2">
        <v>1</v>
      </c>
      <c r="B760" s="2" t="s">
        <v>2133</v>
      </c>
      <c r="C760" s="2" t="s">
        <v>2134</v>
      </c>
      <c r="D760" s="2" t="s">
        <v>326</v>
      </c>
      <c r="E760" s="2" t="s">
        <v>129</v>
      </c>
      <c r="F760" s="2" t="s">
        <v>15</v>
      </c>
      <c r="G760" s="2" t="s">
        <v>395</v>
      </c>
      <c r="H760" s="2" t="s">
        <v>83</v>
      </c>
      <c r="I760" s="2" t="str">
        <f ca="1">IFERROR(__xludf.DUMMYFUNCTION("GOOGLETRANSLATE(C760,""fr"",""en"")"),"With my partner and our children we have almost all our insurance at AXA, we have never had a claim and this for decades. This day I communicate to them that my 50 -inch television which is 6 years old to start smoking. I must, have a repair quote do: pro"&amp;"blem, not being able to transport my TV, I have to bring a convenience store at my expense, the latter will have to make me a quote which must stew the origin of the failure. Either it is a problem of obsolescence (and I have nothing to do with anything) "&amp;"or it comes from a love at first sight or a overvoltage, and I am partially reimbursed with a deductible of 170 euros. Commercial gesture 0. Advice forget Axa, which I will do by changing all my insurance from this company.")</f>
        <v>With my partner and our children we have almost all our insurance at AXA, we have never had a claim and this for decades. This day I communicate to them that my 50 -inch television which is 6 years old to start smoking. I must, have a repair quote do: problem, not being able to transport my TV, I have to bring a convenience store at my expense, the latter will have to make me a quote which must stew the origin of the failure. Either it is a problem of obsolescence (and I have nothing to do with anything) or it comes from a love at first sight or a overvoltage, and I am partially reimbursed with a deductible of 170 euros. Commercial gesture 0. Advice forget Axa, which I will do by changing all my insurance from this company.</v>
      </c>
    </row>
    <row r="761" spans="1:9" ht="15.75" customHeight="1" x14ac:dyDescent="0.3">
      <c r="A761" s="2">
        <v>5</v>
      </c>
      <c r="B761" s="2" t="s">
        <v>2135</v>
      </c>
      <c r="C761" s="2" t="s">
        <v>2136</v>
      </c>
      <c r="D761" s="2" t="s">
        <v>13</v>
      </c>
      <c r="E761" s="2" t="s">
        <v>14</v>
      </c>
      <c r="F761" s="2" t="s">
        <v>15</v>
      </c>
      <c r="G761" s="2" t="s">
        <v>1488</v>
      </c>
      <c r="H761" s="2" t="s">
        <v>25</v>
      </c>
      <c r="I761" s="2" t="str">
        <f ca="1">IFERROR(__xludf.DUMMYFUNCTION("GOOGLETRANSLATE(C761,""fr"",""en"")"),"I am fully satisfied, both regarding my car insurance and a very friendly and professional reception accommodation
besides I sponsored my husband and my daughter
Keep going")</f>
        <v>I am fully satisfied, both regarding my car insurance and a very friendly and professional reception accommodation
besides I sponsored my husband and my daughter
Keep going</v>
      </c>
    </row>
    <row r="762" spans="1:9" ht="15.75" customHeight="1" x14ac:dyDescent="0.3">
      <c r="A762" s="2">
        <v>1</v>
      </c>
      <c r="B762" s="2" t="s">
        <v>2137</v>
      </c>
      <c r="C762" s="2" t="s">
        <v>2138</v>
      </c>
      <c r="D762" s="2" t="s">
        <v>310</v>
      </c>
      <c r="E762" s="2" t="s">
        <v>14</v>
      </c>
      <c r="F762" s="2" t="s">
        <v>15</v>
      </c>
      <c r="G762" s="2" t="s">
        <v>2127</v>
      </c>
      <c r="H762" s="2" t="s">
        <v>46</v>
      </c>
      <c r="I762" s="2" t="str">
        <f ca="1">IFERROR(__xludf.DUMMYFUNCTION("GOOGLETRANSLATE(C762,""fr"",""en"")"),"Please note Eurofil resilses you for no reason he terminated me with 50% bonuses over six years.
Just a hung no fault in a parking lot
Now I am relieved as a customer risk of finding insurance")</f>
        <v>Please note Eurofil resilses you for no reason he terminated me with 50% bonuses over six years.
Just a hung no fault in a parking lot
Now I am relieved as a customer risk of finding insurance</v>
      </c>
    </row>
    <row r="763" spans="1:9" ht="15.75" customHeight="1" x14ac:dyDescent="0.3">
      <c r="A763" s="2">
        <v>1</v>
      </c>
      <c r="B763" s="2" t="s">
        <v>2139</v>
      </c>
      <c r="C763" s="2" t="s">
        <v>2140</v>
      </c>
      <c r="D763" s="2" t="s">
        <v>322</v>
      </c>
      <c r="E763" s="2" t="s">
        <v>14</v>
      </c>
      <c r="F763" s="2" t="s">
        <v>15</v>
      </c>
      <c r="G763" s="2" t="s">
        <v>2141</v>
      </c>
      <c r="H763" s="2" t="s">
        <v>347</v>
      </c>
      <c r="I763" s="2" t="str">
        <f ca="1">IFERROR(__xludf.DUMMYFUNCTION("GOOGLETRANSLATE(C763,""fr"",""en"")"),"The proposed price is attractive only in 4 months I did not have any insurance certificate.")</f>
        <v>The proposed price is attractive only in 4 months I did not have any insurance certificate.</v>
      </c>
    </row>
    <row r="764" spans="1:9" ht="15.75" customHeight="1" x14ac:dyDescent="0.3">
      <c r="A764" s="2">
        <v>1</v>
      </c>
      <c r="B764" s="2" t="s">
        <v>2142</v>
      </c>
      <c r="C764" s="2" t="s">
        <v>2143</v>
      </c>
      <c r="D764" s="2" t="s">
        <v>55</v>
      </c>
      <c r="E764" s="2" t="s">
        <v>39</v>
      </c>
      <c r="F764" s="2" t="s">
        <v>15</v>
      </c>
      <c r="G764" s="2" t="s">
        <v>480</v>
      </c>
      <c r="H764" s="2" t="s">
        <v>46</v>
      </c>
      <c r="I764" s="2" t="str">
        <f ca="1">IFERROR(__xludf.DUMMYFUNCTION("GOOGLETRANSLATE(C764,""fr"",""en"")"),"Mandatory business mutual. I have kept it as a retirement but I saw changing. Multiples contacts to have simple reimbursements, study of poorly done quotes (forgotten to take into account that the doctor was optam), request for Certiction on honor that I "&amp;"had no other mutual insurance company (as if we were going to pay 2x 200 euros to be reimbursed by 10).
I strongly denounce it to all business committees and to all individuals")</f>
        <v>Mandatory business mutual. I have kept it as a retirement but I saw changing. Multiples contacts to have simple reimbursements, study of poorly done quotes (forgotten to take into account that the doctor was optam), request for Certiction on honor that I had no other mutual insurance company (as if we were going to pay 2x 200 euros to be reimbursed by 10).
I strongly denounce it to all business committees and to all individuals</v>
      </c>
    </row>
    <row r="765" spans="1:9" ht="15.75" customHeight="1" x14ac:dyDescent="0.3">
      <c r="A765" s="2">
        <v>1</v>
      </c>
      <c r="B765" s="2" t="s">
        <v>2144</v>
      </c>
      <c r="C765" s="2" t="s">
        <v>2145</v>
      </c>
      <c r="D765" s="2" t="s">
        <v>13</v>
      </c>
      <c r="E765" s="2" t="s">
        <v>129</v>
      </c>
      <c r="F765" s="2" t="s">
        <v>15</v>
      </c>
      <c r="G765" s="2" t="s">
        <v>918</v>
      </c>
      <c r="H765" s="2" t="s">
        <v>17</v>
      </c>
      <c r="I765" s="2" t="str">
        <f ca="1">IFERROR(__xludf.DUMMYFUNCTION("GOOGLETRANSLATE(C765,""fr"",""en"")"),"I strongly advise against! ! !
The note awarded for the price is consistent with the service rendered.
In early July, my daughter was stolen from her bike in her insured garage at Direct Insurance.
On July 5, she transmitted the necessary documents to "&amp;"quickly allow the garage door to be repaid and allow the reimbursement of her damage (stolen bicycle invoice).
Since then, a locksmith mandated by this insurance has moved and still awaits the return of the quote in order to finalize the rehabilitation w"&amp;"ork of the garage door, a rapid intervention requiring less than 30 minutes!
The insurer now requests the bank statement on which the amount of the purchase made by a member of the daughter family as well as a certificate issued by this person!
This one"&amp;" dates from 2017!
Except that my daughter moves tomorrow and must therefore return the keys to the owner!
I do not think that he will appreciate that my daughter tells him that the repair of the door of her garage has been pending for more than two mont"&amp;"hs of the goodwill of the insurer ... who does not attend quickly.
The time of 2 months being necessary before requesting the intervention of the mediator, the approach is underway.
Obviously, in order to avoid any subsequent disappointment, the steps a"&amp;"re underway in order to terminate the two contracts (housing and car).")</f>
        <v>I strongly advise against! ! !
The note awarded for the price is consistent with the service rendered.
In early July, my daughter was stolen from her bike in her insured garage at Direct Insurance.
On July 5, she transmitted the necessary documents to quickly allow the garage door to be repaid and allow the reimbursement of her damage (stolen bicycle invoice).
Since then, a locksmith mandated by this insurance has moved and still awaits the return of the quote in order to finalize the rehabilitation work of the garage door, a rapid intervention requiring less than 30 minutes!
The insurer now requests the bank statement on which the amount of the purchase made by a member of the daughter family as well as a certificate issued by this person!
This one dates from 2017!
Except that my daughter moves tomorrow and must therefore return the keys to the owner!
I do not think that he will appreciate that my daughter tells him that the repair of the door of her garage has been pending for more than two months of the goodwill of the insurer ... who does not attend quickly.
The time of 2 months being necessary before requesting the intervention of the mediator, the approach is underway.
Obviously, in order to avoid any subsequent disappointment, the steps are underway in order to terminate the two contracts (housing and car).</v>
      </c>
    </row>
    <row r="766" spans="1:9" ht="15.75" customHeight="1" x14ac:dyDescent="0.3">
      <c r="A766" s="2">
        <v>5</v>
      </c>
      <c r="B766" s="2" t="s">
        <v>2146</v>
      </c>
      <c r="C766" s="2" t="s">
        <v>2147</v>
      </c>
      <c r="D766" s="2" t="s">
        <v>13</v>
      </c>
      <c r="E766" s="2" t="s">
        <v>14</v>
      </c>
      <c r="F766" s="2" t="s">
        <v>15</v>
      </c>
      <c r="G766" s="2" t="s">
        <v>2148</v>
      </c>
      <c r="H766" s="2" t="s">
        <v>17</v>
      </c>
      <c r="I766" s="2" t="str">
        <f ca="1">IFERROR(__xludf.DUMMYFUNCTION("GOOGLETRANSLATE(C766,""fr"",""en"")"),"Satisfied with your help of the help you made me, I had a bit of panic to do this quote, I was a bit mixing the brushes thank you again")</f>
        <v>Satisfied with your help of the help you made me, I had a bit of panic to do this quote, I was a bit mixing the brushes thank you again</v>
      </c>
    </row>
    <row r="767" spans="1:9" ht="15.75" customHeight="1" x14ac:dyDescent="0.3">
      <c r="A767" s="2">
        <v>1</v>
      </c>
      <c r="B767" s="2" t="s">
        <v>2149</v>
      </c>
      <c r="C767" s="2" t="s">
        <v>2150</v>
      </c>
      <c r="D767" s="2" t="s">
        <v>2151</v>
      </c>
      <c r="E767" s="2" t="s">
        <v>81</v>
      </c>
      <c r="F767" s="2" t="s">
        <v>15</v>
      </c>
      <c r="G767" s="2" t="s">
        <v>1057</v>
      </c>
      <c r="H767" s="2" t="s">
        <v>1058</v>
      </c>
      <c r="I767" s="2" t="str">
        <f ca="1">IFERROR(__xludf.DUMMYFUNCTION("GOOGLETRANSLATE(C767,""fr"",""en"")"),"It has been more than the month that my stolen my tmax insured all risk and year .... and a month later I have no news neither oar mail nor calls I find that inadmissible and I did not leak it to stay there! most pitiful insurance, I relaunch them several"&amp;" times a week but we fall to the standard which is useless")</f>
        <v>It has been more than the month that my stolen my tmax insured all risk and year .... and a month later I have no news neither oar mail nor calls I find that inadmissible and I did not leak it to stay there! most pitiful insurance, I relaunch them several times a week but we fall to the standard which is useless</v>
      </c>
    </row>
    <row r="768" spans="1:9" ht="15.75" customHeight="1" x14ac:dyDescent="0.3">
      <c r="A768" s="2">
        <v>1</v>
      </c>
      <c r="B768" s="2" t="s">
        <v>2152</v>
      </c>
      <c r="C768" s="2" t="s">
        <v>2153</v>
      </c>
      <c r="D768" s="2" t="s">
        <v>13</v>
      </c>
      <c r="E768" s="2" t="s">
        <v>14</v>
      </c>
      <c r="F768" s="2" t="s">
        <v>15</v>
      </c>
      <c r="G768" s="2" t="s">
        <v>2154</v>
      </c>
      <c r="H768" s="2" t="s">
        <v>1213</v>
      </c>
      <c r="I768" s="2" t="str">
        <f ca="1">IFERROR(__xludf.DUMMYFUNCTION("GOOGLETRANSLATE(C768,""fr"",""en"")"),"Complicated to have a customer at the Tel, no one won, I wanted to have information to subscribe but no one to inform. Too bad I will stay with the olive assurance because anyway the prices are almost identical and I am told that great prices at Direct th"&amp;"e first year then increase without reason ...")</f>
        <v>Complicated to have a customer at the Tel, no one won, I wanted to have information to subscribe but no one to inform. Too bad I will stay with the olive assurance because anyway the prices are almost identical and I am told that great prices at Direct the first year then increase without reason ...</v>
      </c>
    </row>
    <row r="769" spans="1:9" ht="15.75" customHeight="1" x14ac:dyDescent="0.3">
      <c r="A769" s="2">
        <v>5</v>
      </c>
      <c r="B769" s="2" t="s">
        <v>2155</v>
      </c>
      <c r="C769" s="2" t="s">
        <v>2156</v>
      </c>
      <c r="D769" s="2" t="s">
        <v>197</v>
      </c>
      <c r="E769" s="2" t="s">
        <v>81</v>
      </c>
      <c r="F769" s="2" t="s">
        <v>15</v>
      </c>
      <c r="G769" s="2" t="s">
        <v>2157</v>
      </c>
      <c r="H769" s="2" t="s">
        <v>17</v>
      </c>
      <c r="I769" s="2" t="str">
        <f ca="1">IFERROR(__xludf.DUMMYFUNCTION("GOOGLETRANSLATE(C769,""fr"",""en"")"),"Very satisfied with AMV, since I have been a customer, all insurance confused, my satisfaction is total, tranquility, ease, and always, if necessary, that one on the phone of nice and competent.")</f>
        <v>Very satisfied with AMV, since I have been a customer, all insurance confused, my satisfaction is total, tranquility, ease, and always, if necessary, that one on the phone of nice and competent.</v>
      </c>
    </row>
    <row r="770" spans="1:9" ht="15.75" customHeight="1" x14ac:dyDescent="0.3">
      <c r="A770" s="2">
        <v>5</v>
      </c>
      <c r="B770" s="2" t="s">
        <v>2158</v>
      </c>
      <c r="C770" s="2" t="s">
        <v>2159</v>
      </c>
      <c r="D770" s="2" t="s">
        <v>13</v>
      </c>
      <c r="E770" s="2" t="s">
        <v>14</v>
      </c>
      <c r="F770" s="2" t="s">
        <v>15</v>
      </c>
      <c r="G770" s="2" t="s">
        <v>2160</v>
      </c>
      <c r="H770" s="2" t="s">
        <v>25</v>
      </c>
      <c r="I770" s="2" t="str">
        <f ca="1">IFERROR(__xludf.DUMMYFUNCTION("GOOGLETRANSLATE(C770,""fr"",""en"")"),"Simple and practical/ Good price
fast/sympathetic and efficient interlocutor
I will not do a dissertation for a change of insurance anyway
")</f>
        <v xml:space="preserve">Simple and practical/ Good price
fast/sympathetic and efficient interlocutor
I will not do a dissertation for a change of insurance anyway
</v>
      </c>
    </row>
    <row r="771" spans="1:9" ht="15.75" customHeight="1" x14ac:dyDescent="0.3">
      <c r="A771" s="2">
        <v>5</v>
      </c>
      <c r="B771" s="2" t="s">
        <v>2161</v>
      </c>
      <c r="C771" s="2" t="s">
        <v>2162</v>
      </c>
      <c r="D771" s="2" t="s">
        <v>13</v>
      </c>
      <c r="E771" s="2" t="s">
        <v>14</v>
      </c>
      <c r="F771" s="2" t="s">
        <v>15</v>
      </c>
      <c r="G771" s="2" t="s">
        <v>268</v>
      </c>
      <c r="H771" s="2" t="s">
        <v>111</v>
      </c>
      <c r="I771" s="2" t="str">
        <f ca="1">IFERROR(__xludf.DUMMYFUNCTION("GOOGLETRANSLATE(C771,""fr"",""en"")"),"Simple and practical, affordable insurance with different options,
Quote sent quickly and well explained, possibility to pay monthly
I recommend.")</f>
        <v>Simple and practical, affordable insurance with different options,
Quote sent quickly and well explained, possibility to pay monthly
I recommend.</v>
      </c>
    </row>
    <row r="772" spans="1:9" ht="15.75" customHeight="1" x14ac:dyDescent="0.3">
      <c r="A772" s="2">
        <v>1</v>
      </c>
      <c r="B772" s="2" t="s">
        <v>2163</v>
      </c>
      <c r="C772" s="2" t="s">
        <v>2164</v>
      </c>
      <c r="D772" s="2" t="s">
        <v>55</v>
      </c>
      <c r="E772" s="2" t="s">
        <v>39</v>
      </c>
      <c r="F772" s="2" t="s">
        <v>15</v>
      </c>
      <c r="G772" s="2" t="s">
        <v>2165</v>
      </c>
      <c r="H772" s="2" t="s">
        <v>1022</v>
      </c>
      <c r="I772" s="2" t="str">
        <f ca="1">IFERROR(__xludf.DUMMYFUNCTION("GOOGLETRANSLATE(C772,""fr"",""en"")"),"I applied for a birth premium in January 2017. Standard treatment time announced by their service: 15 days.
We are in April 2017, and nothing happens. I call them every week, they tell me ""You have our word, it will be done during the week. But nothing "&amp;"happens.")</f>
        <v>I applied for a birth premium in January 2017. Standard treatment time announced by their service: 15 days.
We are in April 2017, and nothing happens. I call them every week, they tell me "You have our word, it will be done during the week. But nothing happens.</v>
      </c>
    </row>
    <row r="773" spans="1:9" ht="15.75" customHeight="1" x14ac:dyDescent="0.3">
      <c r="A773" s="2">
        <v>4</v>
      </c>
      <c r="B773" s="2" t="s">
        <v>2166</v>
      </c>
      <c r="C773" s="2" t="s">
        <v>2167</v>
      </c>
      <c r="D773" s="2" t="s">
        <v>28</v>
      </c>
      <c r="E773" s="2" t="s">
        <v>14</v>
      </c>
      <c r="F773" s="2" t="s">
        <v>15</v>
      </c>
      <c r="G773" s="2" t="s">
        <v>2168</v>
      </c>
      <c r="H773" s="2" t="s">
        <v>21</v>
      </c>
      <c r="I773" s="2" t="str">
        <f ca="1">IFERROR(__xludf.DUMMYFUNCTION("GOOGLETRANSLATE(C773,""fr"",""en"")"),"Top prices and services. Simplicity in payment and contractualization. I recommend this reactive but also competitive insurance starts to others")</f>
        <v>Top prices and services. Simplicity in payment and contractualization. I recommend this reactive but also competitive insurance starts to others</v>
      </c>
    </row>
    <row r="774" spans="1:9" ht="15.75" customHeight="1" x14ac:dyDescent="0.3">
      <c r="A774" s="2">
        <v>2</v>
      </c>
      <c r="B774" s="2" t="s">
        <v>2169</v>
      </c>
      <c r="C774" s="2" t="s">
        <v>2170</v>
      </c>
      <c r="D774" s="2" t="s">
        <v>254</v>
      </c>
      <c r="E774" s="2" t="s">
        <v>129</v>
      </c>
      <c r="F774" s="2" t="s">
        <v>15</v>
      </c>
      <c r="G774" s="2" t="s">
        <v>2171</v>
      </c>
      <c r="H774" s="2" t="s">
        <v>343</v>
      </c>
      <c r="I774" s="2" t="str">
        <f ca="1">IFERROR(__xludf.DUMMYFUNCTION("GOOGLETRANSLATE(C774,""fr"",""en"")"),"Currently insured for 8 years, but more for a long time, I am outraged to see how my file is managed.
First of all, the ""expert"" undervalued the amount of repairs € 785.20 for the paint and paper repair of a 27 m² room.
I had the stupidity of asking"&amp;" only partial repair: a section of wall and all the ceiling (there, there is no choice). I obtained a quote at € 1,090 communicated in March. In early April, I receive a transfer of € 628.16. I don't understand anything and calls Maif. They tell me that t"&amp;"his corresponds to the amount encrypted by the expert (on piece (Càd on photo) since he never moved) deduction made of a so-called franchise of € 157.04. It turns out that this information is false and that it would in fact be a dilapidated before having "&amp;"returned to me on presentation of the invoice, according to the same manager, who was not shocked to assert me at the Prerequisite that this amount with cents was a franchise….
I dispute the evaluation and especially their reproach for having proceeded"&amp;" to a transfer without letting me the choice to resort to an approved craftsman. I therefore ask them to review the costing or mission someone after I reimbursed them for the amount dismissed without asking me for my opinion.
The file manager pretends "&amp;"to revise the quote by the expert and then opposes a refusal. I ask for an expertise on site; It refuses on the grounds that it would cost as much as the difference between my quote (1,100) and the amount estimated by the expert (700).
I then ask that "&amp;"she communicates the contact details of approved craftsmen. Radio silence.
A lawyer intervenes. In mid-July 2017 (remember all of this started in early March 2017, the manager in her great kindness finally gives us names of approved companies (not very c"&amp;"lose to my home, of course ...) or leaves me the opportunity to perceive The amount of the estimate of March 2017.
I contact the craftsman who refuses to intervene, his company has changed status, he has bigger projects and no longer has time ... In sh"&amp;"ort, I finally have enough to pay it but he does not want to intervene.
I redo quotes but specifying that insurance does not want to pay a total recovery and will only pay € 1,000.
Many do not even move or refuse to make me a quote, other figures at"&amp;" € 1,900 per partial recovery or between 4 and 6000 € per total recovery.
Desperate, I ask my lawyer if it is possible that insurance accepts to pay the sum of € 1,600 estimated in the meantime not the expert for a total recovery, in order to amortize "&amp;"the only quote almost in Nails at € 1,900 (for partial recovery only).
There, the manager, manager of all this bazaar is offended and does not understand why I do not involve the starting craftsman, who remember no longer wants to intervene more than 4"&amp;" months after his quote. And worse still, accuses me of having perceived unduly, thief that I am, the franchise that she would have supposedly reimbursed! Yes, we are talking about the franchise, which is not one but of dilapidation ...
However, I have n"&amp;"ever received either the sum of € 125 or the sum of € 157.04. This lady who does not know her file and causes me prejudice now accuses me of erroneous things, which is easily proved (no transfer ...). Given her skills, perhaps she turned this sum to a hap"&amp;"py beneficiary….
It is impossible to have another interlocutor than the person who ruined my file and has caused me from the hassle since March 2017 because of their interference.
When you know that some people receive € 1,000 for a 1 m² toilet cabi"&amp;"net and that when you want to be honest by making a partial repair and therefore at a lower cost of a 27 m² room, we are rotten like that … It is shameful ! I am disgusted, I have no more words ...
It's decided, I'm going to see elsewhere if I'm there"&amp;"!
")</f>
        <v xml:space="preserve">Currently insured for 8 years, but more for a long time, I am outraged to see how my file is managed.
First of all, the "expert" undervalued the amount of repairs € 785.20 for the paint and paper repair of a 27 m² room.
I had the stupidity of asking only partial repair: a section of wall and all the ceiling (there, there is no choice). I obtained a quote at € 1,090 communicated in March. In early April, I receive a transfer of € 628.16. I don't understand anything and calls Maif. They tell me that this corresponds to the amount encrypted by the expert (on piece (Càd on photo) since he never moved) deduction made of a so-called franchise of € 157.04. It turns out that this information is false and that it would in fact be a dilapidated before having returned to me on presentation of the invoice, according to the same manager, who was not shocked to assert me at the Prerequisite that this amount with cents was a franchise….
I dispute the evaluation and especially their reproach for having proceeded to a transfer without letting me the choice to resort to an approved craftsman. I therefore ask them to review the costing or mission someone after I reimbursed them for the amount dismissed without asking me for my opinion.
The file manager pretends to revise the quote by the expert and then opposes a refusal. I ask for an expertise on site; It refuses on the grounds that it would cost as much as the difference between my quote (1,100) and the amount estimated by the expert (700).
I then ask that she communicates the contact details of approved craftsmen. Radio silence.
A lawyer intervenes. In mid-July 2017 (remember all of this started in early March 2017, the manager in her great kindness finally gives us names of approved companies (not very close to my home, of course ...) or leaves me the opportunity to perceive The amount of the estimate of March 2017.
I contact the craftsman who refuses to intervene, his company has changed status, he has bigger projects and no longer has time ... In short, I finally have enough to pay it but he does not want to intervene.
I redo quotes but specifying that insurance does not want to pay a total recovery and will only pay € 1,000.
Many do not even move or refuse to make me a quote, other figures at € 1,900 per partial recovery or between 4 and 6000 € per total recovery.
Desperate, I ask my lawyer if it is possible that insurance accepts to pay the sum of € 1,600 estimated in the meantime not the expert for a total recovery, in order to amortize the only quote almost in Nails at € 1,900 (for partial recovery only).
There, the manager, manager of all this bazaar is offended and does not understand why I do not involve the starting craftsman, who remember no longer wants to intervene more than 4 months after his quote. And worse still, accuses me of having perceived unduly, thief that I am, the franchise that she would have supposedly reimbursed! Yes, we are talking about the franchise, which is not one but of dilapidation ...
However, I have never received either the sum of € 125 or the sum of € 157.04. This lady who does not know her file and causes me prejudice now accuses me of erroneous things, which is easily proved (no transfer ...). Given her skills, perhaps she turned this sum to a happy beneficiary….
It is impossible to have another interlocutor than the person who ruined my file and has caused me from the hassle since March 2017 because of their interference.
When you know that some people receive € 1,000 for a 1 m² toilet cabinet and that when you want to be honest by making a partial repair and therefore at a lower cost of a 27 m² room, we are rotten like that … It is shameful ! I am disgusted, I have no more words ...
It's decided, I'm going to see elsewhere if I'm there!
</v>
      </c>
    </row>
    <row r="775" spans="1:9" ht="15.75" customHeight="1" x14ac:dyDescent="0.3">
      <c r="A775" s="2">
        <v>1</v>
      </c>
      <c r="B775" s="2" t="s">
        <v>2172</v>
      </c>
      <c r="C775" s="2" t="s">
        <v>2173</v>
      </c>
      <c r="D775" s="2" t="s">
        <v>38</v>
      </c>
      <c r="E775" s="2" t="s">
        <v>39</v>
      </c>
      <c r="F775" s="2" t="s">
        <v>15</v>
      </c>
      <c r="G775" s="2" t="s">
        <v>2174</v>
      </c>
      <c r="H775" s="2" t="s">
        <v>236</v>
      </c>
      <c r="I775" s="2" t="str">
        <f ca="1">IFERROR(__xludf.DUMMYFUNCTION("GOOGLETRANSLATE(C775,""fr"",""en"")"),"As long as it is a question of paying my contributions which, moreover, increasing regularly without my reimbursements doing the same
On the other hand when I apply for care then the most and impossible to reach them on the phone and they do not answer t"&amp;"he email it is the worst customer service that I know")</f>
        <v>As long as it is a question of paying my contributions which, moreover, increasing regularly without my reimbursements doing the same
On the other hand when I apply for care then the most and impossible to reach them on the phone and they do not answer the email it is the worst customer service that I know</v>
      </c>
    </row>
    <row r="776" spans="1:9" ht="15.75" customHeight="1" x14ac:dyDescent="0.3">
      <c r="A776" s="2">
        <v>4</v>
      </c>
      <c r="B776" s="2" t="s">
        <v>2175</v>
      </c>
      <c r="C776" s="2" t="s">
        <v>2176</v>
      </c>
      <c r="D776" s="2" t="s">
        <v>13</v>
      </c>
      <c r="E776" s="2" t="s">
        <v>14</v>
      </c>
      <c r="F776" s="2" t="s">
        <v>15</v>
      </c>
      <c r="G776" s="2" t="s">
        <v>733</v>
      </c>
      <c r="H776" s="2" t="s">
        <v>25</v>
      </c>
      <c r="I776" s="2" t="str">
        <f ca="1">IFERROR(__xludf.DUMMYFUNCTION("GOOGLETRANSLATE(C776,""fr"",""en"")"),"For the moment no bp I have just registered me
speed of registration, simple site to use cheaper than competitives
To see qd we will need them if everything is going well")</f>
        <v>For the moment no bp I have just registered me
speed of registration, simple site to use cheaper than competitives
To see qd we will need them if everything is going well</v>
      </c>
    </row>
    <row r="777" spans="1:9" ht="15.75" customHeight="1" x14ac:dyDescent="0.3">
      <c r="A777" s="2">
        <v>1</v>
      </c>
      <c r="B777" s="2" t="s">
        <v>2177</v>
      </c>
      <c r="C777" s="2" t="s">
        <v>2178</v>
      </c>
      <c r="D777" s="2" t="s">
        <v>60</v>
      </c>
      <c r="E777" s="2" t="s">
        <v>61</v>
      </c>
      <c r="F777" s="2" t="s">
        <v>15</v>
      </c>
      <c r="G777" s="2" t="s">
        <v>2179</v>
      </c>
      <c r="H777" s="2" t="s">
        <v>248</v>
      </c>
      <c r="I777" s="2" t="str">
        <f ca="1">IFERROR(__xludf.DUMMYFUNCTION("GOOGLETRANSLATE(C777,""fr"",""en"")"),"In the event of conflicts, call on ACPR in Paris the approach to follow")</f>
        <v>In the event of conflicts, call on ACPR in Paris the approach to follow</v>
      </c>
    </row>
    <row r="778" spans="1:9" ht="15.75" customHeight="1" x14ac:dyDescent="0.3">
      <c r="A778" s="2">
        <v>1</v>
      </c>
      <c r="B778" s="2" t="s">
        <v>2180</v>
      </c>
      <c r="C778" s="2" t="s">
        <v>2181</v>
      </c>
      <c r="D778" s="2" t="s">
        <v>13</v>
      </c>
      <c r="E778" s="2" t="s">
        <v>14</v>
      </c>
      <c r="F778" s="2" t="s">
        <v>15</v>
      </c>
      <c r="G778" s="2" t="s">
        <v>260</v>
      </c>
      <c r="H778" s="2" t="s">
        <v>71</v>
      </c>
      <c r="I778" s="2" t="str">
        <f ca="1">IFERROR(__xludf.DUMMYFUNCTION("GOOGLETRANSLATE(C778,""fr"",""en"")"),"The price does not suit me at all this year!
Increase of 5%
I try to join your sales department, and this is impossible at Direct Insurance.")</f>
        <v>The price does not suit me at all this year!
Increase of 5%
I try to join your sales department, and this is impossible at Direct Insurance.</v>
      </c>
    </row>
    <row r="779" spans="1:9" ht="15.75" customHeight="1" x14ac:dyDescent="0.3">
      <c r="A779" s="2">
        <v>1</v>
      </c>
      <c r="B779" s="2" t="s">
        <v>2182</v>
      </c>
      <c r="C779" s="2" t="s">
        <v>2183</v>
      </c>
      <c r="D779" s="2" t="s">
        <v>623</v>
      </c>
      <c r="E779" s="2" t="s">
        <v>61</v>
      </c>
      <c r="F779" s="2" t="s">
        <v>15</v>
      </c>
      <c r="G779" s="2" t="s">
        <v>943</v>
      </c>
      <c r="H779" s="2" t="s">
        <v>30</v>
      </c>
      <c r="I779" s="2" t="str">
        <f ca="1">IFERROR(__xludf.DUMMYFUNCTION("GOOGLETRANSLATE(C779,""fr"",""en"")"),"I have declared and already put an opinion on this page. He had to remind me for the first time following an accident. Thing done because it is impossible to assets. They had to say to me to remind me a second time because the file was mounted in level 2 "&amp;"of complaint (according to their term). Its promises level 2. still no life sign !!!!
So why do I pay non -existent services ??? Will it really be a RNA ????
Pay but above all do not give us a sign of life !!!!")</f>
        <v>I have declared and already put an opinion on this page. He had to remind me for the first time following an accident. Thing done because it is impossible to assets. They had to say to me to remind me a second time because the file was mounted in level 2 of complaint (according to their term). Its promises level 2. still no life sign !!!!
So why do I pay non -existent services ??? Will it really be a RNA ????
Pay but above all do not give us a sign of life !!!!</v>
      </c>
    </row>
    <row r="780" spans="1:9" ht="15.75" customHeight="1" x14ac:dyDescent="0.3">
      <c r="A780" s="2">
        <v>4</v>
      </c>
      <c r="B780" s="2" t="s">
        <v>2184</v>
      </c>
      <c r="C780" s="2" t="s">
        <v>2185</v>
      </c>
      <c r="D780" s="2" t="s">
        <v>190</v>
      </c>
      <c r="E780" s="2" t="s">
        <v>14</v>
      </c>
      <c r="F780" s="2" t="s">
        <v>15</v>
      </c>
      <c r="G780" s="2" t="s">
        <v>2186</v>
      </c>
      <c r="H780" s="2" t="s">
        <v>17</v>
      </c>
      <c r="I780" s="2" t="str">
        <f ca="1">IFERROR(__xludf.DUMMYFUNCTION("GOOGLETRANSLATE(C780,""fr"",""en"")"),"I am satisfied with home insurance and legal protection, prices suit me, and the application and website are very easy to use")</f>
        <v>I am satisfied with home insurance and legal protection, prices suit me, and the application and website are very easy to use</v>
      </c>
    </row>
    <row r="781" spans="1:9" ht="15.75" customHeight="1" x14ac:dyDescent="0.3">
      <c r="A781" s="2">
        <v>1</v>
      </c>
      <c r="B781" s="2" t="s">
        <v>2187</v>
      </c>
      <c r="C781" s="2" t="s">
        <v>2188</v>
      </c>
      <c r="D781" s="2" t="s">
        <v>33</v>
      </c>
      <c r="E781" s="2" t="s">
        <v>14</v>
      </c>
      <c r="F781" s="2" t="s">
        <v>15</v>
      </c>
      <c r="G781" s="2" t="s">
        <v>2189</v>
      </c>
      <c r="H781" s="2" t="s">
        <v>442</v>
      </c>
      <c r="I781" s="2" t="str">
        <f ca="1">IFERROR(__xludf.DUMMYFUNCTION("GOOGLETRANSLATE(C781,""fr"",""en"")"),"Being a customer at the Matmut for more than 14 years for several self -house contracts etc ... Following a concern for the date of disaster declaration (4 days) the Matmut refuses to take care of the change of my windshield their goal is only lucrative A"&amp;"nd at no time do they care about their customers by finding intermediary solutions ... in short to keep their customers they make no effort on the other hand to collect money Ca c is on the matmut it ensures ...... .")</f>
        <v>Being a customer at the Matmut for more than 14 years for several self -house contracts etc ... Following a concern for the date of disaster declaration (4 days) the Matmut refuses to take care of the change of my windshield their goal is only lucrative And at no time do they care about their customers by finding intermediary solutions ... in short to keep their customers they make no effort on the other hand to collect money Ca c is on the matmut it ensures ...... .</v>
      </c>
    </row>
    <row r="782" spans="1:9" ht="15.75" customHeight="1" x14ac:dyDescent="0.3">
      <c r="A782" s="2">
        <v>4</v>
      </c>
      <c r="B782" s="2" t="s">
        <v>2190</v>
      </c>
      <c r="C782" s="2" t="s">
        <v>2191</v>
      </c>
      <c r="D782" s="2" t="s">
        <v>190</v>
      </c>
      <c r="E782" s="2" t="s">
        <v>14</v>
      </c>
      <c r="F782" s="2" t="s">
        <v>15</v>
      </c>
      <c r="G782" s="2" t="s">
        <v>2192</v>
      </c>
      <c r="H782" s="2" t="s">
        <v>71</v>
      </c>
      <c r="I782" s="2" t="str">
        <f ca="1">IFERROR(__xludf.DUMMYFUNCTION("GOOGLETRANSLATE(C782,""fr"",""en"")"),"Very good responsive reimbursement insurance and super nice advisor. 25 years of GMF with disaster at the top of the top compared to other insurances ....")</f>
        <v>Very good responsive reimbursement insurance and super nice advisor. 25 years of GMF with disaster at the top of the top compared to other insurances ....</v>
      </c>
    </row>
    <row r="783" spans="1:9" ht="15.75" customHeight="1" x14ac:dyDescent="0.3">
      <c r="A783" s="2">
        <v>5</v>
      </c>
      <c r="B783" s="2" t="s">
        <v>2193</v>
      </c>
      <c r="C783" s="2" t="s">
        <v>2194</v>
      </c>
      <c r="D783" s="2" t="s">
        <v>493</v>
      </c>
      <c r="E783" s="2" t="s">
        <v>101</v>
      </c>
      <c r="F783" s="2" t="s">
        <v>15</v>
      </c>
      <c r="G783" s="2" t="s">
        <v>2195</v>
      </c>
      <c r="H783" s="2" t="s">
        <v>108</v>
      </c>
      <c r="I783" s="2" t="str">
        <f ca="1">IFERROR(__xludf.DUMMYFUNCTION("GOOGLETRANSLATE(C783,""fr"",""en"")"),"Reception and professionalism of the advisor. Reactivity and very good advice
I recommend Zen Up for the ease of filling the files and the accessibility of the site")</f>
        <v>Reception and professionalism of the advisor. Reactivity and very good advice
I recommend Zen Up for the ease of filling the files and the accessibility of the site</v>
      </c>
    </row>
    <row r="784" spans="1:9" ht="15.75" customHeight="1" x14ac:dyDescent="0.3">
      <c r="A784" s="2">
        <v>5</v>
      </c>
      <c r="B784" s="2" t="s">
        <v>2196</v>
      </c>
      <c r="C784" s="2" t="s">
        <v>2197</v>
      </c>
      <c r="D784" s="2" t="s">
        <v>38</v>
      </c>
      <c r="E784" s="2" t="s">
        <v>39</v>
      </c>
      <c r="F784" s="2" t="s">
        <v>15</v>
      </c>
      <c r="G784" s="2" t="s">
        <v>1412</v>
      </c>
      <c r="H784" s="2" t="s">
        <v>25</v>
      </c>
      <c r="I784" s="2" t="str">
        <f ca="1">IFERROR(__xludf.DUMMYFUNCTION("GOOGLETRANSLATE(C784,""fr"",""en"")"),"Very satisfied with our exchange
Listening interlocutor has taken the time to inform me and contacted the services in order to have confirmation on my request.
")</f>
        <v xml:space="preserve">Very satisfied with our exchange
Listening interlocutor has taken the time to inform me and contacted the services in order to have confirmation on my request.
</v>
      </c>
    </row>
    <row r="785" spans="1:9" ht="15.75" customHeight="1" x14ac:dyDescent="0.3">
      <c r="A785" s="2">
        <v>5</v>
      </c>
      <c r="B785" s="2" t="s">
        <v>2198</v>
      </c>
      <c r="C785" s="2" t="s">
        <v>2199</v>
      </c>
      <c r="D785" s="2" t="s">
        <v>493</v>
      </c>
      <c r="E785" s="2" t="s">
        <v>101</v>
      </c>
      <c r="F785" s="2" t="s">
        <v>15</v>
      </c>
      <c r="G785" s="2" t="s">
        <v>1335</v>
      </c>
      <c r="H785" s="2" t="s">
        <v>57</v>
      </c>
      <c r="I785" s="2" t="str">
        <f ca="1">IFERROR(__xludf.DUMMYFUNCTION("GOOGLETRANSLATE(C785,""fr"",""en"")"),"Very satisfied with the follow -up of the file by the manager who is very professional, very responsive, very competent and very friendly. I will recommend this person and this service without hesitation.")</f>
        <v>Very satisfied with the follow -up of the file by the manager who is very professional, very responsive, very competent and very friendly. I will recommend this person and this service without hesitation.</v>
      </c>
    </row>
    <row r="786" spans="1:9" ht="15.75" customHeight="1" x14ac:dyDescent="0.3">
      <c r="A786" s="2">
        <v>1</v>
      </c>
      <c r="B786" s="2" t="s">
        <v>2200</v>
      </c>
      <c r="C786" s="2" t="s">
        <v>2201</v>
      </c>
      <c r="D786" s="2" t="s">
        <v>13</v>
      </c>
      <c r="E786" s="2" t="s">
        <v>14</v>
      </c>
      <c r="F786" s="2" t="s">
        <v>15</v>
      </c>
      <c r="G786" s="2" t="s">
        <v>542</v>
      </c>
      <c r="H786" s="2" t="s">
        <v>21</v>
      </c>
      <c r="I786" s="2" t="str">
        <f ca="1">IFERROR(__xludf.DUMMYFUNCTION("GOOGLETRANSLATE(C786,""fr"",""en"")"),"The first quote is interesting, then the price increases every year at a very high speed !!!!
And this without any claim!
I absolutely do not recommend!")</f>
        <v>The first quote is interesting, then the price increases every year at a very high speed !!!!
And this without any claim!
I absolutely do not recommend!</v>
      </c>
    </row>
    <row r="787" spans="1:9" ht="15.75" customHeight="1" x14ac:dyDescent="0.3">
      <c r="A787" s="2">
        <v>4</v>
      </c>
      <c r="B787" s="2" t="s">
        <v>2202</v>
      </c>
      <c r="C787" s="2" t="s">
        <v>2203</v>
      </c>
      <c r="D787" s="2" t="s">
        <v>13</v>
      </c>
      <c r="E787" s="2" t="s">
        <v>14</v>
      </c>
      <c r="F787" s="2" t="s">
        <v>15</v>
      </c>
      <c r="G787" s="2" t="s">
        <v>1251</v>
      </c>
      <c r="H787" s="2" t="s">
        <v>83</v>
      </c>
      <c r="I787" s="2" t="str">
        <f ca="1">IFERROR(__xludf.DUMMYFUNCTION("GOOGLETRANSLATE(C787,""fr"",""en"")"),"Hello,
I am satisfied with the direct insurance service, the prices are very affordable and the choice very varied. In addition, the service is fast.
Thank you,
Have a good day.")</f>
        <v>Hello,
I am satisfied with the direct insurance service, the prices are very affordable and the choice very varied. In addition, the service is fast.
Thank you,
Have a good day.</v>
      </c>
    </row>
    <row r="788" spans="1:9" ht="15.75" customHeight="1" x14ac:dyDescent="0.3">
      <c r="A788" s="2">
        <v>1</v>
      </c>
      <c r="B788" s="2" t="s">
        <v>2204</v>
      </c>
      <c r="C788" s="2" t="s">
        <v>2205</v>
      </c>
      <c r="D788" s="2" t="s">
        <v>89</v>
      </c>
      <c r="E788" s="2" t="s">
        <v>39</v>
      </c>
      <c r="F788" s="2" t="s">
        <v>15</v>
      </c>
      <c r="G788" s="2" t="s">
        <v>459</v>
      </c>
      <c r="H788" s="2" t="s">
        <v>25</v>
      </c>
      <c r="I788" s="2" t="str">
        <f ca="1">IFERROR(__xludf.DUMMYFUNCTION("GOOGLETRANSLATE(C788,""fr"",""en"")"),"I am awaiting a reimbursement of contribution made wrongly by Cégéma after death, I was asked for a supporting voucher but no reimbursement ... The advisers are unjusting by phone, I am offered to be recalled but not of recall, it is the total galley
I d"&amp;"eeply regret having taken out a contract with Cégema !!!")</f>
        <v>I am awaiting a reimbursement of contribution made wrongly by Cégéma after death, I was asked for a supporting voucher but no reimbursement ... The advisers are unjusting by phone, I am offered to be recalled but not of recall, it is the total galley
I deeply regret having taken out a contract with Cégema !!!</v>
      </c>
    </row>
    <row r="789" spans="1:9" ht="15.75" customHeight="1" x14ac:dyDescent="0.3">
      <c r="A789" s="2">
        <v>3</v>
      </c>
      <c r="B789" s="2" t="s">
        <v>2206</v>
      </c>
      <c r="C789" s="2" t="s">
        <v>2207</v>
      </c>
      <c r="D789" s="2" t="s">
        <v>1242</v>
      </c>
      <c r="E789" s="2" t="s">
        <v>129</v>
      </c>
      <c r="F789" s="2" t="s">
        <v>15</v>
      </c>
      <c r="G789" s="2" t="s">
        <v>2208</v>
      </c>
      <c r="H789" s="2" t="s">
        <v>374</v>
      </c>
      <c r="I789" s="2" t="str">
        <f ca="1">IFERROR(__xludf.DUMMYFUNCTION("GOOGLETRANSLATE(C789,""fr"",""en"")"),"Electric damage in December, I am ensured in new value and I sent the invoices of household appliances requested by the expert following his passage (not repairable), the CM paid me with a deduction of a dilapidated (While they sold me a new value contrac"&amp;"t therefore without obsolescence) I disputed the payment by LR + AR, the local fund also disputed. I am not also talking about reparation invoices that the expert does not consider it good to take into account. No electricity during all the holidays and a"&amp;"n expert who moves 3 weeks later ..., we had to cut the can to electricity that we had during the night and during our absence by risk of fire.
They remain unperturbed.
Know how to sell contracts with additional conditions.
But to manage are completely"&amp;" zero and I even wonder if they are honest ....")</f>
        <v>Electric damage in December, I am ensured in new value and I sent the invoices of household appliances requested by the expert following his passage (not repairable), the CM paid me with a deduction of a dilapidated (While they sold me a new value contract therefore without obsolescence) I disputed the payment by LR + AR, the local fund also disputed. I am not also talking about reparation invoices that the expert does not consider it good to take into account. No electricity during all the holidays and an expert who moves 3 weeks later ..., we had to cut the can to electricity that we had during the night and during our absence by risk of fire.
They remain unperturbed.
Know how to sell contracts with additional conditions.
But to manage are completely zero and I even wonder if they are honest ....</v>
      </c>
    </row>
    <row r="790" spans="1:9" ht="15.75" customHeight="1" x14ac:dyDescent="0.3">
      <c r="A790" s="2">
        <v>2</v>
      </c>
      <c r="B790" s="2" t="s">
        <v>2209</v>
      </c>
      <c r="C790" s="2" t="s">
        <v>2210</v>
      </c>
      <c r="D790" s="2" t="s">
        <v>281</v>
      </c>
      <c r="E790" s="2" t="s">
        <v>39</v>
      </c>
      <c r="F790" s="2" t="s">
        <v>15</v>
      </c>
      <c r="G790" s="2" t="s">
        <v>608</v>
      </c>
      <c r="H790" s="2" t="s">
        <v>71</v>
      </c>
      <c r="I790" s="2" t="str">
        <f ca="1">IFERROR(__xludf.DUMMYFUNCTION("GOOGLETRANSLATE(C790,""fr"",""en"")"),"A priori large mutual with ""Pignon sur Rue"" (which made me choose them)
Reimbursement side: no problem it remains operational and fast (but luckily I have little needs from 0 to 2 per year).
However, high price versus service and especially no listeni"&amp;"ng to the customer during my small requests (bank CHGT, evolution level guaranteed, quote ...) finally listening but no return or action (and the excuse COVVI Large back ""). The main reason for my current change.")</f>
        <v>A priori large mutual with "Pignon sur Rue" (which made me choose them)
Reimbursement side: no problem it remains operational and fast (but luckily I have little needs from 0 to 2 per year).
However, high price versus service and especially no listening to the customer during my small requests (bank CHGT, evolution level guaranteed, quote ...) finally listening but no return or action (and the excuse COVVI Large back "). The main reason for my current change.</v>
      </c>
    </row>
    <row r="791" spans="1:9" ht="15.75" customHeight="1" x14ac:dyDescent="0.3">
      <c r="A791" s="2">
        <v>1</v>
      </c>
      <c r="B791" s="2" t="s">
        <v>2211</v>
      </c>
      <c r="C791" s="2" t="s">
        <v>2212</v>
      </c>
      <c r="D791" s="2" t="s">
        <v>601</v>
      </c>
      <c r="E791" s="2" t="s">
        <v>39</v>
      </c>
      <c r="F791" s="2" t="s">
        <v>15</v>
      </c>
      <c r="G791" s="2" t="s">
        <v>2213</v>
      </c>
      <c r="H791" s="2" t="s">
        <v>108</v>
      </c>
      <c r="I791" s="2" t="str">
        <f ca="1">IFERROR(__xludf.DUMMYFUNCTION("GOOGLETRANSLATE(C791,""fr"",""en"")"),"Following a portability linked to a dismissal, I am no longer covered despite the sending of documents within the time limit. Very fast to suspend the contract, but no responsiveness to maintain despite the legal texts, and moreover no response to our var"&amp;"ious requests")</f>
        <v>Following a portability linked to a dismissal, I am no longer covered despite the sending of documents within the time limit. Very fast to suspend the contract, but no responsiveness to maintain despite the legal texts, and moreover no response to our various requests</v>
      </c>
    </row>
    <row r="792" spans="1:9" ht="15.75" customHeight="1" x14ac:dyDescent="0.3">
      <c r="A792" s="2">
        <v>5</v>
      </c>
      <c r="B792" s="2" t="s">
        <v>2214</v>
      </c>
      <c r="C792" s="2" t="s">
        <v>2215</v>
      </c>
      <c r="D792" s="2" t="s">
        <v>49</v>
      </c>
      <c r="E792" s="2" t="s">
        <v>50</v>
      </c>
      <c r="F792" s="2" t="s">
        <v>15</v>
      </c>
      <c r="G792" s="2" t="s">
        <v>2216</v>
      </c>
      <c r="H792" s="2" t="s">
        <v>52</v>
      </c>
      <c r="I792" s="2" t="str">
        <f ca="1">IFERROR(__xludf.DUMMYFUNCTION("GOOGLETRANSLATE(C792,""fr"",""en"")"),"When I read the negative opinions, I really ask myself the question if the people are honest. I have 2 dogs insured for several years (8 -year -old Argentine Dogue and a 3 year old whippet).
Argentinian DOGUES: rupture cross ligaments left paw left. Otit"&amp;"is. Skin problems. Left eye ablation. Currently loss of the right eye with undoubtedly an upcoming ablation.
I have a contract that reimburses me 70%. I have never had any repayment problems (hyper -fast Delai);
Whippets: another respected vaccine packa"&amp;"ge contract.
Before Health, I was in another insurance for the Argentinian Dogue: I was turned after a year because too many problems ....
I recommend Santevet 100%.
")</f>
        <v xml:space="preserve">When I read the negative opinions, I really ask myself the question if the people are honest. I have 2 dogs insured for several years (8 -year -old Argentine Dogue and a 3 year old whippet).
Argentinian DOGUES: rupture cross ligaments left paw left. Otitis. Skin problems. Left eye ablation. Currently loss of the right eye with undoubtedly an upcoming ablation.
I have a contract that reimburses me 70%. I have never had any repayment problems (hyper -fast Delai);
Whippets: another respected vaccine package contract.
Before Health, I was in another insurance for the Argentinian Dogue: I was turned after a year because too many problems ....
I recommend Santevet 100%.
</v>
      </c>
    </row>
    <row r="793" spans="1:9" ht="15.75" customHeight="1" x14ac:dyDescent="0.3">
      <c r="A793" s="2">
        <v>3</v>
      </c>
      <c r="B793" s="2" t="s">
        <v>2217</v>
      </c>
      <c r="C793" s="2" t="s">
        <v>2218</v>
      </c>
      <c r="D793" s="2" t="s">
        <v>28</v>
      </c>
      <c r="E793" s="2" t="s">
        <v>14</v>
      </c>
      <c r="F793" s="2" t="s">
        <v>15</v>
      </c>
      <c r="G793" s="2" t="s">
        <v>300</v>
      </c>
      <c r="H793" s="2" t="s">
        <v>111</v>
      </c>
      <c r="I793" s="2" t="str">
        <f ca="1">IFERROR(__xludf.DUMMYFUNCTION("GOOGLETRANSLATE(C793,""fr"",""en"")"),"I am satisfied and the price is interesting full and friendly and serious service very kind and helpful the price changed overnight ??? More expensive")</f>
        <v>I am satisfied and the price is interesting full and friendly and serious service very kind and helpful the price changed overnight ??? More expensive</v>
      </c>
    </row>
    <row r="794" spans="1:9" ht="15.75" customHeight="1" x14ac:dyDescent="0.3">
      <c r="A794" s="2">
        <v>1</v>
      </c>
      <c r="B794" s="2" t="s">
        <v>2219</v>
      </c>
      <c r="C794" s="2" t="s">
        <v>2220</v>
      </c>
      <c r="D794" s="2" t="s">
        <v>303</v>
      </c>
      <c r="E794" s="2" t="s">
        <v>129</v>
      </c>
      <c r="F794" s="2" t="s">
        <v>15</v>
      </c>
      <c r="G794" s="2" t="s">
        <v>2221</v>
      </c>
      <c r="H794" s="2" t="s">
        <v>343</v>
      </c>
      <c r="I794" s="2" t="str">
        <f ca="1">IFERROR(__xludf.DUMMYFUNCTION("GOOGLETRANSLATE(C794,""fr"",""en"")"),"Member for more than 35 without any claim, in February 2017, water leak at my home, despite a declaration in good standing, despite the supply of all the documents several times after a deficiency of the file at the end of May for false reasons, despite D"&amp;"ozens of calls, email, interlocutors in October my file is still in progress and no work on the horizon .... with the silence of the managers of the file ....")</f>
        <v>Member for more than 35 without any claim, in February 2017, water leak at my home, despite a declaration in good standing, despite the supply of all the documents several times after a deficiency of the file at the end of May for false reasons, despite Dozens of calls, email, interlocutors in October my file is still in progress and no work on the horizon .... with the silence of the managers of the file ....</v>
      </c>
    </row>
    <row r="795" spans="1:9" ht="15.75" customHeight="1" x14ac:dyDescent="0.3">
      <c r="A795" s="2">
        <v>2</v>
      </c>
      <c r="B795" s="2" t="s">
        <v>2222</v>
      </c>
      <c r="C795" s="2" t="s">
        <v>2223</v>
      </c>
      <c r="D795" s="2" t="s">
        <v>33</v>
      </c>
      <c r="E795" s="2" t="s">
        <v>14</v>
      </c>
      <c r="F795" s="2" t="s">
        <v>15</v>
      </c>
      <c r="G795" s="2" t="s">
        <v>2224</v>
      </c>
      <c r="H795" s="2" t="s">
        <v>275</v>
      </c>
      <c r="I795" s="2" t="str">
        <f ca="1">IFERROR(__xludf.DUMMYFUNCTION("GOOGLETRANSLATE(C795,""fr"",""en"")"),"What to say except for fleeing them. Insurance that does not respect its customers at all. During an accident while I park a gentleman got me in it. I have a testimony that proves that it was he who returned to my car. The Matmut sends me a letter to say "&amp;"to me ""you were in reverse your witness confirms it you are twisted 100%"" without even taking into account the continuation of the testimony which says that it is the other that is me returns inside. The height is that by phone an advisor told me testim"&amp;"ony or not you are in reverse you are responsible. On the phone, it's Sourd my colleague also had problems with them and advised me not to go to their homes. I should have listened to it. This insurance is just to take money")</f>
        <v>What to say except for fleeing them. Insurance that does not respect its customers at all. During an accident while I park a gentleman got me in it. I have a testimony that proves that it was he who returned to my car. The Matmut sends me a letter to say to me "you were in reverse your witness confirms it you are twisted 100%" without even taking into account the continuation of the testimony which says that it is the other that is me returns inside. The height is that by phone an advisor told me testimony or not you are in reverse you are responsible. On the phone, it's Sourd my colleague also had problems with them and advised me not to go to their homes. I should have listened to it. This insurance is just to take money</v>
      </c>
    </row>
    <row r="796" spans="1:9" ht="15.75" customHeight="1" x14ac:dyDescent="0.3">
      <c r="A796" s="2">
        <v>4</v>
      </c>
      <c r="B796" s="2" t="s">
        <v>2225</v>
      </c>
      <c r="C796" s="2" t="s">
        <v>2226</v>
      </c>
      <c r="D796" s="2" t="s">
        <v>28</v>
      </c>
      <c r="E796" s="2" t="s">
        <v>14</v>
      </c>
      <c r="F796" s="2" t="s">
        <v>15</v>
      </c>
      <c r="G796" s="2" t="s">
        <v>82</v>
      </c>
      <c r="H796" s="2" t="s">
        <v>83</v>
      </c>
      <c r="I796" s="2" t="str">
        <f ca="1">IFERROR(__xludf.DUMMYFUNCTION("GOOGLETRANSLATE(C796,""fr"",""en"")"),"I am relatively satisfied with auto insurance I have already taken out three very simple contracts to subscribe and replace the documents I validate.")</f>
        <v>I am relatively satisfied with auto insurance I have already taken out three very simple contracts to subscribe and replace the documents I validate.</v>
      </c>
    </row>
    <row r="797" spans="1:9" ht="15.75" customHeight="1" x14ac:dyDescent="0.3">
      <c r="A797" s="2">
        <v>4</v>
      </c>
      <c r="B797" s="2" t="s">
        <v>2227</v>
      </c>
      <c r="C797" s="2" t="s">
        <v>2228</v>
      </c>
      <c r="D797" s="2" t="s">
        <v>664</v>
      </c>
      <c r="E797" s="2" t="s">
        <v>39</v>
      </c>
      <c r="F797" s="2" t="s">
        <v>15</v>
      </c>
      <c r="G797" s="2" t="s">
        <v>2229</v>
      </c>
      <c r="H797" s="2" t="s">
        <v>474</v>
      </c>
      <c r="I797" s="2" t="str">
        <f ca="1">IFERROR(__xludf.DUMMYFUNCTION("GOOGLETRANSLATE(C797,""fr"",""en"")"),"Santiane customer for more years contacted for change of contract. .build the point. Mutual request with better services.")</f>
        <v>Santiane customer for more years contacted for change of contract. .build the point. Mutual request with better services.</v>
      </c>
    </row>
    <row r="798" spans="1:9" ht="15.75" customHeight="1" x14ac:dyDescent="0.3">
      <c r="A798" s="2">
        <v>1</v>
      </c>
      <c r="B798" s="2" t="s">
        <v>2230</v>
      </c>
      <c r="C798" s="2" t="s">
        <v>2231</v>
      </c>
      <c r="D798" s="2" t="s">
        <v>664</v>
      </c>
      <c r="E798" s="2" t="s">
        <v>39</v>
      </c>
      <c r="F798" s="2" t="s">
        <v>15</v>
      </c>
      <c r="G798" s="2" t="s">
        <v>2232</v>
      </c>
      <c r="H798" s="2" t="s">
        <v>354</v>
      </c>
      <c r="I798" s="2" t="str">
        <f ca="1">IFERROR(__xludf.DUMMYFUNCTION("GOOGLETRANSLATE(C798,""fr"",""en"")"),"Hello,
I made a membership request on 18/11/2020 Senior EPSIL contract+ N ° S7518-9374648.
I asserted my right of retraction this morning on 12/11/2020.
Despite this, I received the membership certificate with its schedule.
Please take into account my"&amp;" cancellation of membership request.
Cordially")</f>
        <v>Hello,
I made a membership request on 18/11/2020 Senior EPSIL contract+ N ° S7518-9374648.
I asserted my right of retraction this morning on 12/11/2020.
Despite this, I received the membership certificate with its schedule.
Please take into account my cancellation of membership request.
Cordially</v>
      </c>
    </row>
    <row r="799" spans="1:9" ht="15.75" customHeight="1" x14ac:dyDescent="0.3">
      <c r="A799" s="2">
        <v>2</v>
      </c>
      <c r="B799" s="2" t="s">
        <v>2233</v>
      </c>
      <c r="C799" s="2" t="s">
        <v>2234</v>
      </c>
      <c r="D799" s="2" t="s">
        <v>303</v>
      </c>
      <c r="E799" s="2" t="s">
        <v>14</v>
      </c>
      <c r="F799" s="2" t="s">
        <v>15</v>
      </c>
      <c r="G799" s="2" t="s">
        <v>2235</v>
      </c>
      <c r="H799" s="2" t="s">
        <v>994</v>
      </c>
      <c r="I799" s="2" t="str">
        <f ca="1">IFERROR(__xludf.DUMMYFUNCTION("GOOGLETRANSLATE(C799,""fr"",""en"")"),"I had a non -responsible accident, a face to face with an alcoholic person, my 18 -month -old daughter with me in the vehicle. Insured all risks I was first refused to renew myself at my house after being taken by firefighters to the emergency room of the"&amp;" hospital, I had to go back by bus no longer being on the scene of the accident, Then I was refused the loan of the vehicle, I had to get the laws out to have the right and I have spent 25% of the rental, then I am informed that my 18 month old daughter n"&amp;" ' is not considered to be the victim of the accident since I quote ""she will no longer remember it as an adult"". After that, I am sent to an expert who judges essential to have a psychiatric follow -up, I had to advance all my sessions because my inter"&amp;"locutor in charge of my file never reminded me, despite the many recovery where he always lacked a paper ! After 10 sessions and 400 euros spent, she informs me that I only have the right to 3 reimbursed sessions and that I would not have more! I had to s"&amp;"top the sessions immediately. After consultation with the expert doctor, he informs me that the Macif should never have such comments since it is up to him to decide the number of useful sessions. For my daughter who was not saying not the victim I was fi"&amp;"rst proposed the sum of 110 euros in compensation, after having written a letter for indicated my dissatisfaction I am sent to an expert doctor who estimates the amount at 1400 euros! 10 years that I have my license, 10 years that I am assured, no acciden"&amp;"t wrongly, I expected my insurance with whom I have 4 contracts, that she does her job, namely to defend myself with the opposing insurance! No support, no help, deplorable service! Now that this story is behind me, my 2 auto insurance, my motorcycle insu"&amp;"rance and my home insurance will be happy to go and see elsewhere!")</f>
        <v>I had a non -responsible accident, a face to face with an alcoholic person, my 18 -month -old daughter with me in the vehicle. Insured all risks I was first refused to renew myself at my house after being taken by firefighters to the emergency room of the hospital, I had to go back by bus no longer being on the scene of the accident, Then I was refused the loan of the vehicle, I had to get the laws out to have the right and I have spent 25% of the rental, then I am informed that my 18 month old daughter n ' is not considered to be the victim of the accident since I quote "she will no longer remember it as an adult". After that, I am sent to an expert who judges essential to have a psychiatric follow -up, I had to advance all my sessions because my interlocutor in charge of my file never reminded me, despite the many recovery where he always lacked a paper ! After 10 sessions and 400 euros spent, she informs me that I only have the right to 3 reimbursed sessions and that I would not have more! I had to stop the sessions immediately. After consultation with the expert doctor, he informs me that the Macif should never have such comments since it is up to him to decide the number of useful sessions. For my daughter who was not saying not the victim I was first proposed the sum of 110 euros in compensation, after having written a letter for indicated my dissatisfaction I am sent to an expert doctor who estimates the amount at 1400 euros! 10 years that I have my license, 10 years that I am assured, no accident wrongly, I expected my insurance with whom I have 4 contracts, that she does her job, namely to defend myself with the opposing insurance! No support, no help, deplorable service! Now that this story is behind me, my 2 auto insurance, my motorcycle insurance and my home insurance will be happy to go and see elsewhere!</v>
      </c>
    </row>
    <row r="800" spans="1:9" ht="15.75" customHeight="1" x14ac:dyDescent="0.3">
      <c r="A800" s="2">
        <v>3</v>
      </c>
      <c r="B800" s="2" t="s">
        <v>2236</v>
      </c>
      <c r="C800" s="2" t="s">
        <v>2237</v>
      </c>
      <c r="D800" s="2" t="s">
        <v>303</v>
      </c>
      <c r="E800" s="2" t="s">
        <v>14</v>
      </c>
      <c r="F800" s="2" t="s">
        <v>15</v>
      </c>
      <c r="G800" s="2" t="s">
        <v>2238</v>
      </c>
      <c r="H800" s="2" t="s">
        <v>899</v>
      </c>
      <c r="I800" s="2" t="str">
        <f ca="1">IFERROR(__xludf.DUMMYFUNCTION("GOOGLETRANSLATE(C800,""fr"",""en"")"),"Hello I am disgusted and collapsed by this insurance I am assured of any risk I pay 150 € of insurance per month I was stolen my family vehicle Peugeot 508 any option now I find myself in the enbarras to take the bus with my Girl and my husband the day I "&amp;"brought back the complaint of my vehicle from the Commissariat La Macif I had a document filling a document by asking me the approximate number of kilometers the Macif replied negatively by telling me that he would take Not in charge of reimbursement of m"&amp;"y vehicle had to have mistakes on my part concerning the number of kilometers following SA I sent to the complaint service a file proving my good faith by demonstrating the bank check of € 14,000 for my vehicle photos The invoices at the support then I am"&amp;" answered by vocal message in unknown that the declarations that I provided are fraudulent all its to say that it is serious very very serious to react thus and shameful of the savings of 10 years I have not meri and no one should live it. I am still wait"&amp;"ing I have sent my file but to no avail")</f>
        <v>Hello I am disgusted and collapsed by this insurance I am assured of any risk I pay 150 € of insurance per month I was stolen my family vehicle Peugeot 508 any option now I find myself in the enbarras to take the bus with my Girl and my husband the day I brought back the complaint of my vehicle from the Commissariat La Macif I had a document filling a document by asking me the approximate number of kilometers the Macif replied negatively by telling me that he would take Not in charge of reimbursement of my vehicle had to have mistakes on my part concerning the number of kilometers following SA I sent to the complaint service a file proving my good faith by demonstrating the bank check of € 14,000 for my vehicle photos The invoices at the support then I am answered by vocal message in unknown that the declarations that I provided are fraudulent all its to say that it is serious very very serious to react thus and shameful of the savings of 10 years I have not meri and no one should live it. I am still waiting I have sent my file but to no avail</v>
      </c>
    </row>
    <row r="801" spans="1:9" ht="15.75" customHeight="1" x14ac:dyDescent="0.3">
      <c r="A801" s="2">
        <v>1</v>
      </c>
      <c r="B801" s="2" t="s">
        <v>2239</v>
      </c>
      <c r="C801" s="2" t="s">
        <v>2240</v>
      </c>
      <c r="D801" s="2" t="s">
        <v>303</v>
      </c>
      <c r="E801" s="2" t="s">
        <v>14</v>
      </c>
      <c r="F801" s="2" t="s">
        <v>15</v>
      </c>
      <c r="G801" s="2" t="s">
        <v>2241</v>
      </c>
      <c r="H801" s="2" t="s">
        <v>67</v>
      </c>
      <c r="I801" s="2" t="str">
        <f ca="1">IFERROR(__xludf.DUMMYFUNCTION("GOOGLETRANSLATE(C801,""fr"",""en"")"),"Member since 1988, for a few years I have been asking myself a lot of questions about the Macif !!! Price, services, customer service. Insurance do finance, and banks do insurance. To meditate ... the competition is lively and thank God because it allows "&amp;"us to see certain flaws, also at the Macif.
After 32 years of good and loyal service, I will look to other horizons. I financed more than benefited from the Macif. We know the rule of the game. I will stop there at the Macif, and see what is most advanta"&amp;"geous for me in value for money.")</f>
        <v>Member since 1988, for a few years I have been asking myself a lot of questions about the Macif !!! Price, services, customer service. Insurance do finance, and banks do insurance. To meditate ... the competition is lively and thank God because it allows us to see certain flaws, also at the Macif.
After 32 years of good and loyal service, I will look to other horizons. I financed more than benefited from the Macif. We know the rule of the game. I will stop there at the Macif, and see what is most advantageous for me in value for money.</v>
      </c>
    </row>
    <row r="802" spans="1:9" ht="15.75" customHeight="1" x14ac:dyDescent="0.3">
      <c r="A802" s="2">
        <v>2</v>
      </c>
      <c r="B802" s="2" t="s">
        <v>2242</v>
      </c>
      <c r="C802" s="2" t="s">
        <v>2243</v>
      </c>
      <c r="D802" s="2" t="s">
        <v>322</v>
      </c>
      <c r="E802" s="2" t="s">
        <v>14</v>
      </c>
      <c r="F802" s="2" t="s">
        <v>15</v>
      </c>
      <c r="G802" s="2" t="s">
        <v>2244</v>
      </c>
      <c r="H802" s="2" t="s">
        <v>1034</v>
      </c>
      <c r="I802" s="2" t="str">
        <f ca="1">IFERROR(__xludf.DUMMYFUNCTION("GOOGLETRANSLATE(C802,""fr"",""en"")"),"Attractive prices but it's been almost 1 month since every day I send the supporting documents to receive the final green card I receive emails stipulating that my request will be processed as soon as possible but nothing when I call I fall On advisers wh"&amp;"o do not understand what I ask them in addition to 80 cents the minutes the minutes really very disappointed I made myself verbalized because it did not have a sticker and yet my 3 -month subscription was well debited")</f>
        <v>Attractive prices but it's been almost 1 month since every day I send the supporting documents to receive the final green card I receive emails stipulating that my request will be processed as soon as possible but nothing when I call I fall On advisers who do not understand what I ask them in addition to 80 cents the minutes the minutes really very disappointed I made myself verbalized because it did not have a sticker and yet my 3 -month subscription was well debited</v>
      </c>
    </row>
    <row r="803" spans="1:9" ht="15.75" customHeight="1" x14ac:dyDescent="0.3">
      <c r="A803" s="2">
        <v>5</v>
      </c>
      <c r="B803" s="2" t="s">
        <v>2245</v>
      </c>
      <c r="C803" s="2" t="s">
        <v>2246</v>
      </c>
      <c r="D803" s="2" t="s">
        <v>13</v>
      </c>
      <c r="E803" s="2" t="s">
        <v>14</v>
      </c>
      <c r="F803" s="2" t="s">
        <v>15</v>
      </c>
      <c r="G803" s="2" t="s">
        <v>155</v>
      </c>
      <c r="H803" s="2" t="s">
        <v>71</v>
      </c>
      <c r="I803" s="2" t="str">
        <f ca="1">IFERROR(__xludf.DUMMYFUNCTION("GOOGLETRANSLATE(C803,""fr"",""en"")"),"Nothing to say, reactive insurance and at prices defying all competitions
I was able to insure in 1 day and at the slightest question or request, customer service is there.")</f>
        <v>Nothing to say, reactive insurance and at prices defying all competitions
I was able to insure in 1 day and at the slightest question or request, customer service is there.</v>
      </c>
    </row>
    <row r="804" spans="1:9" ht="15.75" customHeight="1" x14ac:dyDescent="0.3">
      <c r="A804" s="2">
        <v>1</v>
      </c>
      <c r="B804" s="2" t="s">
        <v>2247</v>
      </c>
      <c r="C804" s="2" t="s">
        <v>2248</v>
      </c>
      <c r="D804" s="2" t="s">
        <v>303</v>
      </c>
      <c r="E804" s="2" t="s">
        <v>129</v>
      </c>
      <c r="F804" s="2" t="s">
        <v>15</v>
      </c>
      <c r="G804" s="2" t="s">
        <v>2249</v>
      </c>
      <c r="H804" s="2" t="s">
        <v>1332</v>
      </c>
      <c r="I804" s="2" t="str">
        <f ca="1">IFERROR(__xludf.DUMMYFUNCTION("GOOGLETRANSLATE(C804,""fr"",""en"")"),"You pay every month but when you have a claim (theft) Do not expect to be reimbursing the deductible by account, he does not forget to claim it, for around 5,000 to 6000 euros you will have 400 euro It's great I recommend the Macif Macif not to forget")</f>
        <v>You pay every month but when you have a claim (theft) Do not expect to be reimbursing the deductible by account, he does not forget to claim it, for around 5,000 to 6000 euros you will have 400 euro It's great I recommend the Macif Macif not to forget</v>
      </c>
    </row>
    <row r="805" spans="1:9" ht="15.75" customHeight="1" x14ac:dyDescent="0.3">
      <c r="A805" s="2">
        <v>1</v>
      </c>
      <c r="B805" s="2" t="s">
        <v>2250</v>
      </c>
      <c r="C805" s="2" t="s">
        <v>2251</v>
      </c>
      <c r="D805" s="2" t="s">
        <v>65</v>
      </c>
      <c r="E805" s="2" t="s">
        <v>61</v>
      </c>
      <c r="F805" s="2" t="s">
        <v>15</v>
      </c>
      <c r="G805" s="2" t="s">
        <v>2252</v>
      </c>
      <c r="H805" s="2" t="s">
        <v>224</v>
      </c>
      <c r="I805" s="2" t="str">
        <f ca="1">IFERROR(__xludf.DUMMYFUNCTION("GOOGLETRANSLATE(C805,""fr"",""en"")"),"Dear Insurance Rights of high entry, poor yield with extremely sharp drop fluctuations, and very low upwards. A heavy website often out of service and giving the results randomly. Little combative insurer to defend the interests of its customers during di"&amp;"sputes with another insurance.")</f>
        <v>Dear Insurance Rights of high entry, poor yield with extremely sharp drop fluctuations, and very low upwards. A heavy website often out of service and giving the results randomly. Little combative insurer to defend the interests of its customers during disputes with another insurance.</v>
      </c>
    </row>
    <row r="806" spans="1:9" ht="15.75" customHeight="1" x14ac:dyDescent="0.3">
      <c r="A806" s="2">
        <v>1</v>
      </c>
      <c r="B806" s="2" t="s">
        <v>2253</v>
      </c>
      <c r="C806" s="2" t="s">
        <v>2254</v>
      </c>
      <c r="D806" s="2" t="s">
        <v>303</v>
      </c>
      <c r="E806" s="2" t="s">
        <v>14</v>
      </c>
      <c r="F806" s="2" t="s">
        <v>15</v>
      </c>
      <c r="G806" s="2" t="s">
        <v>1818</v>
      </c>
      <c r="H806" s="2" t="s">
        <v>111</v>
      </c>
      <c r="I806" s="2" t="str">
        <f ca="1">IFERROR(__xludf.DUMMYFUNCTION("GOOGLETRANSLATE(C806,""fr"",""en"")"),"WARNING
Monitor your sample well, have had automatic samples and no problem of money reported late that they have taken the premium hang 3 years for a vehicle sold. Even supplied the foreign gray card proving that the car is well outside France and insur"&amp;"ed abroad the Macif reimburses that 2 years. So money cashed but do not want to reimburse. The reason for non -reimbursement he cannot go back to their file is more than 2 years old and does not reimburse despite they have the evidence before their eyes.
"&amp;"
Customer has the Macif since 1988 and never a claim, tell you the consideration of customers loyal to the Macif.")</f>
        <v>WARNING
Monitor your sample well, have had automatic samples and no problem of money reported late that they have taken the premium hang 3 years for a vehicle sold. Even supplied the foreign gray card proving that the car is well outside France and insured abroad the Macif reimburses that 2 years. So money cashed but do not want to reimburse. The reason for non -reimbursement he cannot go back to their file is more than 2 years old and does not reimburse despite they have the evidence before their eyes.
Customer has the Macif since 1988 and never a claim, tell you the consideration of customers loyal to the Macif.</v>
      </c>
    </row>
    <row r="807" spans="1:9" ht="15.75" customHeight="1" x14ac:dyDescent="0.3">
      <c r="A807" s="2">
        <v>4</v>
      </c>
      <c r="B807" s="2" t="s">
        <v>2255</v>
      </c>
      <c r="C807" s="2" t="s">
        <v>2256</v>
      </c>
      <c r="D807" s="2" t="s">
        <v>28</v>
      </c>
      <c r="E807" s="2" t="s">
        <v>14</v>
      </c>
      <c r="F807" s="2" t="s">
        <v>15</v>
      </c>
      <c r="G807" s="2" t="s">
        <v>716</v>
      </c>
      <c r="H807" s="2" t="s">
        <v>25</v>
      </c>
      <c r="I807" s="2" t="str">
        <f ca="1">IFERROR(__xludf.DUMMYFUNCTION("GOOGLETRANSLATE(C807,""fr"",""en"")"),"I am satisfied with the service. The online advisor is available and clearly explains the guarantees subscribed. Kindness of insurance advisers.")</f>
        <v>I am satisfied with the service. The online advisor is available and clearly explains the guarantees subscribed. Kindness of insurance advisers.</v>
      </c>
    </row>
    <row r="808" spans="1:9" ht="15.75" customHeight="1" x14ac:dyDescent="0.3">
      <c r="A808" s="2">
        <v>2</v>
      </c>
      <c r="B808" s="2" t="s">
        <v>2257</v>
      </c>
      <c r="C808" s="2" t="s">
        <v>2258</v>
      </c>
      <c r="D808" s="2" t="s">
        <v>13</v>
      </c>
      <c r="E808" s="2" t="s">
        <v>14</v>
      </c>
      <c r="F808" s="2" t="s">
        <v>15</v>
      </c>
      <c r="G808" s="2" t="s">
        <v>121</v>
      </c>
      <c r="H808" s="2" t="s">
        <v>21</v>
      </c>
      <c r="I808" s="2" t="str">
        <f ca="1">IFERROR(__xludf.DUMMYFUNCTION("GOOGLETRANSLATE(C808,""fr"",""en"")"),"I am not satisfied with the amounts applied this year, while the car does not drive. I cannot see from the site, the various formulas accessible to my vehicle ...")</f>
        <v>I am not satisfied with the amounts applied this year, while the car does not drive. I cannot see from the site, the various formulas accessible to my vehicle ...</v>
      </c>
    </row>
    <row r="809" spans="1:9" ht="15.75" customHeight="1" x14ac:dyDescent="0.3">
      <c r="A809" s="2">
        <v>2</v>
      </c>
      <c r="B809" s="2" t="s">
        <v>2259</v>
      </c>
      <c r="C809" s="2" t="s">
        <v>2260</v>
      </c>
      <c r="D809" s="2" t="s">
        <v>326</v>
      </c>
      <c r="E809" s="2" t="s">
        <v>81</v>
      </c>
      <c r="F809" s="2" t="s">
        <v>15</v>
      </c>
      <c r="G809" s="2" t="s">
        <v>2261</v>
      </c>
      <c r="H809" s="2" t="s">
        <v>1344</v>
      </c>
      <c r="I809" s="2" t="str">
        <f ca="1">IFERROR(__xludf.DUMMYFUNCTION("GOOGLETRANSLATE(C809,""fr"",""en"")"),"Customer for 3 years, I am very mixed with this insurance. The administrative part is very procedural, asking for the quantities of supporting documents that it lightens and more endeavors, from the annexes of the contract to the proofs of purchase of ant"&amp;"i -theft. It is painful and it happened on my 3 successive motorcycles. I also had a claim and my mechanic damaged the bike saddle during the repair. Axa did not follow up on the problem, arguing that this motorcycle mechanic was not approved (there is no"&amp;"ne in Paris in fact). Finally, when I changed motorcycles they continued to take the contribution of the old motorcycle (however terminated and cropped CG provided) for 6 months despite my interventions. € 440 in dispute still in progress with a general a"&amp;"gent who does not care. I am looking for another insurer.")</f>
        <v>Customer for 3 years, I am very mixed with this insurance. The administrative part is very procedural, asking for the quantities of supporting documents that it lightens and more endeavors, from the annexes of the contract to the proofs of purchase of anti -theft. It is painful and it happened on my 3 successive motorcycles. I also had a claim and my mechanic damaged the bike saddle during the repair. Axa did not follow up on the problem, arguing that this motorcycle mechanic was not approved (there is none in Paris in fact). Finally, when I changed motorcycles they continued to take the contribution of the old motorcycle (however terminated and cropped CG provided) for 6 months despite my interventions. € 440 in dispute still in progress with a general agent who does not care. I am looking for another insurer.</v>
      </c>
    </row>
    <row r="810" spans="1:9" ht="15.75" customHeight="1" x14ac:dyDescent="0.3">
      <c r="A810" s="2">
        <v>2</v>
      </c>
      <c r="B810" s="2" t="s">
        <v>2262</v>
      </c>
      <c r="C810" s="2" t="s">
        <v>2263</v>
      </c>
      <c r="D810" s="2" t="s">
        <v>322</v>
      </c>
      <c r="E810" s="2" t="s">
        <v>14</v>
      </c>
      <c r="F810" s="2" t="s">
        <v>15</v>
      </c>
      <c r="G810" s="2" t="s">
        <v>2264</v>
      </c>
      <c r="H810" s="2" t="s">
        <v>484</v>
      </c>
      <c r="I810" s="2" t="str">
        <f ca="1">IFERROR(__xludf.DUMMYFUNCTION("GOOGLETRANSLATE(C810,""fr"",""en"")"),"Like many I thought it useful to take the cheapest insurance for my car and result
Never received an insurance sticker for 8 months
None no customer service, worse a hotline that costs 80 ct per minute !!
No response to emails sent
A subscription that"&amp;" increases without explanation or reason !!
Exorbitant termination fees
To flee as soon as possible !! A pure scandal, this company is only organized to trap you and remind us that an abnormally low price is still suspicious")</f>
        <v>Like many I thought it useful to take the cheapest insurance for my car and result
Never received an insurance sticker for 8 months
None no customer service, worse a hotline that costs 80 ct per minute !!
No response to emails sent
A subscription that increases without explanation or reason !!
Exorbitant termination fees
To flee as soon as possible !! A pure scandal, this company is only organized to trap you and remind us that an abnormally low price is still suspicious</v>
      </c>
    </row>
    <row r="811" spans="1:9" ht="15.75" customHeight="1" x14ac:dyDescent="0.3">
      <c r="A811" s="2">
        <v>5</v>
      </c>
      <c r="B811" s="2" t="s">
        <v>2265</v>
      </c>
      <c r="C811" s="2" t="s">
        <v>2266</v>
      </c>
      <c r="D811" s="2" t="s">
        <v>13</v>
      </c>
      <c r="E811" s="2" t="s">
        <v>14</v>
      </c>
      <c r="F811" s="2" t="s">
        <v>15</v>
      </c>
      <c r="G811" s="2" t="s">
        <v>1011</v>
      </c>
      <c r="H811" s="2" t="s">
        <v>111</v>
      </c>
      <c r="I811" s="2" t="str">
        <f ca="1">IFERROR(__xludf.DUMMYFUNCTION("GOOGLETRANSLATE(C811,""fr"",""en"")"),"Satisfied with the services offered at Direct Insurance
Fast and clear attractive price compare to other insurers
Thank you
Thank you I recommend
")</f>
        <v xml:space="preserve">Satisfied with the services offered at Direct Insurance
Fast and clear attractive price compare to other insurers
Thank you
Thank you I recommend
</v>
      </c>
    </row>
    <row r="812" spans="1:9" ht="15.75" customHeight="1" x14ac:dyDescent="0.3">
      <c r="A812" s="2">
        <v>1</v>
      </c>
      <c r="B812" s="2" t="s">
        <v>2267</v>
      </c>
      <c r="C812" s="2" t="s">
        <v>2268</v>
      </c>
      <c r="D812" s="2" t="s">
        <v>326</v>
      </c>
      <c r="E812" s="2" t="s">
        <v>129</v>
      </c>
      <c r="F812" s="2" t="s">
        <v>15</v>
      </c>
      <c r="G812" s="2" t="s">
        <v>142</v>
      </c>
      <c r="H812" s="2" t="s">
        <v>111</v>
      </c>
      <c r="I812" s="2" t="str">
        <f ca="1">IFERROR(__xludf.DUMMYFUNCTION("GOOGLETRANSLATE(C812,""fr"",""en"")"),"Our 27m Carre Studio underwent a large watershed on June 5, 2020. The beginning they refused to compensate for the fact that we could not use the studio and offered no compensation. The room was 90%wet. They refused to set up a dehumifier who would have d"&amp;"ry it in 3 weeks and waited 11 months before starting the work. We are still waiting in August 2021 that they finish putting it back in state the soil, the cupboards and the window. Avoid Axa took everything.")</f>
        <v>Our 27m Carre Studio underwent a large watershed on June 5, 2020. The beginning they refused to compensate for the fact that we could not use the studio and offered no compensation. The room was 90%wet. They refused to set up a dehumifier who would have dry it in 3 weeks and waited 11 months before starting the work. We are still waiting in August 2021 that they finish putting it back in state the soil, the cupboards and the window. Avoid Axa took everything.</v>
      </c>
    </row>
    <row r="813" spans="1:9" ht="15.75" customHeight="1" x14ac:dyDescent="0.3">
      <c r="A813" s="2">
        <v>4</v>
      </c>
      <c r="B813" s="2" t="s">
        <v>2269</v>
      </c>
      <c r="C813" s="2" t="s">
        <v>2270</v>
      </c>
      <c r="D813" s="2" t="s">
        <v>799</v>
      </c>
      <c r="E813" s="2" t="s">
        <v>129</v>
      </c>
      <c r="F813" s="2" t="s">
        <v>15</v>
      </c>
      <c r="G813" s="2" t="s">
        <v>484</v>
      </c>
      <c r="H813" s="2" t="s">
        <v>484</v>
      </c>
      <c r="I813" s="2" t="str">
        <f ca="1">IFERROR(__xludf.DUMMYFUNCTION("GOOGLETRANSLATE(C813,""fr"",""en"")"),"A closed subscribed in addition to my home insurance. I was well compensated in compliance with the contract for a laptop flight.")</f>
        <v>A closed subscribed in addition to my home insurance. I was well compensated in compliance with the contract for a laptop flight.</v>
      </c>
    </row>
    <row r="814" spans="1:9" ht="15.75" customHeight="1" x14ac:dyDescent="0.3">
      <c r="A814" s="2">
        <v>2</v>
      </c>
      <c r="B814" s="2" t="s">
        <v>2271</v>
      </c>
      <c r="C814" s="2" t="s">
        <v>2272</v>
      </c>
      <c r="D814" s="2" t="s">
        <v>13</v>
      </c>
      <c r="E814" s="2" t="s">
        <v>14</v>
      </c>
      <c r="F814" s="2" t="s">
        <v>15</v>
      </c>
      <c r="G814" s="2" t="s">
        <v>2273</v>
      </c>
      <c r="H814" s="2" t="s">
        <v>1058</v>
      </c>
      <c r="I814" s="2" t="str">
        <f ca="1">IFERROR(__xludf.DUMMYFUNCTION("GOOGLETRANSLATE(C814,""fr"",""en"")"),"Shin, small, incompetent, a hanging that has been going on for 3 weeks no response from them. The customer must manage his own disaster for both assistance and the chosen of the garage, in short, all of a z")</f>
        <v>Shin, small, incompetent, a hanging that has been going on for 3 weeks no response from them. The customer must manage his own disaster for both assistance and the chosen of the garage, in short, all of a z</v>
      </c>
    </row>
    <row r="815" spans="1:9" ht="15.75" customHeight="1" x14ac:dyDescent="0.3">
      <c r="A815" s="2">
        <v>1</v>
      </c>
      <c r="B815" s="2" t="s">
        <v>2274</v>
      </c>
      <c r="C815" s="2" t="s">
        <v>2275</v>
      </c>
      <c r="D815" s="2" t="s">
        <v>254</v>
      </c>
      <c r="E815" s="2" t="s">
        <v>129</v>
      </c>
      <c r="F815" s="2" t="s">
        <v>15</v>
      </c>
      <c r="G815" s="2" t="s">
        <v>2276</v>
      </c>
      <c r="H815" s="2" t="s">
        <v>35</v>
      </c>
      <c r="I815" s="2" t="str">
        <f ca="1">IFERROR(__xludf.DUMMYFUNCTION("GOOGLETRANSLATE(C815,""fr"",""en"")"),"After 25 years in Mayif I realize for 2 years that this company has nothing to do with the one I knew. After 2 claims, a flood and a portal driven by a car, the principle is always the same, the sending of an arrogant expert and at the limit of disrespect"&amp;" which establishes a report equal to the franchise, it is To say that he is paid and you assured have nothing! So as one of these ""experts"" told me alone who cry gets something! I place my opinion here.
If someone knows good insurance I am interested.")</f>
        <v>After 25 years in Mayif I realize for 2 years that this company has nothing to do with the one I knew. After 2 claims, a flood and a portal driven by a car, the principle is always the same, the sending of an arrogant expert and at the limit of disrespect which establishes a report equal to the franchise, it is To say that he is paid and you assured have nothing! So as one of these "experts" told me alone who cry gets something! I place my opinion here.
If someone knows good insurance I am interested.</v>
      </c>
    </row>
    <row r="816" spans="1:9" ht="15.75" customHeight="1" x14ac:dyDescent="0.3">
      <c r="A816" s="2">
        <v>2</v>
      </c>
      <c r="B816" s="2" t="s">
        <v>2277</v>
      </c>
      <c r="C816" s="2" t="s">
        <v>2278</v>
      </c>
      <c r="D816" s="2" t="s">
        <v>303</v>
      </c>
      <c r="E816" s="2" t="s">
        <v>14</v>
      </c>
      <c r="F816" s="2" t="s">
        <v>15</v>
      </c>
      <c r="G816" s="2" t="s">
        <v>2279</v>
      </c>
      <c r="H816" s="2" t="s">
        <v>507</v>
      </c>
      <c r="I816" s="2" t="str">
        <f ca="1">IFERROR(__xludf.DUMMYFUNCTION("GOOGLETRANSLATE(C816,""fr"",""en"")"),"Following a disaster (burned car) impossible to be reimbursed. They are constantly looking for new excuses style missing documents knowing that they already have them in 2 see 3 copies
Person who hangs up with a brief nose to vomit ...
I strongly recomm"&amp;"end this insurer")</f>
        <v>Following a disaster (burned car) impossible to be reimbursed. They are constantly looking for new excuses style missing documents knowing that they already have them in 2 see 3 copies
Person who hangs up with a brief nose to vomit ...
I strongly recommend this insurer</v>
      </c>
    </row>
    <row r="817" spans="1:9" ht="15.75" customHeight="1" x14ac:dyDescent="0.3">
      <c r="A817" s="2">
        <v>1</v>
      </c>
      <c r="B817" s="2" t="s">
        <v>2280</v>
      </c>
      <c r="C817" s="2" t="s">
        <v>2281</v>
      </c>
      <c r="D817" s="2" t="s">
        <v>38</v>
      </c>
      <c r="E817" s="2" t="s">
        <v>39</v>
      </c>
      <c r="F817" s="2" t="s">
        <v>15</v>
      </c>
      <c r="G817" s="2" t="s">
        <v>2282</v>
      </c>
      <c r="H817" s="2" t="s">
        <v>139</v>
      </c>
      <c r="I817" s="2" t="str">
        <f ca="1">IFERROR(__xludf.DUMMYFUNCTION("GOOGLETRANSLATE(C817,""fr"",""en"")"),"Stop contacting us with this call: ""An anomaly has been detected in your health file"" and with a random number. How can you have confidence in you?")</f>
        <v>Stop contacting us with this call: "An anomaly has been detected in your health file" and with a random number. How can you have confidence in you?</v>
      </c>
    </row>
    <row r="818" spans="1:9" ht="15.75" customHeight="1" x14ac:dyDescent="0.3">
      <c r="A818" s="2">
        <v>5</v>
      </c>
      <c r="B818" s="2" t="s">
        <v>2283</v>
      </c>
      <c r="C818" s="2" t="s">
        <v>2284</v>
      </c>
      <c r="D818" s="2" t="s">
        <v>28</v>
      </c>
      <c r="E818" s="2" t="s">
        <v>14</v>
      </c>
      <c r="F818" s="2" t="s">
        <v>15</v>
      </c>
      <c r="G818" s="2" t="s">
        <v>2285</v>
      </c>
      <c r="H818" s="2" t="s">
        <v>25</v>
      </c>
      <c r="I818" s="2" t="str">
        <f ca="1">IFERROR(__xludf.DUMMYFUNCTION("GOOGLETRANSLATE(C818,""fr"",""en"")"),"I am satisfied with the service, the price suits me
This simple and fast, you are among the insurance of the first category
So I just say bravo")</f>
        <v>I am satisfied with the service, the price suits me
This simple and fast, you are among the insurance of the first category
So I just say bravo</v>
      </c>
    </row>
    <row r="819" spans="1:9" ht="15.75" customHeight="1" x14ac:dyDescent="0.3">
      <c r="A819" s="2">
        <v>2</v>
      </c>
      <c r="B819" s="2" t="s">
        <v>2286</v>
      </c>
      <c r="C819" s="2" t="s">
        <v>2287</v>
      </c>
      <c r="D819" s="2" t="s">
        <v>799</v>
      </c>
      <c r="E819" s="2" t="s">
        <v>129</v>
      </c>
      <c r="F819" s="2" t="s">
        <v>15</v>
      </c>
      <c r="G819" s="2" t="s">
        <v>2288</v>
      </c>
      <c r="H819" s="2" t="s">
        <v>414</v>
      </c>
      <c r="I819" s="2" t="str">
        <f ca="1">IFERROR(__xludf.DUMMYFUNCTION("GOOGLETRANSLATE(C819,""fr"",""en"")"),"Insurer to flee! I have a legal assistance file in progress since 2015. Impossible to contact the file manager. No reminder of this person. My file on my account is empty.
A loss car never resolved !!
")</f>
        <v xml:space="preserve">Insurer to flee! I have a legal assistance file in progress since 2015. Impossible to contact the file manager. No reminder of this person. My file on my account is empty.
A loss car never resolved !!
</v>
      </c>
    </row>
    <row r="820" spans="1:9" ht="15.75" customHeight="1" x14ac:dyDescent="0.3">
      <c r="A820" s="2">
        <v>5</v>
      </c>
      <c r="B820" s="2" t="s">
        <v>2289</v>
      </c>
      <c r="C820" s="2" t="s">
        <v>2290</v>
      </c>
      <c r="D820" s="2" t="s">
        <v>28</v>
      </c>
      <c r="E820" s="2" t="s">
        <v>14</v>
      </c>
      <c r="F820" s="2" t="s">
        <v>15</v>
      </c>
      <c r="G820" s="2" t="s">
        <v>173</v>
      </c>
      <c r="H820" s="2" t="s">
        <v>30</v>
      </c>
      <c r="I820" s="2" t="str">
        <f ca="1">IFERROR(__xludf.DUMMYFUNCTION("GOOGLETRANSLATE(C820,""fr"",""en"")"),"Top insurance. This is my 1st car insurance, and I made a lot of quotes in other insurances and the prices were exorbitant! Really satisfied with the price and services and ""protection"" offered.")</f>
        <v>Top insurance. This is my 1st car insurance, and I made a lot of quotes in other insurances and the prices were exorbitant! Really satisfied with the price and services and "protection" offered.</v>
      </c>
    </row>
    <row r="821" spans="1:9" ht="15.75" customHeight="1" x14ac:dyDescent="0.3">
      <c r="A821" s="2">
        <v>2</v>
      </c>
      <c r="B821" s="2" t="s">
        <v>2291</v>
      </c>
      <c r="C821" s="2" t="s">
        <v>2292</v>
      </c>
      <c r="D821" s="2" t="s">
        <v>49</v>
      </c>
      <c r="E821" s="2" t="s">
        <v>50</v>
      </c>
      <c r="F821" s="2" t="s">
        <v>15</v>
      </c>
      <c r="G821" s="2" t="s">
        <v>2293</v>
      </c>
      <c r="H821" s="2" t="s">
        <v>484</v>
      </c>
      <c r="I821" s="2" t="str">
        <f ca="1">IFERROR(__xludf.DUMMYFUNCTION("GOOGLETRANSLATE(C821,""fr"",""en"")"),"It all depends on which advisor we fall because sometimes some are contemptuous. There is a refund in 48 hours but still nothing after two weeks for an invoice of 100 euros. Too bad for the start of a commercial relationship it is not at the top.")</f>
        <v>It all depends on which advisor we fall because sometimes some are contemptuous. There is a refund in 48 hours but still nothing after two weeks for an invoice of 100 euros. Too bad for the start of a commercial relationship it is not at the top.</v>
      </c>
    </row>
    <row r="822" spans="1:9" ht="15.75" customHeight="1" x14ac:dyDescent="0.3">
      <c r="A822" s="2">
        <v>4</v>
      </c>
      <c r="B822" s="2" t="s">
        <v>2294</v>
      </c>
      <c r="C822" s="2" t="s">
        <v>2295</v>
      </c>
      <c r="D822" s="2" t="s">
        <v>197</v>
      </c>
      <c r="E822" s="2" t="s">
        <v>81</v>
      </c>
      <c r="F822" s="2" t="s">
        <v>15</v>
      </c>
      <c r="G822" s="2" t="s">
        <v>2020</v>
      </c>
      <c r="H822" s="2" t="s">
        <v>46</v>
      </c>
      <c r="I822" s="2" t="str">
        <f ca="1">IFERROR(__xludf.DUMMYFUNCTION("GOOGLETRANSLATE(C822,""fr"",""en"")"),"Insurance Interesting for the two wheels on the other hand I cannot decide on the procedures and the responsiveness in the event of a disaster not having very fortunately had the need to have recourse to it. 'Insurance for small rollers like me (2000 km p"&amp;"er year see less since I retired)")</f>
        <v>Insurance Interesting for the two wheels on the other hand I cannot decide on the procedures and the responsiveness in the event of a disaster not having very fortunately had the need to have recourse to it. 'Insurance for small rollers like me (2000 km per year see less since I retired)</v>
      </c>
    </row>
    <row r="823" spans="1:9" ht="15.75" customHeight="1" x14ac:dyDescent="0.3">
      <c r="A823" s="2">
        <v>3</v>
      </c>
      <c r="B823" s="2" t="s">
        <v>2296</v>
      </c>
      <c r="C823" s="2" t="s">
        <v>2297</v>
      </c>
      <c r="D823" s="2" t="s">
        <v>28</v>
      </c>
      <c r="E823" s="2" t="s">
        <v>14</v>
      </c>
      <c r="F823" s="2" t="s">
        <v>15</v>
      </c>
      <c r="G823" s="2" t="s">
        <v>2298</v>
      </c>
      <c r="H823" s="2" t="s">
        <v>21</v>
      </c>
      <c r="I823" s="2" t="str">
        <f ca="1">IFERROR(__xludf.DUMMYFUNCTION("GOOGLETRANSLATE(C823,""fr"",""en"")"),"I will give my definitive opinion later but not at the beginning of my contract. I am satisfied with my first contacts with the Olivier Insurance but C 4est when a problem arises that we measure the reactvite degree of his insurer")</f>
        <v>I will give my definitive opinion later but not at the beginning of my contract. I am satisfied with my first contacts with the Olivier Insurance but C 4est when a problem arises that we measure the reactvite degree of his insurer</v>
      </c>
    </row>
    <row r="824" spans="1:9" ht="15.75" customHeight="1" x14ac:dyDescent="0.3">
      <c r="A824" s="2">
        <v>2</v>
      </c>
      <c r="B824" s="2" t="s">
        <v>2299</v>
      </c>
      <c r="C824" s="2" t="s">
        <v>2300</v>
      </c>
      <c r="D824" s="2" t="s">
        <v>38</v>
      </c>
      <c r="E824" s="2" t="s">
        <v>39</v>
      </c>
      <c r="F824" s="2" t="s">
        <v>15</v>
      </c>
      <c r="G824" s="2" t="s">
        <v>1251</v>
      </c>
      <c r="H824" s="2" t="s">
        <v>83</v>
      </c>
      <c r="I824" s="2" t="str">
        <f ca="1">IFERROR(__xludf.DUMMYFUNCTION("GOOGLETRANSLATE(C824,""fr"",""en"")"),"Hello, I had to chat with Mr Georges for the termination of my contract because I already benefit from CMU for and I am unemployed at the moment so I did not want to adhere already.")</f>
        <v>Hello, I had to chat with Mr Georges for the termination of my contract because I already benefit from CMU for and I am unemployed at the moment so I did not want to adhere already.</v>
      </c>
    </row>
    <row r="825" spans="1:9" ht="15.75" customHeight="1" x14ac:dyDescent="0.3">
      <c r="A825" s="2">
        <v>4</v>
      </c>
      <c r="B825" s="2" t="s">
        <v>2301</v>
      </c>
      <c r="C825" s="2" t="s">
        <v>2302</v>
      </c>
      <c r="D825" s="2" t="s">
        <v>664</v>
      </c>
      <c r="E825" s="2" t="s">
        <v>39</v>
      </c>
      <c r="F825" s="2" t="s">
        <v>15</v>
      </c>
      <c r="G825" s="2" t="s">
        <v>2303</v>
      </c>
      <c r="H825" s="2" t="s">
        <v>181</v>
      </c>
      <c r="I825" s="2" t="str">
        <f ca="1">IFERROR(__xludf.DUMMYFUNCTION("GOOGLETRANSLATE(C825,""fr"",""en"")"),"Listening customer service, thank you Caroline for your clear answers! I come out of this calling and reassured call following a overlap of our two mutuals.")</f>
        <v>Listening customer service, thank you Caroline for your clear answers! I come out of this calling and reassured call following a overlap of our two mutuals.</v>
      </c>
    </row>
    <row r="826" spans="1:9" ht="15.75" customHeight="1" x14ac:dyDescent="0.3">
      <c r="A826" s="2">
        <v>5</v>
      </c>
      <c r="B826" s="2" t="s">
        <v>2304</v>
      </c>
      <c r="C826" s="2" t="s">
        <v>2305</v>
      </c>
      <c r="D826" s="2" t="s">
        <v>530</v>
      </c>
      <c r="E826" s="2" t="s">
        <v>39</v>
      </c>
      <c r="F826" s="2" t="s">
        <v>15</v>
      </c>
      <c r="G826" s="2" t="s">
        <v>2306</v>
      </c>
      <c r="H826" s="2" t="s">
        <v>354</v>
      </c>
      <c r="I826" s="2" t="str">
        <f ca="1">IFERROR(__xludf.DUMMYFUNCTION("GOOGLETRANSLATE(C826,""fr"",""en"")"),"I am very satisfied with the MGP
They are always easy to reach and always very kind
They answer my questions in a very competent manner
No refund problem")</f>
        <v>I am very satisfied with the MGP
They are always easy to reach and always very kind
They answer my questions in a very competent manner
No refund problem</v>
      </c>
    </row>
    <row r="827" spans="1:9" ht="15.75" customHeight="1" x14ac:dyDescent="0.3">
      <c r="A827" s="2">
        <v>2</v>
      </c>
      <c r="B827" s="2" t="s">
        <v>2307</v>
      </c>
      <c r="C827" s="2" t="s">
        <v>2308</v>
      </c>
      <c r="D827" s="2" t="s">
        <v>254</v>
      </c>
      <c r="E827" s="2" t="s">
        <v>129</v>
      </c>
      <c r="F827" s="2" t="s">
        <v>15</v>
      </c>
      <c r="G827" s="2" t="s">
        <v>2309</v>
      </c>
      <c r="H827" s="2" t="s">
        <v>389</v>
      </c>
      <c r="I827" s="2" t="str">
        <f ca="1">IFERROR(__xludf.DUMMYFUNCTION("GOOGLETRANSLATE(C827,""fr"",""en"")"),"Hello,
I strongly advise against Maif. A member for 25 years, no claim, I have been fighting with them for 3 years following a criminal made during an enlargement.
Since 2018, the MAIF announced to me that there was no appeal against the company which h"&amp;"ad carried out the work since it had been struck off in the register of businesses and companies.
This statement was completely false, the company, certainly in financial difficulty, still exists in October 2020 ... it is enough to go to consult the Inte"&amp;"rnet.
This is despite this enormous error, the MAIF does not recognize its error and worse still refuses a review of my situation.
I strongly advise against this insurance.")</f>
        <v>Hello,
I strongly advise against Maif. A member for 25 years, no claim, I have been fighting with them for 3 years following a criminal made during an enlargement.
Since 2018, the MAIF announced to me that there was no appeal against the company which had carried out the work since it had been struck off in the register of businesses and companies.
This statement was completely false, the company, certainly in financial difficulty, still exists in October 2020 ... it is enough to go to consult the Internet.
This is despite this enormous error, the MAIF does not recognize its error and worse still refuses a review of my situation.
I strongly advise against this insurance.</v>
      </c>
    </row>
    <row r="828" spans="1:9" ht="15.75" customHeight="1" x14ac:dyDescent="0.3">
      <c r="A828" s="2">
        <v>1</v>
      </c>
      <c r="B828" s="2" t="s">
        <v>2310</v>
      </c>
      <c r="C828" s="2" t="s">
        <v>2311</v>
      </c>
      <c r="D828" s="2" t="s">
        <v>13</v>
      </c>
      <c r="E828" s="2" t="s">
        <v>14</v>
      </c>
      <c r="F828" s="2" t="s">
        <v>15</v>
      </c>
      <c r="G828" s="2" t="s">
        <v>2312</v>
      </c>
      <c r="H828" s="2" t="s">
        <v>41</v>
      </c>
      <c r="I828" s="2" t="str">
        <f ca="1">IFERROR(__xludf.DUMMYFUNCTION("GOOGLETRANSLATE(C828,""fr"",""en"")"),"For the record, 7 years insured with them for the price at the start, but each year you must do the beggar to save a few euros, because as if by magic when your bonus increases the cost of your subscription too (I never understood the concept of ""be a go"&amp;"od driver and you will pay more).
This year I have the right to the biggest joke, I make a quote as a new customer and I see that the annual subscription and € 348 knowing that mine is 436, I tell myself that there is a Problem I contact the advisor via "&amp;"the cat, she tells me to record the quote and strangely I cannot, the session expired (after only 4 minutes ?? !!).
No problem I start again I come in the same info and the BOO 606 € !!!!! But wtf !!!!! So I open a page in private connection and there by"&amp;" entering the same info the price 360 ​​€ (note that we will never find the € 348 on or fled this quote, but he had to leave farnnnnn).
I call an advisor and there I have the right to a branch of stupidity that my info would not be the same and that that"&amp;"'s why the prices change, I ask him to check, he tells me that He cannot then that all the others, in previous years could. I check for my side they are correct. There he must find something else, so he tells me that insurance prices change from day to da"&amp;"y, ok but good from there to change minute in minute, with gigantic price differences, for the same contract anyway There is a margin.
But the biggest joke of advisers was to say to me ""But why you complain, you look at that the price of € 348 and tells"&amp;" you is too expensive but if you look at that of 606 is cheaper, right? ? »Fatality !!!
There I could, I knew what type of living being I had to do, not wanting to be contaminated by his imbecility, I hung up.
It is the most beautiful phase I had at the"&amp;" start of the year, apparently this guy when he sees a car at 20,000 euros and that he knows that he can have it at 10,000 euros, he pays it when Even 20,000 euros because he saw another 25,000 euros. Where does this world go with this kind of person ???
"&amp;"
")</f>
        <v xml:space="preserve">For the record, 7 years insured with them for the price at the start, but each year you must do the beggar to save a few euros, because as if by magic when your bonus increases the cost of your subscription too (I never understood the concept of "be a good driver and you will pay more).
This year I have the right to the biggest joke, I make a quote as a new customer and I see that the annual subscription and € 348 knowing that mine is 436, I tell myself that there is a Problem I contact the advisor via the cat, she tells me to record the quote and strangely I cannot, the session expired (after only 4 minutes ?? !!).
No problem I start again I come in the same info and the BOO 606 € !!!!! But wtf !!!!! So I open a page in private connection and there by entering the same info the price 360 ​​€ (note that we will never find the € 348 on or fled this quote, but he had to leave farnnnnn).
I call an advisor and there I have the right to a branch of stupidity that my info would not be the same and that that's why the prices change, I ask him to check, he tells me that He cannot then that all the others, in previous years could. I check for my side they are correct. There he must find something else, so he tells me that insurance prices change from day to day, ok but good from there to change minute in minute, with gigantic price differences, for the same contract anyway There is a margin.
But the biggest joke of advisers was to say to me "But why you complain, you look at that the price of € 348 and tells you is too expensive but if you look at that of 606 is cheaper, right? ? »Fatality !!!
There I could, I knew what type of living being I had to do, not wanting to be contaminated by his imbecility, I hung up.
It is the most beautiful phase I had at the start of the year, apparently this guy when he sees a car at 20,000 euros and that he knows that he can have it at 10,000 euros, he pays it when Even 20,000 euros because he saw another 25,000 euros. Where does this world go with this kind of person ???
</v>
      </c>
    </row>
    <row r="829" spans="1:9" ht="15.75" customHeight="1" x14ac:dyDescent="0.3">
      <c r="A829" s="2">
        <v>1</v>
      </c>
      <c r="B829" s="2" t="s">
        <v>2313</v>
      </c>
      <c r="C829" s="2" t="s">
        <v>2314</v>
      </c>
      <c r="D829" s="2" t="s">
        <v>303</v>
      </c>
      <c r="E829" s="2" t="s">
        <v>129</v>
      </c>
      <c r="F829" s="2" t="s">
        <v>15</v>
      </c>
      <c r="G829" s="2" t="s">
        <v>2315</v>
      </c>
      <c r="H829" s="2" t="s">
        <v>236</v>
      </c>
      <c r="I829" s="2" t="str">
        <f ca="1">IFERROR(__xludf.DUMMYFUNCTION("GOOGLETRANSLATE(C829,""fr"",""en"")"),"Whether it is important that it assures.
Worse in worse, more and more lamentable, platform /employees who do not know your file (that is the limit I understand) but not trying to help you, makes fun of your concerns, does not accept our state D 'nervous"&amp;"ness when that is 4 times on the day that you call because they refuse to spend the person in charge of your disaster. In short, you are good to pay insurance premiums but be careful !! If sinister you are not helped. Pire and an internal wrote it, I just"&amp;" realized it, you have a profile at the Macif I ""explain .. the advisor to its screen the profile of the insured c 'is to say, you often call, you are painful, you always complain ect ect..and yes, sometimes some think to read lower, in reality they are "&amp;"not careful that you are on the phone ... and you hear..
Another point. I stopped 4 insurance this start of the year insurance terminated by my news, Macif M refused to terminate housing, reason: ""It is your new insurance which must terminate !!!"" What"&amp;" has been done, but for 2 months the Macif has always taken this home insurance, which still costs 395 euros at the year, while the necessary has been done. When other ""sinister"" problems in 18 years of Macif, 4 Or 5 I don't think so too much, read my a"&amp;"dventures.
I do not recommend this insurance very strongly.Ok they are a little cheaper but believe me than concerns than calls than stress and no help even for an accident that forced me to make more than a year of rehabilitation. , and if you want to h"&amp;"ave won because I was not in wrong, and well do you do.")</f>
        <v>Whether it is important that it assures.
Worse in worse, more and more lamentable, platform /employees who do not know your file (that is the limit I understand) but not trying to help you, makes fun of your concerns, does not accept our state D 'nervousness when that is 4 times on the day that you call because they refuse to spend the person in charge of your disaster. In short, you are good to pay insurance premiums but be careful !! If sinister you are not helped. Pire and an internal wrote it, I just realized it, you have a profile at the Macif I "explain .. the advisor to its screen the profile of the insured c 'is to say, you often call, you are painful, you always complain ect ect..and yes, sometimes some think to read lower, in reality they are not careful that you are on the phone ... and you hear..
Another point. I stopped 4 insurance this start of the year insurance terminated by my news, Macif M refused to terminate housing, reason: "It is your new insurance which must terminate !!!" What has been done, but for 2 months the Macif has always taken this home insurance, which still costs 395 euros at the year, while the necessary has been done. When other "sinister" problems in 18 years of Macif, 4 Or 5 I don't think so too much, read my adventures.
I do not recommend this insurance very strongly.Ok they are a little cheaper but believe me than concerns than calls than stress and no help even for an accident that forced me to make more than a year of rehabilitation. , and if you want to have won because I was not in wrong, and well do you do.</v>
      </c>
    </row>
    <row r="830" spans="1:9" ht="15.75" customHeight="1" x14ac:dyDescent="0.3">
      <c r="A830" s="2">
        <v>4</v>
      </c>
      <c r="B830" s="2" t="s">
        <v>2316</v>
      </c>
      <c r="C830" s="2" t="s">
        <v>2317</v>
      </c>
      <c r="D830" s="2" t="s">
        <v>13</v>
      </c>
      <c r="E830" s="2" t="s">
        <v>14</v>
      </c>
      <c r="F830" s="2" t="s">
        <v>15</v>
      </c>
      <c r="G830" s="2" t="s">
        <v>456</v>
      </c>
      <c r="H830" s="2" t="s">
        <v>111</v>
      </c>
      <c r="I830" s="2" t="str">
        <f ca="1">IFERROR(__xludf.DUMMYFUNCTION("GOOGLETRANSLATE(C830,""fr"",""en"")"),"I am pleasantly surprised by your service as part of the implementation of this contract. We will see in use and in particular in case of 'problem' ........!
I dèja is advertising for you in my family and friendly circle .....")</f>
        <v>I am pleasantly surprised by your service as part of the implementation of this contract. We will see in use and in particular in case of 'problem' ........!
I dèja is advertising for you in my family and friendly circle .....</v>
      </c>
    </row>
    <row r="831" spans="1:9" ht="15.75" customHeight="1" x14ac:dyDescent="0.3">
      <c r="A831" s="2">
        <v>5</v>
      </c>
      <c r="B831" s="2" t="s">
        <v>2318</v>
      </c>
      <c r="C831" s="2" t="s">
        <v>2319</v>
      </c>
      <c r="D831" s="2" t="s">
        <v>197</v>
      </c>
      <c r="E831" s="2" t="s">
        <v>81</v>
      </c>
      <c r="F831" s="2" t="s">
        <v>15</v>
      </c>
      <c r="G831" s="2" t="s">
        <v>2320</v>
      </c>
      <c r="H831" s="2" t="s">
        <v>17</v>
      </c>
      <c r="I831" s="2" t="str">
        <f ca="1">IFERROR(__xludf.DUMMYFUNCTION("GOOGLETRANSLATE(C831,""fr"",""en"")"),"great price, the lowest
Rapid course with all the documents
Very easy to take the process
I am very happy for speed and presentation")</f>
        <v>great price, the lowest
Rapid course with all the documents
Very easy to take the process
I am very happy for speed and presentation</v>
      </c>
    </row>
    <row r="832" spans="1:9" ht="15.75" customHeight="1" x14ac:dyDescent="0.3">
      <c r="A832" s="2">
        <v>2</v>
      </c>
      <c r="B832" s="2" t="s">
        <v>2321</v>
      </c>
      <c r="C832" s="2" t="s">
        <v>2322</v>
      </c>
      <c r="D832" s="2" t="s">
        <v>310</v>
      </c>
      <c r="E832" s="2" t="s">
        <v>14</v>
      </c>
      <c r="F832" s="2" t="s">
        <v>15</v>
      </c>
      <c r="G832" s="2" t="s">
        <v>490</v>
      </c>
      <c r="H832" s="2" t="s">
        <v>224</v>
      </c>
      <c r="I832" s="2" t="str">
        <f ca="1">IFERROR(__xludf.DUMMYFUNCTION("GOOGLETRANSLATE(C832,""fr"",""en"")"),"Absolutely fleeing insurance !!!! I wanted to benefit from my mechanical assistance pack that I pay every month. I call customer service to find out how to proceed, I am explained to me that you have to put the car in a garage with a trailer so I explain "&amp;"my car driving again and if I have to still call a trailer we Tells me that not put the car and you only have your information to the garage so that it contacts them for the implementation of the warranty. And to my great surprise Eurofil refuses to take "&amp;"care because it is not a trailer that
Car. Despite my call to tell them that it was they who had given me false information they wanted to know nothing !!! In short, flee !!!!!")</f>
        <v>Absolutely fleeing insurance !!!! I wanted to benefit from my mechanical assistance pack that I pay every month. I call customer service to find out how to proceed, I am explained to me that you have to put the car in a garage with a trailer so I explain my car driving again and if I have to still call a trailer we Tells me that not put the car and you only have your information to the garage so that it contacts them for the implementation of the warranty. And to my great surprise Eurofil refuses to take care because it is not a trailer that
Car. Despite my call to tell them that it was they who had given me false information they wanted to know nothing !!! In short, flee !!!!!</v>
      </c>
    </row>
    <row r="833" spans="1:9" ht="15.75" customHeight="1" x14ac:dyDescent="0.3">
      <c r="A833" s="2">
        <v>1</v>
      </c>
      <c r="B833" s="2" t="s">
        <v>2323</v>
      </c>
      <c r="C833" s="2" t="s">
        <v>2324</v>
      </c>
      <c r="D833" s="2" t="s">
        <v>38</v>
      </c>
      <c r="E833" s="2" t="s">
        <v>39</v>
      </c>
      <c r="F833" s="2" t="s">
        <v>15</v>
      </c>
      <c r="G833" s="2" t="s">
        <v>1193</v>
      </c>
      <c r="H833" s="2" t="s">
        <v>634</v>
      </c>
      <c r="I833" s="2" t="str">
        <f ca="1">IFERROR(__xludf.DUMMYFUNCTION("GOOGLETRANSLATE(C833,""fr"",""en"")"),"Like others before me I was approached on the phone by advisers and abused. These characters (to remain polite) exercise under the name of MMI Courage and are mandated by Neoliane Sante. By scandalous and unworthy methods on which I will not extend to thi"&amp;"s forum, they manage to extricate your IBAN number and to produce an electronic signature in the name of Neoliane to take money from money without your knowledge. Before even hung up, I realized the deception. The indelicate character I had online ended u"&amp;"p making me understand that he had just completed an online membership form on my behalf. He told me that I went to receive a membership contract and that could easily retract in the 14 days that follow. I waited more than a week before receiving a fold f"&amp;"rom Neoliane.
Of course receipt, I immediately asserted my right of withdrawal by registered mail in Neoliane and MMI Courage. I also made my letters copy by e-mail at the address indicated on the offer received by mail: neolianne@owliance.com.
Two days"&amp;" later, my factor came to me with the mail sent to MMI Courage by indicating that the recipient was unknown to the mentioned address. However, this address was the one that was carried on the Neoliane membership form. I then checked Neoliane's address on "&amp;"the internet and again I fell from the naked. The Internet address did not correspond to that indicated on the membership form. The DériLe.fr site indicates an address in Nice while the membership bulletin mentions an address in the form of a postal box ("&amp;"without any other indications) in Muret.
On several occasions, I tried to reach Neoliane by phone at the number indicated on the membership form: no response. On the other hand, I am harassed (the word is not too strong) on ​​my laptop by a Nice number w"&amp;"hich corresponds to one of the numbers used by Neoliane. When I pick up, no answer! By force I ended up not answering it anymore. Calls just to prove my bad faith? Maybe. So I resumed my pen again and sent my registered fold mail to the Nice address. A co"&amp;"py was sent to email reclamation@neoliane.fr. All of this was done in less than 14 days.
 I have not yet received any response and I did not expect it to see the manifest efforts undertaken by Neoliane and her broker to blur the tracks. I spend money for"&amp;" recommended and spend a lot of time looking for valid coordinates to assert my right of withdrawal. In my opinion, all means are implemented deliberately so that the termination approaches do not arrive within the imparted deadlines.
I therefore ask Neo"&amp;"liane to send me a letter in which the company takes note of my withdrawal. On the advice of my lawyer and exasperated by this voluntarily distorted communication, I will file a complaint if Neoliane does not answer me before the deadline for 14 days.
"&amp;"
")</f>
        <v xml:space="preserve">Like others before me I was approached on the phone by advisers and abused. These characters (to remain polite) exercise under the name of MMI Courage and are mandated by Neoliane Sante. By scandalous and unworthy methods on which I will not extend to this forum, they manage to extricate your IBAN number and to produce an electronic signature in the name of Neoliane to take money from money without your knowledge. Before even hung up, I realized the deception. The indelicate character I had online ended up making me understand that he had just completed an online membership form on my behalf. He told me that I went to receive a membership contract and that could easily retract in the 14 days that follow. I waited more than a week before receiving a fold from Neoliane.
Of course receipt, I immediately asserted my right of withdrawal by registered mail in Neoliane and MMI Courage. I also made my letters copy by e-mail at the address indicated on the offer received by mail: neolianne@owliance.com.
Two days later, my factor came to me with the mail sent to MMI Courage by indicating that the recipient was unknown to the mentioned address. However, this address was the one that was carried on the Neoliane membership form. I then checked Neoliane's address on the internet and again I fell from the naked. The Internet address did not correspond to that indicated on the membership form. The DériLe.fr site indicates an address in Nice while the membership bulletin mentions an address in the form of a postal box (without any other indications) in Muret.
On several occasions, I tried to reach Neoliane by phone at the number indicated on the membership form: no response. On the other hand, I am harassed (the word is not too strong) on ​​my laptop by a Nice number which corresponds to one of the numbers used by Neoliane. When I pick up, no answer! By force I ended up not answering it anymore. Calls just to prove my bad faith? Maybe. So I resumed my pen again and sent my registered fold mail to the Nice address. A copy was sent to email reclamation@neoliane.fr. All of this was done in less than 14 days.
 I have not yet received any response and I did not expect it to see the manifest efforts undertaken by Neoliane and her broker to blur the tracks. I spend money for recommended and spend a lot of time looking for valid coordinates to assert my right of withdrawal. In my opinion, all means are implemented deliberately so that the termination approaches do not arrive within the imparted deadlines.
I therefore ask Neoliane to send me a letter in which the company takes note of my withdrawal. On the advice of my lawyer and exasperated by this voluntarily distorted communication, I will file a complaint if Neoliane does not answer me before the deadline for 14 days.
</v>
      </c>
    </row>
    <row r="834" spans="1:9" ht="15.75" customHeight="1" x14ac:dyDescent="0.3">
      <c r="A834" s="2">
        <v>5</v>
      </c>
      <c r="B834" s="2" t="s">
        <v>2325</v>
      </c>
      <c r="C834" s="2" t="s">
        <v>2326</v>
      </c>
      <c r="D834" s="2" t="s">
        <v>13</v>
      </c>
      <c r="E834" s="2" t="s">
        <v>14</v>
      </c>
      <c r="F834" s="2" t="s">
        <v>15</v>
      </c>
      <c r="G834" s="2" t="s">
        <v>790</v>
      </c>
      <c r="H834" s="2" t="s">
        <v>71</v>
      </c>
      <c r="I834" s="2" t="str">
        <f ca="1">IFERROR(__xludf.DUMMYFUNCTION("GOOGLETRANSLATE(C834,""fr"",""en"")"),"I am satisfied with the service, the insurance was quickly implemented and the prices are rather correct. I would still have preferred to send the documents before the regulations ...")</f>
        <v>I am satisfied with the service, the insurance was quickly implemented and the prices are rather correct. I would still have preferred to send the documents before the regulations ...</v>
      </c>
    </row>
    <row r="835" spans="1:9" ht="15.75" customHeight="1" x14ac:dyDescent="0.3">
      <c r="A835" s="2">
        <v>4</v>
      </c>
      <c r="B835" s="2" t="s">
        <v>2327</v>
      </c>
      <c r="C835" s="2" t="s">
        <v>2328</v>
      </c>
      <c r="D835" s="2" t="s">
        <v>13</v>
      </c>
      <c r="E835" s="2" t="s">
        <v>14</v>
      </c>
      <c r="F835" s="2" t="s">
        <v>15</v>
      </c>
      <c r="G835" s="2" t="s">
        <v>271</v>
      </c>
      <c r="H835" s="2" t="s">
        <v>83</v>
      </c>
      <c r="I835" s="2" t="str">
        <f ca="1">IFERROR(__xludf.DUMMYFUNCTION("GOOGLETRANSLATE(C835,""fr"",""en"")"),"Correct price with good guarantees. Not yet needed insurance services since my subscription, everything is fine. Updating the contract by internet does not work.")</f>
        <v>Correct price with good guarantees. Not yet needed insurance services since my subscription, everything is fine. Updating the contract by internet does not work.</v>
      </c>
    </row>
    <row r="836" spans="1:9" ht="15.75" customHeight="1" x14ac:dyDescent="0.3">
      <c r="A836" s="2">
        <v>1</v>
      </c>
      <c r="B836" s="2" t="s">
        <v>2329</v>
      </c>
      <c r="C836" s="2" t="s">
        <v>2330</v>
      </c>
      <c r="D836" s="2" t="s">
        <v>13</v>
      </c>
      <c r="E836" s="2" t="s">
        <v>14</v>
      </c>
      <c r="F836" s="2" t="s">
        <v>15</v>
      </c>
      <c r="G836" s="2" t="s">
        <v>2192</v>
      </c>
      <c r="H836" s="2" t="s">
        <v>71</v>
      </c>
      <c r="I836" s="2" t="str">
        <f ca="1">IFERROR(__xludf.DUMMYFUNCTION("GOOGLETRANSLATE(C836,""fr"",""en"")"),"The service is good and responds to our expectations when noting a telephonic discussion.
The price of my vehicle insurance being only at third party, is far too high")</f>
        <v>The service is good and responds to our expectations when noting a telephonic discussion.
The price of my vehicle insurance being only at third party, is far too high</v>
      </c>
    </row>
    <row r="837" spans="1:9" ht="15.75" customHeight="1" x14ac:dyDescent="0.3">
      <c r="A837" s="2">
        <v>1</v>
      </c>
      <c r="B837" s="2" t="s">
        <v>2331</v>
      </c>
      <c r="C837" s="2" t="s">
        <v>2332</v>
      </c>
      <c r="D837" s="2" t="s">
        <v>1242</v>
      </c>
      <c r="E837" s="2" t="s">
        <v>129</v>
      </c>
      <c r="F837" s="2" t="s">
        <v>15</v>
      </c>
      <c r="G837" s="2" t="s">
        <v>2333</v>
      </c>
      <c r="H837" s="2" t="s">
        <v>256</v>
      </c>
      <c r="I837" s="2" t="str">
        <f ca="1">IFERROR(__xludf.DUMMYFUNCTION("GOOGLETRANSLATE(C837,""fr"",""en"")"),"Sinister water damage dating from May 2019, impossible to re -turn my apartment for 5 months, monthly deadlines of the loan made to the CMUT of 900 euros have not been postponed despite my request, loss of rents not taken into account, non -existent quote"&amp;", badly expertise made etc. discovered every month more and more important because my insurer does not assume its responsibilities")</f>
        <v>Sinister water damage dating from May 2019, impossible to re -turn my apartment for 5 months, monthly deadlines of the loan made to the CMUT of 900 euros have not been postponed despite my request, loss of rents not taken into account, non -existent quote, badly expertise made etc. discovered every month more and more important because my insurer does not assume its responsibilities</v>
      </c>
    </row>
    <row r="838" spans="1:9" ht="15.75" customHeight="1" x14ac:dyDescent="0.3">
      <c r="A838" s="2">
        <v>5</v>
      </c>
      <c r="B838" s="2" t="s">
        <v>2334</v>
      </c>
      <c r="C838" s="2" t="s">
        <v>2335</v>
      </c>
      <c r="D838" s="2" t="s">
        <v>28</v>
      </c>
      <c r="E838" s="2" t="s">
        <v>14</v>
      </c>
      <c r="F838" s="2" t="s">
        <v>15</v>
      </c>
      <c r="G838" s="2" t="s">
        <v>2336</v>
      </c>
      <c r="H838" s="2" t="s">
        <v>286</v>
      </c>
      <c r="I838" s="2" t="str">
        <f ca="1">IFERROR(__xludf.DUMMYFUNCTION("GOOGLETRANSLATE(C838,""fr"",""en"")"),"Competent customer service, listening with very attractive rates. My former insurer made me pay an exorbitant price for a 15 -year -old car. I managed to reduce my subscription with them for my new vehicle (which is also new) and which is worth ten times "&amp;"more the price of my old vehicle.")</f>
        <v>Competent customer service, listening with very attractive rates. My former insurer made me pay an exorbitant price for a 15 -year -old car. I managed to reduce my subscription with them for my new vehicle (which is also new) and which is worth ten times more the price of my old vehicle.</v>
      </c>
    </row>
    <row r="839" spans="1:9" ht="15.75" customHeight="1" x14ac:dyDescent="0.3">
      <c r="A839" s="2">
        <v>1</v>
      </c>
      <c r="B839" s="2" t="s">
        <v>2337</v>
      </c>
      <c r="C839" s="2" t="s">
        <v>2338</v>
      </c>
      <c r="D839" s="2" t="s">
        <v>695</v>
      </c>
      <c r="E839" s="2" t="s">
        <v>50</v>
      </c>
      <c r="F839" s="2" t="s">
        <v>15</v>
      </c>
      <c r="G839" s="2" t="s">
        <v>93</v>
      </c>
      <c r="H839" s="2" t="s">
        <v>94</v>
      </c>
      <c r="I839" s="2" t="str">
        <f ca="1">IFERROR(__xludf.DUMMYFUNCTION("GOOGLETRANSLATE(C839,""fr"",""en"")"),"I received a call such this day, a completely stress and eager advice which tells me that my bank did not validate my insurance of the Il asks me to confirm my rib and ask me for the activation code
In the precipitation being in the street I take it back"&amp;" because I find it very directive and authoritarian hence doubt.
He tells me that a colleague goes to me to confirm the validation
I therefore quickly call my bank advisor to let him know the doubt of the process and this one tells me that there is no a"&amp;"ccount described
Beware of their telephone process
He I don't give us time to react to the fact and follows on their forcing sales reading confirms you don't have time to understand
You are signing and you end up with subscribed contracts while you alr"&amp;"eady have them elsewhere.
They say your contracts are not validated or activated big lie
The being said advisor who contacted me after confirmed the cancellation of the contracts to follow")</f>
        <v>I received a call such this day, a completely stress and eager advice which tells me that my bank did not validate my insurance of the Il asks me to confirm my rib and ask me for the activation code
In the precipitation being in the street I take it back because I find it very directive and authoritarian hence doubt.
He tells me that a colleague goes to me to confirm the validation
I therefore quickly call my bank advisor to let him know the doubt of the process and this one tells me that there is no account described
Beware of their telephone process
He I don't give us time to react to the fact and follows on their forcing sales reading confirms you don't have time to understand
You are signing and you end up with subscribed contracts while you already have them elsewhere.
They say your contracts are not validated or activated big lie
The being said advisor who contacted me after confirmed the cancellation of the contracts to follow</v>
      </c>
    </row>
    <row r="840" spans="1:9" ht="15.75" customHeight="1" x14ac:dyDescent="0.3">
      <c r="A840" s="2">
        <v>4</v>
      </c>
      <c r="B840" s="2" t="s">
        <v>2339</v>
      </c>
      <c r="C840" s="2" t="s">
        <v>2340</v>
      </c>
      <c r="D840" s="2" t="s">
        <v>28</v>
      </c>
      <c r="E840" s="2" t="s">
        <v>14</v>
      </c>
      <c r="F840" s="2" t="s">
        <v>15</v>
      </c>
      <c r="G840" s="2" t="s">
        <v>307</v>
      </c>
      <c r="H840" s="2" t="s">
        <v>71</v>
      </c>
      <c r="I840" s="2" t="str">
        <f ca="1">IFERROR(__xludf.DUMMYFUNCTION("GOOGLETRANSLATE(C840,""fr"",""en"")"),"I am very satisfied with the service and the price, hoping to obtain a better price next year. Thank you to you very good telephone welcome!")</f>
        <v>I am very satisfied with the service and the price, hoping to obtain a better price next year. Thank you to you very good telephone welcome!</v>
      </c>
    </row>
    <row r="841" spans="1:9" ht="15.75" customHeight="1" x14ac:dyDescent="0.3">
      <c r="A841" s="2">
        <v>1</v>
      </c>
      <c r="B841" s="2" t="s">
        <v>2341</v>
      </c>
      <c r="C841" s="2" t="s">
        <v>2342</v>
      </c>
      <c r="D841" s="2" t="s">
        <v>65</v>
      </c>
      <c r="E841" s="2" t="s">
        <v>14</v>
      </c>
      <c r="F841" s="2" t="s">
        <v>15</v>
      </c>
      <c r="G841" s="2" t="s">
        <v>409</v>
      </c>
      <c r="H841" s="2" t="s">
        <v>25</v>
      </c>
      <c r="I841" s="2" t="str">
        <f ca="1">IFERROR(__xludf.DUMMYFUNCTION("GOOGLETRANSLATE(C841,""fr"",""en"")"),"I am more than disappointed with the Allianz service !!!
I subscribed to insurance in January and I provided all the documents, twice.
They have terminated my contract since February 22 for lack of proof, and I only knew it, it's scandalous !!!
No one "&amp;"can give me an answer when I call. I was told ""it can happen because we have a lot of customers"" you have to know how to assume its customers
What if I had an accident?")</f>
        <v>I am more than disappointed with the Allianz service !!!
I subscribed to insurance in January and I provided all the documents, twice.
They have terminated my contract since February 22 for lack of proof, and I only knew it, it's scandalous !!!
No one can give me an answer when I call. I was told "it can happen because we have a lot of customers" you have to know how to assume its customers
What if I had an accident?</v>
      </c>
    </row>
    <row r="842" spans="1:9" ht="15.75" customHeight="1" x14ac:dyDescent="0.3">
      <c r="A842" s="2">
        <v>1</v>
      </c>
      <c r="B842" s="2" t="s">
        <v>2343</v>
      </c>
      <c r="C842" s="2" t="s">
        <v>2344</v>
      </c>
      <c r="D842" s="2" t="s">
        <v>80</v>
      </c>
      <c r="E842" s="2" t="s">
        <v>81</v>
      </c>
      <c r="F842" s="2" t="s">
        <v>15</v>
      </c>
      <c r="G842" s="2" t="s">
        <v>807</v>
      </c>
      <c r="H842" s="2" t="s">
        <v>111</v>
      </c>
      <c r="I842" s="2" t="str">
        <f ca="1">IFERROR(__xludf.DUMMYFUNCTION("GOOGLETRANSLATE(C842,""fr"",""en"")"),"I strongly advise against this insurance company for several reasons:
- on the information statement alone the motorcycle bonus is retained unlike the competition which is based on the car bonus if it is better
-Agrement of the contribution in 3 followi"&amp;"ng a change of motorcycle of the same brand but more recent model, or 200 euros more expensive than competition
-A contract termination that I did not ask (certainly a computer error ...)")</f>
        <v>I strongly advise against this insurance company for several reasons:
- on the information statement alone the motorcycle bonus is retained unlike the competition which is based on the car bonus if it is better
-Agrement of the contribution in 3 following a change of motorcycle of the same brand but more recent model, or 200 euros more expensive than competition
-A contract termination that I did not ask (certainly a computer error ...)</v>
      </c>
    </row>
    <row r="843" spans="1:9" ht="15.75" customHeight="1" x14ac:dyDescent="0.3">
      <c r="A843" s="2">
        <v>1</v>
      </c>
      <c r="B843" s="2" t="s">
        <v>2345</v>
      </c>
      <c r="C843" s="2" t="s">
        <v>2346</v>
      </c>
      <c r="D843" s="2" t="s">
        <v>281</v>
      </c>
      <c r="E843" s="2" t="s">
        <v>39</v>
      </c>
      <c r="F843" s="2" t="s">
        <v>15</v>
      </c>
      <c r="G843" s="2" t="s">
        <v>203</v>
      </c>
      <c r="H843" s="2" t="s">
        <v>25</v>
      </c>
      <c r="I843" s="2" t="str">
        <f ca="1">IFERROR(__xludf.DUMMYFUNCTION("GOOGLETRANSLATE(C843,""fr"",""en"")"),"Very unsatisfied with mutual harmony, the reimbursements are struggling to arrive and again, it is necessary to always provide supporting documents which it has but makes no effort. Always request paid invoices and detailed invoices. Basically I have to p"&amp;"ay their deadlines and at the same time pay for care invoices. Look forward to seeing elsewhere.")</f>
        <v>Very unsatisfied with mutual harmony, the reimbursements are struggling to arrive and again, it is necessary to always provide supporting documents which it has but makes no effort. Always request paid invoices and detailed invoices. Basically I have to pay their deadlines and at the same time pay for care invoices. Look forward to seeing elsewhere.</v>
      </c>
    </row>
    <row r="844" spans="1:9" ht="15.75" customHeight="1" x14ac:dyDescent="0.3">
      <c r="A844" s="2">
        <v>4</v>
      </c>
      <c r="B844" s="2" t="s">
        <v>2347</v>
      </c>
      <c r="C844" s="2" t="s">
        <v>2348</v>
      </c>
      <c r="D844" s="2" t="s">
        <v>28</v>
      </c>
      <c r="E844" s="2" t="s">
        <v>14</v>
      </c>
      <c r="F844" s="2" t="s">
        <v>15</v>
      </c>
      <c r="G844" s="2" t="s">
        <v>1635</v>
      </c>
      <c r="H844" s="2" t="s">
        <v>30</v>
      </c>
      <c r="I844" s="2" t="str">
        <f ca="1">IFERROR(__xludf.DUMMYFUNCTION("GOOGLETRANSLATE(C844,""fr"",""en"")"),"Recommended very nice, on the other hand at each call a request customer satisfaction which has long can be annoying. Otherwise overall satisfied for the moment.
Thanks")</f>
        <v>Recommended very nice, on the other hand at each call a request customer satisfaction which has long can be annoying. Otherwise overall satisfied for the moment.
Thanks</v>
      </c>
    </row>
    <row r="845" spans="1:9" ht="15.75" customHeight="1" x14ac:dyDescent="0.3">
      <c r="A845" s="2">
        <v>3</v>
      </c>
      <c r="B845" s="2" t="s">
        <v>2349</v>
      </c>
      <c r="C845" s="2" t="s">
        <v>2350</v>
      </c>
      <c r="D845" s="2" t="s">
        <v>13</v>
      </c>
      <c r="E845" s="2" t="s">
        <v>14</v>
      </c>
      <c r="F845" s="2" t="s">
        <v>15</v>
      </c>
      <c r="G845" s="2" t="s">
        <v>630</v>
      </c>
      <c r="H845" s="2" t="s">
        <v>286</v>
      </c>
      <c r="I845" s="2" t="str">
        <f ca="1">IFERROR(__xludf.DUMMYFUNCTION("GOOGLETRANSLATE(C845,""fr"",""en"")"),"I am satisfied with the service, I am not completely satisfied with the price
I want to see to ensure the 4 vehicles at home, my spouse being insured at home and very Sastisfit")</f>
        <v>I am satisfied with the service, I am not completely satisfied with the price
I want to see to ensure the 4 vehicles at home, my spouse being insured at home and very Sastisfit</v>
      </c>
    </row>
    <row r="846" spans="1:9" ht="15.75" customHeight="1" x14ac:dyDescent="0.3">
      <c r="A846" s="2">
        <v>4</v>
      </c>
      <c r="B846" s="2" t="s">
        <v>2351</v>
      </c>
      <c r="C846" s="2" t="s">
        <v>2352</v>
      </c>
      <c r="D846" s="2" t="s">
        <v>28</v>
      </c>
      <c r="E846" s="2" t="s">
        <v>14</v>
      </c>
      <c r="F846" s="2" t="s">
        <v>15</v>
      </c>
      <c r="G846" s="2" t="s">
        <v>377</v>
      </c>
      <c r="H846" s="2" t="s">
        <v>17</v>
      </c>
      <c r="I846" s="2" t="str">
        <f ca="1">IFERROR(__xludf.DUMMYFUNCTION("GOOGLETRANSLATE(C846,""fr"",""en"")"),"Simple and practical I am satisfied with the speed of reaction of the advisers.
The prices are attractive as well as the services offer by the olive assurance.")</f>
        <v>Simple and practical I am satisfied with the speed of reaction of the advisers.
The prices are attractive as well as the services offer by the olive assurance.</v>
      </c>
    </row>
    <row r="847" spans="1:9" ht="15.75" customHeight="1" x14ac:dyDescent="0.3">
      <c r="A847" s="2">
        <v>5</v>
      </c>
      <c r="B847" s="2" t="s">
        <v>2353</v>
      </c>
      <c r="C847" s="2" t="s">
        <v>2354</v>
      </c>
      <c r="D847" s="2" t="s">
        <v>38</v>
      </c>
      <c r="E847" s="2" t="s">
        <v>39</v>
      </c>
      <c r="F847" s="2" t="s">
        <v>15</v>
      </c>
      <c r="G847" s="2" t="s">
        <v>155</v>
      </c>
      <c r="H847" s="2" t="s">
        <v>71</v>
      </c>
      <c r="I847" s="2" t="str">
        <f ca="1">IFERROR(__xludf.DUMMYFUNCTION("GOOGLETRANSLATE(C847,""fr"",""en"")"),"A big thank you to Pope who responded efficiently to my request.
Very courteous on the phone, kind, he managed to manage my file quickly. Have a good day.")</f>
        <v>A big thank you to Pope who responded efficiently to my request.
Very courteous on the phone, kind, he managed to manage my file quickly. Have a good day.</v>
      </c>
    </row>
    <row r="848" spans="1:9" ht="15.75" customHeight="1" x14ac:dyDescent="0.3">
      <c r="A848" s="2">
        <v>4</v>
      </c>
      <c r="B848" s="2" t="s">
        <v>2355</v>
      </c>
      <c r="C848" s="2" t="s">
        <v>2356</v>
      </c>
      <c r="D848" s="2" t="s">
        <v>13</v>
      </c>
      <c r="E848" s="2" t="s">
        <v>14</v>
      </c>
      <c r="F848" s="2" t="s">
        <v>15</v>
      </c>
      <c r="G848" s="2" t="s">
        <v>1165</v>
      </c>
      <c r="H848" s="2" t="s">
        <v>21</v>
      </c>
      <c r="I848" s="2" t="str">
        <f ca="1">IFERROR(__xludf.DUMMYFUNCTION("GOOGLETRANSLATE(C848,""fr"",""en"")"),"Simple and practical, I subscribed online very quickly and without major difficulties.
I am waiting to see the rest of the processing of my file.")</f>
        <v>Simple and practical, I subscribed online very quickly and without major difficulties.
I am waiting to see the rest of the processing of my file.</v>
      </c>
    </row>
    <row r="849" spans="1:9" ht="15.75" customHeight="1" x14ac:dyDescent="0.3">
      <c r="A849" s="2">
        <v>2</v>
      </c>
      <c r="B849" s="2" t="s">
        <v>2357</v>
      </c>
      <c r="C849" s="2" t="s">
        <v>2358</v>
      </c>
      <c r="D849" s="2" t="s">
        <v>254</v>
      </c>
      <c r="E849" s="2" t="s">
        <v>14</v>
      </c>
      <c r="F849" s="2" t="s">
        <v>15</v>
      </c>
      <c r="G849" s="2" t="s">
        <v>1159</v>
      </c>
      <c r="H849" s="2" t="s">
        <v>108</v>
      </c>
      <c r="I849" s="2" t="str">
        <f ca="1">IFERROR(__xludf.DUMMYFUNCTION("GOOGLETRANSLATE(C849,""fr"",""en"")"),"The advertisements that pass on TV are lies, there are people to listen to you or accompany you.
The only times or I have tried to contact them to find out or in my file for a self -listed disaster, I have it repaired like a m *** e, excuse me for this t"&amp;"erm but it is the feelings that I have eu.
It's been 2 weeks.
I call an expert number joined in an email.
And the end of insistence so that a person picks up, a woman Nathalie answers me a little dry without hello.
Yes politeness is not to give to eve"&amp;"ryone unfortunately.
I explain the situation and she stops me saying that this problem does not concern her and that for the moment it is being examined and she won by vaguely answer my questions, I am speechless after that! !!!!
We feel accusing oursel"&amp;"ves for crimes not committed.
I who am an anxious person, it does not make me want to contact them for the advancement which will surely be a different person to explain the problem, if they want.
There is not this proximity as my old insurer with kind "&amp;"and listening and physics.
Once this story is finished, I go back to my former insurer
In my personal opinion, I do not recommend it, it's like taking online insurance with anyone listening to you")</f>
        <v>The advertisements that pass on TV are lies, there are people to listen to you or accompany you.
The only times or I have tried to contact them to find out or in my file for a self -listed disaster, I have it repaired like a m *** e, excuse me for this term but it is the feelings that I have eu.
It's been 2 weeks.
I call an expert number joined in an email.
And the end of insistence so that a person picks up, a woman Nathalie answers me a little dry without hello.
Yes politeness is not to give to everyone unfortunately.
I explain the situation and she stops me saying that this problem does not concern her and that for the moment it is being examined and she won by vaguely answer my questions, I am speechless after that! !!!!
We feel accusing ourselves for crimes not committed.
I who am an anxious person, it does not make me want to contact them for the advancement which will surely be a different person to explain the problem, if they want.
There is not this proximity as my old insurer with kind and listening and physics.
Once this story is finished, I go back to my former insurer
In my personal opinion, I do not recommend it, it's like taking online insurance with anyone listening to you</v>
      </c>
    </row>
    <row r="850" spans="1:9" ht="15.75" customHeight="1" x14ac:dyDescent="0.3">
      <c r="A850" s="2">
        <v>4</v>
      </c>
      <c r="B850" s="2" t="s">
        <v>2359</v>
      </c>
      <c r="C850" s="2" t="s">
        <v>2360</v>
      </c>
      <c r="D850" s="2" t="s">
        <v>145</v>
      </c>
      <c r="E850" s="2" t="s">
        <v>14</v>
      </c>
      <c r="F850" s="2" t="s">
        <v>15</v>
      </c>
      <c r="G850" s="2" t="s">
        <v>516</v>
      </c>
      <c r="H850" s="2" t="s">
        <v>442</v>
      </c>
      <c r="I850" s="2" t="str">
        <f ca="1">IFERROR(__xludf.DUMMYFUNCTION("GOOGLETRANSLATE(C850,""fr"",""en"")"),"Former client Nexx 2010 at 2017 then Maaf 2017 at 2019, 2 NR claims and all supported! car loan for 6 months, nothing to say, the top at the guaranteed level and even in the countries of the East.
Except that following the sale of my world, he refuses to"&amp;" take me back! ... I am sad")</f>
        <v>Former client Nexx 2010 at 2017 then Maaf 2017 at 2019, 2 NR claims and all supported! car loan for 6 months, nothing to say, the top at the guaranteed level and even in the countries of the East.
Except that following the sale of my world, he refuses to take me back! ... I am sad</v>
      </c>
    </row>
    <row r="851" spans="1:9" ht="15.75" customHeight="1" x14ac:dyDescent="0.3">
      <c r="A851" s="2">
        <v>3</v>
      </c>
      <c r="B851" s="2" t="s">
        <v>2361</v>
      </c>
      <c r="C851" s="2" t="s">
        <v>2362</v>
      </c>
      <c r="D851" s="2" t="s">
        <v>80</v>
      </c>
      <c r="E851" s="2" t="s">
        <v>81</v>
      </c>
      <c r="F851" s="2" t="s">
        <v>15</v>
      </c>
      <c r="G851" s="2" t="s">
        <v>1260</v>
      </c>
      <c r="H851" s="2" t="s">
        <v>46</v>
      </c>
      <c r="I851" s="2" t="str">
        <f ca="1">IFERROR(__xludf.DUMMYFUNCTION("GOOGLETRANSLATE(C851,""fr"",""en"")"),"I am quite satisfied rapidite simplicity rate rather average;
Everything is more well explained and understandable
Here is all I have to say thank you")</f>
        <v>I am quite satisfied rapidite simplicity rate rather average;
Everything is more well explained and understandable
Here is all I have to say thank you</v>
      </c>
    </row>
    <row r="852" spans="1:9" ht="15.75" customHeight="1" x14ac:dyDescent="0.3">
      <c r="A852" s="2">
        <v>2</v>
      </c>
      <c r="B852" s="2" t="s">
        <v>2363</v>
      </c>
      <c r="C852" s="2" t="s">
        <v>2364</v>
      </c>
      <c r="D852" s="2" t="s">
        <v>303</v>
      </c>
      <c r="E852" s="2" t="s">
        <v>14</v>
      </c>
      <c r="F852" s="2" t="s">
        <v>15</v>
      </c>
      <c r="G852" s="2" t="s">
        <v>25</v>
      </c>
      <c r="H852" s="2" t="s">
        <v>25</v>
      </c>
      <c r="I852" s="2" t="str">
        <f ca="1">IFERROR(__xludf.DUMMYFUNCTION("GOOGLETRANSLATE(C852,""fr"",""en"")"),"Insurance mutual that is not attentive to its customers. Strongly disappointed while I was at home for 40 years, I see myself in the obligation to leave them with regret.")</f>
        <v>Insurance mutual that is not attentive to its customers. Strongly disappointed while I was at home for 40 years, I see myself in the obligation to leave them with regret.</v>
      </c>
    </row>
    <row r="853" spans="1:9" ht="15.75" customHeight="1" x14ac:dyDescent="0.3">
      <c r="A853" s="2">
        <v>5</v>
      </c>
      <c r="B853" s="2" t="s">
        <v>2365</v>
      </c>
      <c r="C853" s="2" t="s">
        <v>2366</v>
      </c>
      <c r="D853" s="2" t="s">
        <v>28</v>
      </c>
      <c r="E853" s="2" t="s">
        <v>14</v>
      </c>
      <c r="F853" s="2" t="s">
        <v>15</v>
      </c>
      <c r="G853" s="2" t="s">
        <v>260</v>
      </c>
      <c r="H853" s="2" t="s">
        <v>71</v>
      </c>
      <c r="I853" s="2" t="str">
        <f ca="1">IFERROR(__xludf.DUMMYFUNCTION("GOOGLETRANSLATE(C853,""fr"",""en"")"),"I find that the olive assurance is:
- speed to have a quote,
- Return fairly fast,
- Very attractive price,
- Quality service,
- Quick response time")</f>
        <v>I find that the olive assurance is:
- speed to have a quote,
- Return fairly fast,
- Very attractive price,
- Quality service,
- Quick response time</v>
      </c>
    </row>
    <row r="854" spans="1:9" ht="15.75" customHeight="1" x14ac:dyDescent="0.3">
      <c r="A854" s="2">
        <v>1</v>
      </c>
      <c r="B854" s="2" t="s">
        <v>2367</v>
      </c>
      <c r="C854" s="2" t="s">
        <v>2368</v>
      </c>
      <c r="D854" s="2" t="s">
        <v>60</v>
      </c>
      <c r="E854" s="2" t="s">
        <v>61</v>
      </c>
      <c r="F854" s="2" t="s">
        <v>15</v>
      </c>
      <c r="G854" s="2" t="s">
        <v>2369</v>
      </c>
      <c r="H854" s="2" t="s">
        <v>216</v>
      </c>
      <c r="I854" s="2" t="str">
        <f ca="1">IFERROR(__xludf.DUMMYFUNCTION("GOOGLETRANSLATE(C854,""fr"",""en"")"),"Very bad placement on my part with a negative return for the year 2018 of -7.4% on a defensive mandate in controlled management !!
I will not recommend this overexposed product in terms of advertisements.")</f>
        <v>Very bad placement on my part with a negative return for the year 2018 of -7.4% on a defensive mandate in controlled management !!
I will not recommend this overexposed product in terms of advertisements.</v>
      </c>
    </row>
    <row r="855" spans="1:9" ht="15.75" customHeight="1" x14ac:dyDescent="0.3">
      <c r="A855" s="2">
        <v>5</v>
      </c>
      <c r="B855" s="2" t="s">
        <v>2370</v>
      </c>
      <c r="C855" s="2" t="s">
        <v>2371</v>
      </c>
      <c r="D855" s="2" t="s">
        <v>80</v>
      </c>
      <c r="E855" s="2" t="s">
        <v>81</v>
      </c>
      <c r="F855" s="2" t="s">
        <v>15</v>
      </c>
      <c r="G855" s="2" t="s">
        <v>2372</v>
      </c>
      <c r="H855" s="2" t="s">
        <v>83</v>
      </c>
      <c r="I855" s="2" t="str">
        <f ca="1">IFERROR(__xludf.DUMMYFUNCTION("GOOGLETRANSLATE(C855,""fr"",""en"")"),"I am satisfied with the simple and practical service The insurance rates are correct communication is very good")</f>
        <v>I am satisfied with the simple and practical service The insurance rates are correct communication is very good</v>
      </c>
    </row>
    <row r="856" spans="1:9" ht="15.75" customHeight="1" x14ac:dyDescent="0.3">
      <c r="A856" s="2">
        <v>1</v>
      </c>
      <c r="B856" s="2" t="s">
        <v>2373</v>
      </c>
      <c r="C856" s="2" t="s">
        <v>2374</v>
      </c>
      <c r="D856" s="2" t="s">
        <v>13</v>
      </c>
      <c r="E856" s="2" t="s">
        <v>14</v>
      </c>
      <c r="F856" s="2" t="s">
        <v>15</v>
      </c>
      <c r="G856" s="2" t="s">
        <v>203</v>
      </c>
      <c r="H856" s="2" t="s">
        <v>25</v>
      </c>
      <c r="I856" s="2" t="str">
        <f ca="1">IFERROR(__xludf.DUMMYFUNCTION("GOOGLETRANSLATE(C856,""fr"",""en"")"),"I am waiting to see the exceptional offers so promised. I am waiting to see the offers that can make me change my mind in the future. In short, no favorable opinion for the moment")</f>
        <v>I am waiting to see the exceptional offers so promised. I am waiting to see the offers that can make me change my mind in the future. In short, no favorable opinion for the moment</v>
      </c>
    </row>
    <row r="857" spans="1:9" ht="15.75" customHeight="1" x14ac:dyDescent="0.3">
      <c r="A857" s="2">
        <v>1</v>
      </c>
      <c r="B857" s="2" t="s">
        <v>2375</v>
      </c>
      <c r="C857" s="2" t="s">
        <v>2376</v>
      </c>
      <c r="D857" s="2" t="s">
        <v>465</v>
      </c>
      <c r="E857" s="2" t="s">
        <v>39</v>
      </c>
      <c r="F857" s="2" t="s">
        <v>15</v>
      </c>
      <c r="G857" s="2" t="s">
        <v>2377</v>
      </c>
      <c r="H857" s="2" t="s">
        <v>576</v>
      </c>
      <c r="I857" s="2" t="str">
        <f ca="1">IFERROR(__xludf.DUMMYFUNCTION("GOOGLETRANSLATE(C857,""fr"",""en"")"),"We have signed an balanced contract for two people. Gradually, reimbursements have been slow to arrive, even no longer took place for certain fees (ophthalmo), while we had chosen this formula because it reimbursed them to us. We must constantly keep an e"&amp;"ye on our expenses and reimbursements. The icing on the cake was when we decided to leave last November, benefiting from a family and compulsory business mutual insurance company. The MGEN, despite our many reminders, has never canceled Noémie remote tran"&amp;"smission, preventing our current mutual insurance company from repaying our care. Two months later, we had to telephone social security directly to force the remote control. By the way, 135 euros in subscription were taken from our account for the month o"&amp;"f December and have still not been reimbursed, despite our many complaints. Mutual to flee.")</f>
        <v>We have signed an balanced contract for two people. Gradually, reimbursements have been slow to arrive, even no longer took place for certain fees (ophthalmo), while we had chosen this formula because it reimbursed them to us. We must constantly keep an eye on our expenses and reimbursements. The icing on the cake was when we decided to leave last November, benefiting from a family and compulsory business mutual insurance company. The MGEN, despite our many reminders, has never canceled Noémie remote transmission, preventing our current mutual insurance company from repaying our care. Two months later, we had to telephone social security directly to force the remote control. By the way, 135 euros in subscription were taken from our account for the month of December and have still not been reimbursed, despite our many complaints. Mutual to flee.</v>
      </c>
    </row>
    <row r="858" spans="1:9" ht="15.75" customHeight="1" x14ac:dyDescent="0.3">
      <c r="A858" s="2">
        <v>5</v>
      </c>
      <c r="B858" s="2" t="s">
        <v>2378</v>
      </c>
      <c r="C858" s="2" t="s">
        <v>2379</v>
      </c>
      <c r="D858" s="2" t="s">
        <v>13</v>
      </c>
      <c r="E858" s="2" t="s">
        <v>14</v>
      </c>
      <c r="F858" s="2" t="s">
        <v>15</v>
      </c>
      <c r="G858" s="2" t="s">
        <v>16</v>
      </c>
      <c r="H858" s="2" t="s">
        <v>17</v>
      </c>
      <c r="I858" s="2" t="str">
        <f ca="1">IFERROR(__xludf.DUMMYFUNCTION("GOOGLETRANSLATE(C858,""fr"",""en"")"),"Steps very simple to follow, ultra competitive price! Thank you for saving me from Groupama claws which even after 11 years with them without any incident on my vehicle, take me 24 €/month for less than 8000km/year.")</f>
        <v>Steps very simple to follow, ultra competitive price! Thank you for saving me from Groupama claws which even after 11 years with them without any incident on my vehicle, take me 24 €/month for less than 8000km/year.</v>
      </c>
    </row>
    <row r="859" spans="1:9" ht="15.75" customHeight="1" x14ac:dyDescent="0.3">
      <c r="A859" s="2">
        <v>1</v>
      </c>
      <c r="B859" s="2" t="s">
        <v>2380</v>
      </c>
      <c r="C859" s="2" t="s">
        <v>2381</v>
      </c>
      <c r="D859" s="2" t="s">
        <v>303</v>
      </c>
      <c r="E859" s="2" t="s">
        <v>129</v>
      </c>
      <c r="F859" s="2" t="s">
        <v>15</v>
      </c>
      <c r="G859" s="2" t="s">
        <v>2382</v>
      </c>
      <c r="H859" s="2" t="s">
        <v>389</v>
      </c>
      <c r="I859" s="2" t="str">
        <f ca="1">IFERROR(__xludf.DUMMYFUNCTION("GOOGLETRANSLATE(C859,""fr"",""en"")"),"Following an error of the customer advisor I find myself with 2 insurance contracts for my house. One in the name of the SCI and one in my own name.
Despite dozens of discussions by phone and emails, the Macif does not want to recognize her error, nor de"&amp;"lete one of my two contracts and even less reimburse me!
My only solution is to delete all my contracts and bank account at the Macif and to call on a mediator.
Here is the solidarity of the ""mutual"" Macif ....")</f>
        <v>Following an error of the customer advisor I find myself with 2 insurance contracts for my house. One in the name of the SCI and one in my own name.
Despite dozens of discussions by phone and emails, the Macif does not want to recognize her error, nor delete one of my two contracts and even less reimburse me!
My only solution is to delete all my contracts and bank account at the Macif and to call on a mediator.
Here is the solidarity of the "mutual" Macif ....</v>
      </c>
    </row>
    <row r="860" spans="1:9" ht="15.75" customHeight="1" x14ac:dyDescent="0.3">
      <c r="A860" s="2">
        <v>2</v>
      </c>
      <c r="B860" s="2" t="s">
        <v>2383</v>
      </c>
      <c r="C860" s="2" t="s">
        <v>2384</v>
      </c>
      <c r="D860" s="2" t="s">
        <v>190</v>
      </c>
      <c r="E860" s="2" t="s">
        <v>14</v>
      </c>
      <c r="F860" s="2" t="s">
        <v>15</v>
      </c>
      <c r="G860" s="2" t="s">
        <v>1483</v>
      </c>
      <c r="H860" s="2" t="s">
        <v>83</v>
      </c>
      <c r="I860" s="2" t="str">
        <f ca="1">IFERROR(__xludf.DUMMYFUNCTION("GOOGLETRANSLATE(C860,""fr"",""en"")"),"Sorry after having been a member for more than 10 years to terminate because 4 sinister in 2016 to 2020 including 2 not responsible
I can't find this right and loyalty and the years without a sinister unfortunately do not count")</f>
        <v>Sorry after having been a member for more than 10 years to terminate because 4 sinister in 2016 to 2020 including 2 not responsible
I can't find this right and loyalty and the years without a sinister unfortunately do not count</v>
      </c>
    </row>
    <row r="861" spans="1:9" ht="15.75" customHeight="1" x14ac:dyDescent="0.3">
      <c r="A861" s="2">
        <v>2</v>
      </c>
      <c r="B861" s="2" t="s">
        <v>2385</v>
      </c>
      <c r="C861" s="2" t="s">
        <v>2386</v>
      </c>
      <c r="D861" s="2" t="s">
        <v>28</v>
      </c>
      <c r="E861" s="2" t="s">
        <v>14</v>
      </c>
      <c r="F861" s="2" t="s">
        <v>15</v>
      </c>
      <c r="G861" s="2" t="s">
        <v>2387</v>
      </c>
      <c r="H861" s="2" t="s">
        <v>448</v>
      </c>
      <c r="I861" s="2" t="str">
        <f ca="1">IFERROR(__xludf.DUMMYFUNCTION("GOOGLETRANSLATE(C861,""fr"",""en"")"),"My companion took place at the Olivier last week on the phone with salespeople everything is possible. In the morning he calls to take out the subscription on a vehicle that we had to buy in the evening, an hour later he decides to withdraw except that in"&amp;" the meantime he gave his card number, the insurance deletes it directly from 250.00 euros, He sends a withdrawal letter not having bought the vehicle. He sent Larc last week being in the Delai Legal of retraction to date by news except the flow on his ac"&amp;"count and when he called in order to know how the reimbursement goes by the advisor told him that there would be Costs linked to termination when it is a withdrawal the vehicle was not even in our possession any contract signed !!!!. This did not prevent "&amp;"them from debit his account despite everything. It is lamentable Deplurable customer service, I planned to put my 2 vehicles at the start of the school year but after this episode it is out of the question. I recommended them for the price. But to flee! I"&amp;" have called on my legal protection There are laws that supervise consumers I will not let this pass, they know how to remind you in the minute for the subscription, however, to have explanations on the reimbursement of the amount debited without having s"&amp;"igned no contract by degrees of a major sum in addition, in addition, still no news")</f>
        <v>My companion took place at the Olivier last week on the phone with salespeople everything is possible. In the morning he calls to take out the subscription on a vehicle that we had to buy in the evening, an hour later he decides to withdraw except that in the meantime he gave his card number, the insurance deletes it directly from 250.00 euros, He sends a withdrawal letter not having bought the vehicle. He sent Larc last week being in the Delai Legal of retraction to date by news except the flow on his account and when he called in order to know how the reimbursement goes by the advisor told him that there would be Costs linked to termination when it is a withdrawal the vehicle was not even in our possession any contract signed !!!!. This did not prevent them from debit his account despite everything. It is lamentable Deplurable customer service, I planned to put my 2 vehicles at the start of the school year but after this episode it is out of the question. I recommended them for the price. But to flee! I have called on my legal protection There are laws that supervise consumers I will not let this pass, they know how to remind you in the minute for the subscription, however, to have explanations on the reimbursement of the amount debited without having signed no contract by degrees of a major sum in addition, in addition, still no news</v>
      </c>
    </row>
    <row r="862" spans="1:9" ht="15.75" customHeight="1" x14ac:dyDescent="0.3">
      <c r="A862" s="2">
        <v>4</v>
      </c>
      <c r="B862" s="2" t="s">
        <v>2388</v>
      </c>
      <c r="C862" s="2" t="s">
        <v>2389</v>
      </c>
      <c r="D862" s="2" t="s">
        <v>80</v>
      </c>
      <c r="E862" s="2" t="s">
        <v>81</v>
      </c>
      <c r="F862" s="2" t="s">
        <v>15</v>
      </c>
      <c r="G862" s="2" t="s">
        <v>2390</v>
      </c>
      <c r="H862" s="2" t="s">
        <v>30</v>
      </c>
      <c r="I862" s="2" t="str">
        <f ca="1">IFERROR(__xludf.DUMMYFUNCTION("GOOGLETRANSLATE(C862,""fr"",""en"")"),"Motorcycle insurance interesting value for money!
I have a friend who is insured at home and he advised me to make a quote for my next motorcycle, something done!")</f>
        <v>Motorcycle insurance interesting value for money!
I have a friend who is insured at home and he advised me to make a quote for my next motorcycle, something done!</v>
      </c>
    </row>
    <row r="863" spans="1:9" ht="15.75" customHeight="1" x14ac:dyDescent="0.3">
      <c r="A863" s="2">
        <v>1</v>
      </c>
      <c r="B863" s="2" t="s">
        <v>2391</v>
      </c>
      <c r="C863" s="2" t="s">
        <v>2392</v>
      </c>
      <c r="D863" s="2" t="s">
        <v>80</v>
      </c>
      <c r="E863" s="2" t="s">
        <v>81</v>
      </c>
      <c r="F863" s="2" t="s">
        <v>15</v>
      </c>
      <c r="G863" s="2" t="s">
        <v>1322</v>
      </c>
      <c r="H863" s="2" t="s">
        <v>467</v>
      </c>
      <c r="I863" s="2" t="str">
        <f ca="1">IFERROR(__xludf.DUMMYFUNCTION("GOOGLETRANSLATE(C863,""fr"",""en"")"),"Run away
The steps to register are easy payments all the faster
On the other hand I had a scooter worth 3000 euros proven and they only want to compensate me for 800 euros of course I have no news for more than 3 months insurance is not a member of insu"&amp;"rance mediation so you can still run if any decision does not please
Claim in February still not reimbursed in September")</f>
        <v>Run away
The steps to register are easy payments all the faster
On the other hand I had a scooter worth 3000 euros proven and they only want to compensate me for 800 euros of course I have no news for more than 3 months insurance is not a member of insurance mediation so you can still run if any decision does not please
Claim in February still not reimbursed in September</v>
      </c>
    </row>
    <row r="864" spans="1:9" ht="15.75" customHeight="1" x14ac:dyDescent="0.3">
      <c r="A864" s="2">
        <v>4</v>
      </c>
      <c r="B864" s="2" t="s">
        <v>2393</v>
      </c>
      <c r="C864" s="2" t="s">
        <v>2394</v>
      </c>
      <c r="D864" s="2" t="s">
        <v>80</v>
      </c>
      <c r="E864" s="2" t="s">
        <v>81</v>
      </c>
      <c r="F864" s="2" t="s">
        <v>15</v>
      </c>
      <c r="G864" s="2" t="s">
        <v>1747</v>
      </c>
      <c r="H864" s="2" t="s">
        <v>21</v>
      </c>
      <c r="I864" s="2" t="str">
        <f ca="1">IFERROR(__xludf.DUMMYFUNCTION("GOOGLETRANSLATE(C864,""fr"",""en"")"),"I am very satisfied with customer service. Personable staff who take the time to advise us, which is very appreciable.
The only thing that is a shame is that there is no application ...")</f>
        <v>I am very satisfied with customer service. Personable staff who take the time to advise us, which is very appreciable.
The only thing that is a shame is that there is no application ...</v>
      </c>
    </row>
    <row r="865" spans="1:9" ht="15.75" customHeight="1" x14ac:dyDescent="0.3">
      <c r="A865" s="2">
        <v>1</v>
      </c>
      <c r="B865" s="2" t="s">
        <v>2395</v>
      </c>
      <c r="C865" s="2" t="s">
        <v>2396</v>
      </c>
      <c r="D865" s="2" t="s">
        <v>322</v>
      </c>
      <c r="E865" s="2" t="s">
        <v>14</v>
      </c>
      <c r="F865" s="2" t="s">
        <v>15</v>
      </c>
      <c r="G865" s="2" t="s">
        <v>2397</v>
      </c>
      <c r="H865" s="2" t="s">
        <v>328</v>
      </c>
      <c r="I865" s="2" t="str">
        <f ca="1">IFERROR(__xludf.DUMMYFUNCTION("GOOGLETRANSLATE(C865,""fr"",""en"")"),"I have taken out a car contract at Active Insurance, since I sent the requested papers to finalize, but they refuse a perfectly valid situation statement for what reason is not known. Since impossible to connect to customer access")</f>
        <v>I have taken out a car contract at Active Insurance, since I sent the requested papers to finalize, but they refuse a perfectly valid situation statement for what reason is not known. Since impossible to connect to customer access</v>
      </c>
    </row>
    <row r="866" spans="1:9" ht="15.75" customHeight="1" x14ac:dyDescent="0.3">
      <c r="A866" s="2">
        <v>1</v>
      </c>
      <c r="B866" s="2" t="s">
        <v>2398</v>
      </c>
      <c r="C866" s="2" t="s">
        <v>2399</v>
      </c>
      <c r="D866" s="2" t="s">
        <v>13</v>
      </c>
      <c r="E866" s="2" t="s">
        <v>14</v>
      </c>
      <c r="F866" s="2" t="s">
        <v>15</v>
      </c>
      <c r="G866" s="2" t="s">
        <v>2400</v>
      </c>
      <c r="H866" s="2" t="s">
        <v>224</v>
      </c>
      <c r="I866" s="2" t="str">
        <f ca="1">IFERROR(__xludf.DUMMYFUNCTION("GOOGLETRANSLATE(C866,""fr"",""en"")"),"Above all, you shouldn't have a problem because they do not hesitate to sink instead of defending you.")</f>
        <v>Above all, you shouldn't have a problem because they do not hesitate to sink instead of defending you.</v>
      </c>
    </row>
    <row r="867" spans="1:9" ht="15.75" customHeight="1" x14ac:dyDescent="0.3">
      <c r="A867" s="2">
        <v>3</v>
      </c>
      <c r="B867" s="2" t="s">
        <v>2401</v>
      </c>
      <c r="C867" s="2" t="s">
        <v>2402</v>
      </c>
      <c r="D867" s="2" t="s">
        <v>664</v>
      </c>
      <c r="E867" s="2" t="s">
        <v>39</v>
      </c>
      <c r="F867" s="2" t="s">
        <v>15</v>
      </c>
      <c r="G867" s="2" t="s">
        <v>771</v>
      </c>
      <c r="H867" s="2" t="s">
        <v>256</v>
      </c>
      <c r="I867" s="2" t="str">
        <f ca="1">IFERROR(__xludf.DUMMYFUNCTION("GOOGLETRANSLATE(C867,""fr"",""en"")"),"New customer at home, very satisfied with the customer service on the phone I had as a super friendly, kind Ikram advisor, listening to the problem nothing to complain about.")</f>
        <v>New customer at home, very satisfied with the customer service on the phone I had as a super friendly, kind Ikram advisor, listening to the problem nothing to complain about.</v>
      </c>
    </row>
    <row r="868" spans="1:9" ht="15.75" customHeight="1" x14ac:dyDescent="0.3">
      <c r="A868" s="2">
        <v>4</v>
      </c>
      <c r="B868" s="2" t="s">
        <v>2403</v>
      </c>
      <c r="C868" s="2" t="s">
        <v>2404</v>
      </c>
      <c r="D868" s="2" t="s">
        <v>28</v>
      </c>
      <c r="E868" s="2" t="s">
        <v>14</v>
      </c>
      <c r="F868" s="2" t="s">
        <v>15</v>
      </c>
      <c r="G868" s="2" t="s">
        <v>2405</v>
      </c>
      <c r="H868" s="2" t="s">
        <v>71</v>
      </c>
      <c r="I868" s="2" t="str">
        <f ca="1">IFERROR(__xludf.DUMMYFUNCTION("GOOGLETRANSLATE(C868,""fr"",""en"")"),"I am satisfied with the price and the reception by phone, I would recommend the insurance olive tree to my entourage and especially to my relatives. I am sorry for the delay in the signing of my contract.")</f>
        <v>I am satisfied with the price and the reception by phone, I would recommend the insurance olive tree to my entourage and especially to my relatives. I am sorry for the delay in the signing of my contract.</v>
      </c>
    </row>
    <row r="869" spans="1:9" ht="15.75" customHeight="1" x14ac:dyDescent="0.3">
      <c r="A869" s="2">
        <v>2</v>
      </c>
      <c r="B869" s="2" t="s">
        <v>2406</v>
      </c>
      <c r="C869" s="2" t="s">
        <v>2407</v>
      </c>
      <c r="D869" s="2" t="s">
        <v>303</v>
      </c>
      <c r="E869" s="2" t="s">
        <v>14</v>
      </c>
      <c r="F869" s="2" t="s">
        <v>15</v>
      </c>
      <c r="G869" s="2" t="s">
        <v>317</v>
      </c>
      <c r="H869" s="2" t="s">
        <v>25</v>
      </c>
      <c r="I869" s="2" t="str">
        <f ca="1">IFERROR(__xludf.DUMMYFUNCTION("GOOGLETRANSLATE(C869,""fr"",""en"")"),"Very disappointed with the Macif sinister service despite several reminders my request is not called I do not recommend.
The price is advantageous but lacks professionalism in the responses")</f>
        <v>Very disappointed with the Macif sinister service despite several reminders my request is not called I do not recommend.
The price is advantageous but lacks professionalism in the responses</v>
      </c>
    </row>
    <row r="870" spans="1:9" ht="15.75" customHeight="1" x14ac:dyDescent="0.3">
      <c r="A870" s="2">
        <v>4</v>
      </c>
      <c r="B870" s="2" t="s">
        <v>2408</v>
      </c>
      <c r="C870" s="2" t="s">
        <v>2409</v>
      </c>
      <c r="D870" s="2" t="s">
        <v>28</v>
      </c>
      <c r="E870" s="2" t="s">
        <v>14</v>
      </c>
      <c r="F870" s="2" t="s">
        <v>15</v>
      </c>
      <c r="G870" s="2" t="s">
        <v>2410</v>
      </c>
      <c r="H870" s="2" t="s">
        <v>83</v>
      </c>
      <c r="I870" s="2" t="str">
        <f ca="1">IFERROR(__xludf.DUMMYFUNCTION("GOOGLETRANSLATE(C870,""fr"",""en"")"),"I am aware of the telephone reception and the advice I received by phone
Documents received quickly by email, everything is OK.
Correct and quickly assured price")</f>
        <v>I am aware of the telephone reception and the advice I received by phone
Documents received quickly by email, everything is OK.
Correct and quickly assured price</v>
      </c>
    </row>
    <row r="871" spans="1:9" ht="15.75" customHeight="1" x14ac:dyDescent="0.3">
      <c r="A871" s="2">
        <v>3</v>
      </c>
      <c r="B871" s="2" t="s">
        <v>2411</v>
      </c>
      <c r="C871" s="2" t="s">
        <v>2412</v>
      </c>
      <c r="D871" s="2" t="s">
        <v>13</v>
      </c>
      <c r="E871" s="2" t="s">
        <v>14</v>
      </c>
      <c r="F871" s="2" t="s">
        <v>15</v>
      </c>
      <c r="G871" s="2" t="s">
        <v>300</v>
      </c>
      <c r="H871" s="2" t="s">
        <v>111</v>
      </c>
      <c r="I871" s="2" t="str">
        <f ca="1">IFERROR(__xludf.DUMMYFUNCTION("GOOGLETRANSLATE(C871,""fr"",""en"")"),"I am satts of these services and the price you offer but for the place I am a new customer to see later in the duration thank you for your servce")</f>
        <v>I am satts of these services and the price you offer but for the place I am a new customer to see later in the duration thank you for your servce</v>
      </c>
    </row>
    <row r="872" spans="1:9" ht="15.75" customHeight="1" x14ac:dyDescent="0.3">
      <c r="A872" s="2">
        <v>4</v>
      </c>
      <c r="B872" s="2" t="s">
        <v>2413</v>
      </c>
      <c r="C872" s="2" t="s">
        <v>2414</v>
      </c>
      <c r="D872" s="2" t="s">
        <v>530</v>
      </c>
      <c r="E872" s="2" t="s">
        <v>39</v>
      </c>
      <c r="F872" s="2" t="s">
        <v>15</v>
      </c>
      <c r="G872" s="2" t="s">
        <v>2415</v>
      </c>
      <c r="H872" s="2" t="s">
        <v>108</v>
      </c>
      <c r="I872" s="2" t="str">
        <f ca="1">IFERROR(__xludf.DUMMYFUNCTION("GOOGLETRANSLATE(C872,""fr"",""en"")"),"Very good telephone reception and clear and unambiguous responses. The sometimes long waiting period is offset by an automatic recall proposal. top")</f>
        <v>Very good telephone reception and clear and unambiguous responses. The sometimes long waiting period is offset by an automatic recall proposal. top</v>
      </c>
    </row>
    <row r="873" spans="1:9" ht="15.75" customHeight="1" x14ac:dyDescent="0.3">
      <c r="A873" s="2">
        <v>5</v>
      </c>
      <c r="B873" s="2" t="s">
        <v>2416</v>
      </c>
      <c r="C873" s="2" t="s">
        <v>2417</v>
      </c>
      <c r="D873" s="2" t="s">
        <v>128</v>
      </c>
      <c r="E873" s="2" t="s">
        <v>14</v>
      </c>
      <c r="F873" s="2" t="s">
        <v>15</v>
      </c>
      <c r="G873" s="2" t="s">
        <v>2418</v>
      </c>
      <c r="H873" s="2" t="s">
        <v>256</v>
      </c>
      <c r="I873" s="2" t="str">
        <f ca="1">IFERROR(__xludf.DUMMYFUNCTION("GOOGLETRANSLATE(C873,""fr"",""en"")"),"Top insurance! Best contract on the market! I used the assistant, they are really helpful and pleasant. Always someone to answer my questions. Qualified staff.")</f>
        <v>Top insurance! Best contract on the market! I used the assistant, they are really helpful and pleasant. Always someone to answer my questions. Qualified staff.</v>
      </c>
    </row>
    <row r="874" spans="1:9" ht="15.75" customHeight="1" x14ac:dyDescent="0.3">
      <c r="A874" s="2">
        <v>5</v>
      </c>
      <c r="B874" s="2" t="s">
        <v>2419</v>
      </c>
      <c r="C874" s="2" t="s">
        <v>2420</v>
      </c>
      <c r="D874" s="2" t="s">
        <v>28</v>
      </c>
      <c r="E874" s="2" t="s">
        <v>14</v>
      </c>
      <c r="F874" s="2" t="s">
        <v>15</v>
      </c>
      <c r="G874" s="2" t="s">
        <v>1407</v>
      </c>
      <c r="H874" s="2" t="s">
        <v>30</v>
      </c>
      <c r="I874" s="2" t="str">
        <f ca="1">IFERROR(__xludf.DUMMYFUNCTION("GOOGLETRANSLATE(C874,""fr"",""en"")"),"Following a quote made on the Internet, the sales team was responsive and attentive. The prices challenge all competition. The procedures are simplified via the Internet. So far, everything is perfect.")</f>
        <v>Following a quote made on the Internet, the sales team was responsive and attentive. The prices challenge all competition. The procedures are simplified via the Internet. So far, everything is perfect.</v>
      </c>
    </row>
    <row r="875" spans="1:9" ht="15.75" customHeight="1" x14ac:dyDescent="0.3">
      <c r="A875" s="2">
        <v>5</v>
      </c>
      <c r="B875" s="2" t="s">
        <v>2421</v>
      </c>
      <c r="C875" s="2" t="s">
        <v>2422</v>
      </c>
      <c r="D875" s="2" t="s">
        <v>197</v>
      </c>
      <c r="E875" s="2" t="s">
        <v>81</v>
      </c>
      <c r="F875" s="2" t="s">
        <v>15</v>
      </c>
      <c r="G875" s="2" t="s">
        <v>2423</v>
      </c>
      <c r="H875" s="2" t="s">
        <v>74</v>
      </c>
      <c r="I875" s="2" t="str">
        <f ca="1">IFERROR(__xludf.DUMMYFUNCTION("GOOGLETRANSLATE(C875,""fr"",""en"")"),"You are at the top speed and efficiency are your watchwords, thank you")</f>
        <v>You are at the top speed and efficiency are your watchwords, thank you</v>
      </c>
    </row>
    <row r="876" spans="1:9" ht="15.75" customHeight="1" x14ac:dyDescent="0.3">
      <c r="A876" s="2">
        <v>4</v>
      </c>
      <c r="B876" s="2" t="s">
        <v>2424</v>
      </c>
      <c r="C876" s="2" t="s">
        <v>2425</v>
      </c>
      <c r="D876" s="2" t="s">
        <v>44</v>
      </c>
      <c r="E876" s="2" t="s">
        <v>39</v>
      </c>
      <c r="F876" s="2" t="s">
        <v>15</v>
      </c>
      <c r="G876" s="2" t="s">
        <v>2127</v>
      </c>
      <c r="H876" s="2" t="s">
        <v>46</v>
      </c>
      <c r="I876" s="2" t="str">
        <f ca="1">IFERROR(__xludf.DUMMYFUNCTION("GOOGLETRANSLATE(C876,""fr"",""en"")"),"The subscription of my contract from my complementary health at April was very simple: practical, quick to achieve and perfectly suited to my needs. It's positive.")</f>
        <v>The subscription of my contract from my complementary health at April was very simple: practical, quick to achieve and perfectly suited to my needs. It's positive.</v>
      </c>
    </row>
    <row r="877" spans="1:9" ht="15.75" customHeight="1" x14ac:dyDescent="0.3">
      <c r="A877" s="2">
        <v>2</v>
      </c>
      <c r="B877" s="2" t="s">
        <v>2426</v>
      </c>
      <c r="C877" s="2" t="s">
        <v>2427</v>
      </c>
      <c r="D877" s="2" t="s">
        <v>197</v>
      </c>
      <c r="E877" s="2" t="s">
        <v>81</v>
      </c>
      <c r="F877" s="2" t="s">
        <v>15</v>
      </c>
      <c r="G877" s="2" t="s">
        <v>2428</v>
      </c>
      <c r="H877" s="2" t="s">
        <v>228</v>
      </c>
      <c r="I877" s="2" t="str">
        <f ca="1">IFERROR(__xludf.DUMMYFUNCTION("GOOGLETRANSLATE(C877,""fr"",""en"")"),"Following accident I could not call on assistance since I was taken care of by the firefighters
So the gendarmerie called on their convenience store to remove my motorcycle. To recover it I put forward the breakdown costs which must be brought in by the "&amp;"assistance and the 2 months after sending the invoice TJRS no refund despite the multiple recovery. AMV is the assistance that must pay us relay them and the same speech for 2 months")</f>
        <v>Following accident I could not call on assistance since I was taken care of by the firefighters
So the gendarmerie called on their convenience store to remove my motorcycle. To recover it I put forward the breakdown costs which must be brought in by the assistance and the 2 months after sending the invoice TJRS no refund despite the multiple recovery. AMV is the assistance that must pay us relay them and the same speech for 2 months</v>
      </c>
    </row>
    <row r="878" spans="1:9" ht="15.75" customHeight="1" x14ac:dyDescent="0.3">
      <c r="A878" s="2">
        <v>5</v>
      </c>
      <c r="B878" s="2" t="s">
        <v>2429</v>
      </c>
      <c r="C878" s="2" t="s">
        <v>2430</v>
      </c>
      <c r="D878" s="2" t="s">
        <v>28</v>
      </c>
      <c r="E878" s="2" t="s">
        <v>14</v>
      </c>
      <c r="F878" s="2" t="s">
        <v>15</v>
      </c>
      <c r="G878" s="2" t="s">
        <v>82</v>
      </c>
      <c r="H878" s="2" t="s">
        <v>83</v>
      </c>
      <c r="I878" s="2" t="str">
        <f ca="1">IFERROR(__xludf.DUMMYFUNCTION("GOOGLETRANSLATE(C878,""fr"",""en"")"),"I am satisfied, speed and efficiency of the quote to the contract/. In addition to very competitive prices and a most pleasant welcome.
I will recommend the olive tree to my friends
")</f>
        <v xml:space="preserve">I am satisfied, speed and efficiency of the quote to the contract/. In addition to very competitive prices and a most pleasant welcome.
I will recommend the olive tree to my friends
</v>
      </c>
    </row>
    <row r="879" spans="1:9" ht="15.75" customHeight="1" x14ac:dyDescent="0.3">
      <c r="A879" s="2">
        <v>5</v>
      </c>
      <c r="B879" s="2" t="s">
        <v>2431</v>
      </c>
      <c r="C879" s="2" t="s">
        <v>2432</v>
      </c>
      <c r="D879" s="2" t="s">
        <v>13</v>
      </c>
      <c r="E879" s="2" t="s">
        <v>14</v>
      </c>
      <c r="F879" s="2" t="s">
        <v>15</v>
      </c>
      <c r="G879" s="2" t="s">
        <v>2186</v>
      </c>
      <c r="H879" s="2" t="s">
        <v>17</v>
      </c>
      <c r="I879" s="2" t="str">
        <f ca="1">IFERROR(__xludf.DUMMYFUNCTION("GOOGLETRANSLATE(C879,""fr"",""en"")"),"As a secondary driver, Direct Insurance was a very good choice, now I am happy with my first car and reliable and practical insurance!")</f>
        <v>As a secondary driver, Direct Insurance was a very good choice, now I am happy with my first car and reliable and practical insurance!</v>
      </c>
    </row>
    <row r="880" spans="1:9" ht="15.75" customHeight="1" x14ac:dyDescent="0.3">
      <c r="A880" s="2">
        <v>2</v>
      </c>
      <c r="B880" s="2" t="s">
        <v>2433</v>
      </c>
      <c r="C880" s="2" t="s">
        <v>2434</v>
      </c>
      <c r="D880" s="2" t="s">
        <v>13</v>
      </c>
      <c r="E880" s="2" t="s">
        <v>14</v>
      </c>
      <c r="F880" s="2" t="s">
        <v>15</v>
      </c>
      <c r="G880" s="2" t="s">
        <v>2435</v>
      </c>
      <c r="H880" s="2" t="s">
        <v>414</v>
      </c>
      <c r="I880" s="2" t="str">
        <f ca="1">IFERROR(__xludf.DUMMYFUNCTION("GOOGLETRANSLATE(C880,""fr"",""en"")"),"Ah not at all satisfied, I have the impression that the more you build with direct insurance the more your bill becomes bitter, from 55 euros to my first subscription after 2 years I am at more than 67 euros")</f>
        <v>Ah not at all satisfied, I have the impression that the more you build with direct insurance the more your bill becomes bitter, from 55 euros to my first subscription after 2 years I am at more than 67 euros</v>
      </c>
    </row>
    <row r="881" spans="1:9" ht="15.75" customHeight="1" x14ac:dyDescent="0.3">
      <c r="A881" s="2">
        <v>4</v>
      </c>
      <c r="B881" s="2" t="s">
        <v>2436</v>
      </c>
      <c r="C881" s="2" t="s">
        <v>2437</v>
      </c>
      <c r="D881" s="2" t="s">
        <v>28</v>
      </c>
      <c r="E881" s="2" t="s">
        <v>14</v>
      </c>
      <c r="F881" s="2" t="s">
        <v>15</v>
      </c>
      <c r="G881" s="2" t="s">
        <v>676</v>
      </c>
      <c r="H881" s="2" t="s">
        <v>111</v>
      </c>
      <c r="I881" s="2" t="str">
        <f ca="1">IFERROR(__xludf.DUMMYFUNCTION("GOOGLETRANSLATE(C881,""fr"",""en"")"),"I am satisfied with the service.
Level price I thought I had better price than that but happy as the same.
Two out of 3 cars at the Olivier Assurance that deserved a better contract.")</f>
        <v>I am satisfied with the service.
Level price I thought I had better price than that but happy as the same.
Two out of 3 cars at the Olivier Assurance that deserved a better contract.</v>
      </c>
    </row>
    <row r="882" spans="1:9" ht="15.75" customHeight="1" x14ac:dyDescent="0.3">
      <c r="A882" s="2">
        <v>1</v>
      </c>
      <c r="B882" s="2" t="s">
        <v>2438</v>
      </c>
      <c r="C882" s="2" t="s">
        <v>2439</v>
      </c>
      <c r="D882" s="2" t="s">
        <v>38</v>
      </c>
      <c r="E882" s="2" t="s">
        <v>39</v>
      </c>
      <c r="F882" s="2" t="s">
        <v>15</v>
      </c>
      <c r="G882" s="2" t="s">
        <v>557</v>
      </c>
      <c r="H882" s="2" t="s">
        <v>557</v>
      </c>
      <c r="I882" s="2" t="str">
        <f ca="1">IFERROR(__xludf.DUMMYFUNCTION("GOOGLETRANSLATE(C882,""fr"",""en"")"),"To flee absolutely! I have subscribed to this mutual insurance company following a mutual comparison site. I wanted to withdraw within the deadline, having made the decision too quickly, but the: impossible !! Each time they find something that I should h"&amp;"ave done in addition to manifest my will to leave them. I blocked the samples but nothing helps ... !!!! I become desperate, I cannot pay two mutuals !!!")</f>
        <v>To flee absolutely! I have subscribed to this mutual insurance company following a mutual comparison site. I wanted to withdraw within the deadline, having made the decision too quickly, but the: impossible !! Each time they find something that I should have done in addition to manifest my will to leave them. I blocked the samples but nothing helps ... !!!! I become desperate, I cannot pay two mutuals !!!</v>
      </c>
    </row>
    <row r="883" spans="1:9" ht="15.75" customHeight="1" x14ac:dyDescent="0.3">
      <c r="A883" s="2">
        <v>1</v>
      </c>
      <c r="B883" s="2" t="s">
        <v>2440</v>
      </c>
      <c r="C883" s="2" t="s">
        <v>2441</v>
      </c>
      <c r="D883" s="2" t="s">
        <v>465</v>
      </c>
      <c r="E883" s="2" t="s">
        <v>39</v>
      </c>
      <c r="F883" s="2" t="s">
        <v>15</v>
      </c>
      <c r="G883" s="2" t="s">
        <v>2442</v>
      </c>
      <c r="H883" s="2" t="s">
        <v>507</v>
      </c>
      <c r="I883" s="2" t="str">
        <f ca="1">IFERROR(__xludf.DUMMYFUNCTION("GOOGLETRANSLATE(C883,""fr"",""en"")"),"What a kata! Contributing contributions and less and less well reimbursed care. No responsiveness, 15 days for an answer by email ... I send a letter of termination in good and due form and no answer ... neither on the phone, nor by email, nor in agency!")</f>
        <v>What a kata! Contributing contributions and less and less well reimbursed care. No responsiveness, 15 days for an answer by email ... I send a letter of termination in good and due form and no answer ... neither on the phone, nor by email, nor in agency!</v>
      </c>
    </row>
    <row r="884" spans="1:9" ht="15.75" customHeight="1" x14ac:dyDescent="0.3">
      <c r="A884" s="2">
        <v>1</v>
      </c>
      <c r="B884" s="2" t="s">
        <v>2443</v>
      </c>
      <c r="C884" s="2" t="s">
        <v>2444</v>
      </c>
      <c r="D884" s="2" t="s">
        <v>28</v>
      </c>
      <c r="E884" s="2" t="s">
        <v>14</v>
      </c>
      <c r="F884" s="2" t="s">
        <v>15</v>
      </c>
      <c r="G884" s="2" t="s">
        <v>2445</v>
      </c>
      <c r="H884" s="2" t="s">
        <v>994</v>
      </c>
      <c r="I884" s="2" t="str">
        <f ca="1">IFERROR(__xludf.DUMMYFUNCTION("GOOGLETRANSLATE(C884,""fr"",""en"")"),"After a sinister which took 6 months to be ruled I expressed a mood ticket to the claim service which takes care of my daughter's file and 30 minutes later she was sanctioned by an email ruling my claim on a 50/ 50 with the third party who caused him the "&amp;"disaster which my daughter was not wrongly !! well done! For insurance that must defend the interests of members, it's scandalous! incompetent insurer! And unscrupulous!
")</f>
        <v xml:space="preserve">After a sinister which took 6 months to be ruled I expressed a mood ticket to the claim service which takes care of my daughter's file and 30 minutes later she was sanctioned by an email ruling my claim on a 50/ 50 with the third party who caused him the disaster which my daughter was not wrongly !! well done! For insurance that must defend the interests of members, it's scandalous! incompetent insurer! And unscrupulous!
</v>
      </c>
    </row>
    <row r="885" spans="1:9" ht="15.75" customHeight="1" x14ac:dyDescent="0.3">
      <c r="A885" s="2">
        <v>3</v>
      </c>
      <c r="B885" s="2" t="s">
        <v>2446</v>
      </c>
      <c r="C885" s="2" t="s">
        <v>2447</v>
      </c>
      <c r="D885" s="2" t="s">
        <v>13</v>
      </c>
      <c r="E885" s="2" t="s">
        <v>14</v>
      </c>
      <c r="F885" s="2" t="s">
        <v>15</v>
      </c>
      <c r="G885" s="2" t="s">
        <v>2448</v>
      </c>
      <c r="H885" s="2" t="s">
        <v>286</v>
      </c>
      <c r="I885" s="2" t="str">
        <f ca="1">IFERROR(__xludf.DUMMYFUNCTION("GOOGLETRANSLATE(C885,""fr"",""en"")"),"RAS for the moment but
I regret not being able to see the quote right away and in particular the conditions of ice bros (franchisee or not) .........")</f>
        <v>RAS for the moment but
I regret not being able to see the quote right away and in particular the conditions of ice bros (franchisee or not) .........</v>
      </c>
    </row>
    <row r="886" spans="1:9" ht="15.75" customHeight="1" x14ac:dyDescent="0.3">
      <c r="A886" s="2">
        <v>1</v>
      </c>
      <c r="B886" s="2" t="s">
        <v>2449</v>
      </c>
      <c r="C886" s="2" t="s">
        <v>2450</v>
      </c>
      <c r="D886" s="2" t="s">
        <v>65</v>
      </c>
      <c r="E886" s="2" t="s">
        <v>14</v>
      </c>
      <c r="F886" s="2" t="s">
        <v>15</v>
      </c>
      <c r="G886" s="2" t="s">
        <v>2451</v>
      </c>
      <c r="H886" s="2" t="s">
        <v>224</v>
      </c>
      <c r="I886" s="2" t="str">
        <f ca="1">IFERROR(__xludf.DUMMYFUNCTION("GOOGLETRANSLATE(C886,""fr"",""en"")"),"It is an insurance that takes time to reimburse you and crumbles under the paperwork before you can reimburse you even during a non -responsible disaster.")</f>
        <v>It is an insurance that takes time to reimburse you and crumbles under the paperwork before you can reimburse you even during a non -responsible disaster.</v>
      </c>
    </row>
    <row r="887" spans="1:9" ht="15.75" customHeight="1" x14ac:dyDescent="0.3">
      <c r="A887" s="2">
        <v>4</v>
      </c>
      <c r="B887" s="2" t="s">
        <v>2452</v>
      </c>
      <c r="C887" s="2" t="s">
        <v>2453</v>
      </c>
      <c r="D887" s="2" t="s">
        <v>28</v>
      </c>
      <c r="E887" s="2" t="s">
        <v>14</v>
      </c>
      <c r="F887" s="2" t="s">
        <v>15</v>
      </c>
      <c r="G887" s="2" t="s">
        <v>2192</v>
      </c>
      <c r="H887" s="2" t="s">
        <v>71</v>
      </c>
      <c r="I887" s="2" t="str">
        <f ca="1">IFERROR(__xludf.DUMMYFUNCTION("GOOGLETRANSLATE(C887,""fr"",""en"")"),"I am satisfied with the service very good value for money price and very easy to use.
We think we are ensuring our other vehicles as well as our accommodation.")</f>
        <v>I am satisfied with the service very good value for money price and very easy to use.
We think we are ensuring our other vehicles as well as our accommodation.</v>
      </c>
    </row>
    <row r="888" spans="1:9" ht="15.75" customHeight="1" x14ac:dyDescent="0.3">
      <c r="A888" s="2">
        <v>5</v>
      </c>
      <c r="B888" s="2" t="s">
        <v>2454</v>
      </c>
      <c r="C888" s="2" t="s">
        <v>2455</v>
      </c>
      <c r="D888" s="2" t="s">
        <v>13</v>
      </c>
      <c r="E888" s="2" t="s">
        <v>14</v>
      </c>
      <c r="F888" s="2" t="s">
        <v>15</v>
      </c>
      <c r="G888" s="2" t="s">
        <v>1635</v>
      </c>
      <c r="H888" s="2" t="s">
        <v>30</v>
      </c>
      <c r="I888" s="2" t="str">
        <f ca="1">IFERROR(__xludf.DUMMYFUNCTION("GOOGLETRANSLATE(C888,""fr"",""en"")"),"I am very satisfied with customer service with service provision to offer to the customer and support to find the solution relating to our requests")</f>
        <v>I am very satisfied with customer service with service provision to offer to the customer and support to find the solution relating to our requests</v>
      </c>
    </row>
    <row r="889" spans="1:9" ht="15.75" customHeight="1" x14ac:dyDescent="0.3">
      <c r="A889" s="2">
        <v>4</v>
      </c>
      <c r="B889" s="2" t="s">
        <v>2456</v>
      </c>
      <c r="C889" s="2" t="s">
        <v>2457</v>
      </c>
      <c r="D889" s="2" t="s">
        <v>28</v>
      </c>
      <c r="E889" s="2" t="s">
        <v>14</v>
      </c>
      <c r="F889" s="2" t="s">
        <v>15</v>
      </c>
      <c r="G889" s="2" t="s">
        <v>970</v>
      </c>
      <c r="H889" s="2" t="s">
        <v>21</v>
      </c>
      <c r="I889" s="2" t="str">
        <f ca="1">IFERROR(__xludf.DUMMYFUNCTION("GOOGLETRANSLATE(C889,""fr"",""en"")"),"Fast, simple and clear membership.
Quick and efficient telephone reception, clear information, always too high but competitive price.
I don't see what I can say more.")</f>
        <v>Fast, simple and clear membership.
Quick and efficient telephone reception, clear information, always too high but competitive price.
I don't see what I can say more.</v>
      </c>
    </row>
    <row r="890" spans="1:9" ht="15.75" customHeight="1" x14ac:dyDescent="0.3">
      <c r="A890" s="2">
        <v>4</v>
      </c>
      <c r="B890" s="2" t="s">
        <v>585</v>
      </c>
      <c r="C890" s="2" t="s">
        <v>2458</v>
      </c>
      <c r="D890" s="2" t="s">
        <v>1242</v>
      </c>
      <c r="E890" s="2" t="s">
        <v>129</v>
      </c>
      <c r="F890" s="2" t="s">
        <v>15</v>
      </c>
      <c r="G890" s="2" t="s">
        <v>388</v>
      </c>
      <c r="H890" s="2" t="s">
        <v>389</v>
      </c>
      <c r="I890" s="2" t="str">
        <f ca="1">IFERROR(__xludf.DUMMYFUNCTION("GOOGLETRANSLATE(C890,""fr"",""en"")"),"We had 2 claims: a water damage and a household apparatus damaged by lightning and we had no problem with insurance. A single downside for us is that not being a bank customer outside of residential insurance, we cannot have a customer area on the interne"&amp;"t.")</f>
        <v>We had 2 claims: a water damage and a household apparatus damaged by lightning and we had no problem with insurance. A single downside for us is that not being a bank customer outside of residential insurance, we cannot have a customer area on the internet.</v>
      </c>
    </row>
    <row r="891" spans="1:9" ht="15.75" customHeight="1" x14ac:dyDescent="0.3">
      <c r="A891" s="2">
        <v>4</v>
      </c>
      <c r="B891" s="2" t="s">
        <v>2459</v>
      </c>
      <c r="C891" s="2" t="s">
        <v>2460</v>
      </c>
      <c r="D891" s="2" t="s">
        <v>13</v>
      </c>
      <c r="E891" s="2" t="s">
        <v>14</v>
      </c>
      <c r="F891" s="2" t="s">
        <v>15</v>
      </c>
      <c r="G891" s="2" t="s">
        <v>111</v>
      </c>
      <c r="H891" s="2" t="s">
        <v>111</v>
      </c>
      <c r="I891" s="2" t="str">
        <f ca="1">IFERROR(__xludf.DUMMYFUNCTION("GOOGLETRANSLATE(C891,""fr"",""en"")"),"Easy and quick subscription, point -of -the -way because too much telephone reminders. For my part, I like to take the time to think alone before committing.")</f>
        <v>Easy and quick subscription, point -of -the -way because too much telephone reminders. For my part, I like to take the time to think alone before committing.</v>
      </c>
    </row>
    <row r="892" spans="1:9" ht="15.75" customHeight="1" x14ac:dyDescent="0.3">
      <c r="A892" s="2">
        <v>3</v>
      </c>
      <c r="B892" s="2" t="s">
        <v>2461</v>
      </c>
      <c r="C892" s="2" t="s">
        <v>2462</v>
      </c>
      <c r="D892" s="2" t="s">
        <v>13</v>
      </c>
      <c r="E892" s="2" t="s">
        <v>14</v>
      </c>
      <c r="F892" s="2" t="s">
        <v>15</v>
      </c>
      <c r="G892" s="2" t="s">
        <v>2463</v>
      </c>
      <c r="H892" s="2" t="s">
        <v>286</v>
      </c>
      <c r="I892" s="2" t="str">
        <f ca="1">IFERROR(__xludf.DUMMYFUNCTION("GOOGLETRANSLATE(C892,""fr"",""en"")"),"Price at Direct tend to increase T are no longer competitive. The online service is very good and the advisers are very affable. On the other hand, the personal space is not updated regularly, we end up with quotes from 2 or 3 years ago and which are alwa"&amp;"ys displayed.")</f>
        <v>Price at Direct tend to increase T are no longer competitive. The online service is very good and the advisers are very affable. On the other hand, the personal space is not updated regularly, we end up with quotes from 2 or 3 years ago and which are always displayed.</v>
      </c>
    </row>
    <row r="893" spans="1:9" ht="15.75" customHeight="1" x14ac:dyDescent="0.3">
      <c r="A893" s="2">
        <v>1</v>
      </c>
      <c r="B893" s="2" t="s">
        <v>2464</v>
      </c>
      <c r="C893" s="2" t="s">
        <v>2465</v>
      </c>
      <c r="D893" s="2" t="s">
        <v>322</v>
      </c>
      <c r="E893" s="2" t="s">
        <v>14</v>
      </c>
      <c r="F893" s="2" t="s">
        <v>15</v>
      </c>
      <c r="G893" s="2" t="s">
        <v>2466</v>
      </c>
      <c r="H893" s="2" t="s">
        <v>1720</v>
      </c>
      <c r="I893" s="2" t="str">
        <f ca="1">IFERROR(__xludf.DUMMYFUNCTION("GOOGLETRANSLATE(C893,""fr"",""en"")"),"Hello I would like to know if you have a number on which I can reach you from the meeting! Because 0892020423 does not work. Thanks in advance                     .
                                         .
.
.
.
"&amp;"
.
.
.
.
.
.")</f>
        <v>Hello I would like to know if you have a number on which I can reach you from the meeting! Because 0892020423 does not work. Thanks in advance                     .
                                         .
.
.
.
.
.
.
.
.
.</v>
      </c>
    </row>
    <row r="894" spans="1:9" ht="15.75" customHeight="1" x14ac:dyDescent="0.3">
      <c r="A894" s="2">
        <v>3</v>
      </c>
      <c r="B894" s="2" t="s">
        <v>2467</v>
      </c>
      <c r="C894" s="2" t="s">
        <v>2468</v>
      </c>
      <c r="D894" s="2" t="s">
        <v>13</v>
      </c>
      <c r="E894" s="2" t="s">
        <v>14</v>
      </c>
      <c r="F894" s="2" t="s">
        <v>15</v>
      </c>
      <c r="G894" s="2" t="s">
        <v>2073</v>
      </c>
      <c r="H894" s="2" t="s">
        <v>17</v>
      </c>
      <c r="I894" s="2" t="str">
        <f ca="1">IFERROR(__xludf.DUMMYFUNCTION("GOOGLETRANSLATE(C894,""fr"",""en"")"),"Simple and quick, however, add BRIS Ice and reduce the deductible
Costs a lot of € 100. Good -quality site and advisor
Very responsive.")</f>
        <v>Simple and quick, however, add BRIS Ice and reduce the deductible
Costs a lot of € 100. Good -quality site and advisor
Very responsive.</v>
      </c>
    </row>
    <row r="895" spans="1:9" ht="15.75" customHeight="1" x14ac:dyDescent="0.3">
      <c r="A895" s="2">
        <v>3</v>
      </c>
      <c r="B895" s="2" t="s">
        <v>2469</v>
      </c>
      <c r="C895" s="2" t="s">
        <v>2470</v>
      </c>
      <c r="D895" s="2" t="s">
        <v>13</v>
      </c>
      <c r="E895" s="2" t="s">
        <v>14</v>
      </c>
      <c r="F895" s="2" t="s">
        <v>15</v>
      </c>
      <c r="G895" s="2" t="s">
        <v>2471</v>
      </c>
      <c r="H895" s="2" t="s">
        <v>385</v>
      </c>
      <c r="I895" s="2" t="str">
        <f ca="1">IFERROR(__xludf.DUMMYFUNCTION("GOOGLETRANSLATE(C895,""fr"",""en"")"),"Very good company. Staff in the Rapid Response. Very reactive and above all effective .pneu. DEPANER 30 minutes after")</f>
        <v>Very good company. Staff in the Rapid Response. Very reactive and above all effective .pneu. DEPANER 30 minutes after</v>
      </c>
    </row>
    <row r="896" spans="1:9" ht="15.75" customHeight="1" x14ac:dyDescent="0.3">
      <c r="A896" s="2">
        <v>4</v>
      </c>
      <c r="B896" s="2" t="s">
        <v>2472</v>
      </c>
      <c r="C896" s="2" t="s">
        <v>2473</v>
      </c>
      <c r="D896" s="2" t="s">
        <v>530</v>
      </c>
      <c r="E896" s="2" t="s">
        <v>39</v>
      </c>
      <c r="F896" s="2" t="s">
        <v>15</v>
      </c>
      <c r="G896" s="2" t="s">
        <v>696</v>
      </c>
      <c r="H896" s="2" t="s">
        <v>111</v>
      </c>
      <c r="I896" s="2" t="str">
        <f ca="1">IFERROR(__xludf.DUMMYFUNCTION("GOOGLETRANSLATE(C896,""fr"",""en"")"),"I changed two years ago to subscribe to the MGP. I obtained a lower contribution price than the one I paid previously for similar health coverage.
Refunds are very fast after transmission by social security.")</f>
        <v>I changed two years ago to subscribe to the MGP. I obtained a lower contribution price than the one I paid previously for similar health coverage.
Refunds are very fast after transmission by social security.</v>
      </c>
    </row>
    <row r="897" spans="1:9" ht="15.75" customHeight="1" x14ac:dyDescent="0.3">
      <c r="A897" s="2">
        <v>2</v>
      </c>
      <c r="B897" s="2" t="s">
        <v>2474</v>
      </c>
      <c r="C897" s="2" t="s">
        <v>2475</v>
      </c>
      <c r="D897" s="2" t="s">
        <v>13</v>
      </c>
      <c r="E897" s="2" t="s">
        <v>129</v>
      </c>
      <c r="F897" s="2" t="s">
        <v>15</v>
      </c>
      <c r="G897" s="2" t="s">
        <v>2476</v>
      </c>
      <c r="H897" s="2" t="s">
        <v>994</v>
      </c>
      <c r="I897" s="2" t="str">
        <f ca="1">IFERROR(__xludf.DUMMYFUNCTION("GOOGLETRANSLATE(C897,""fr"",""en"")"),"Since 13/06 I try to contact Direct Insurance by phone, email, WhatsApp but I am told that all the lines are taken due to bad weather.
I sent several emails via the website, sometimes I receive confirmation emails and sometimes nothing.
When I receive"&amp;" confirmation emails that my messages went well, I am told that I am going to contact me within 24 hours but I have never been called 10 days later.
Today big fed up, unreachable insurance, I regret having subscribed to online insurance, I had a fear o"&amp;"f reaching no one when I subscribed, my fear has just been confirmed.
I can't take it anymore, we do everything so that I have not been taken care of, for 2 weeks I had no advice which contacted me or answered despite but messages, emails and calls.
"&amp;"
To be flea !!!!!")</f>
        <v>Since 13/06 I try to contact Direct Insurance by phone, email, WhatsApp but I am told that all the lines are taken due to bad weather.
I sent several emails via the website, sometimes I receive confirmation emails and sometimes nothing.
When I receive confirmation emails that my messages went well, I am told that I am going to contact me within 24 hours but I have never been called 10 days later.
Today big fed up, unreachable insurance, I regret having subscribed to online insurance, I had a fear of reaching no one when I subscribed, my fear has just been confirmed.
I can't take it anymore, we do everything so that I have not been taken care of, for 2 weeks I had no advice which contacted me or answered despite but messages, emails and calls.
To be flea !!!!!</v>
      </c>
    </row>
    <row r="898" spans="1:9" ht="15.75" customHeight="1" x14ac:dyDescent="0.3">
      <c r="A898" s="2">
        <v>1</v>
      </c>
      <c r="B898" s="2" t="s">
        <v>2477</v>
      </c>
      <c r="C898" s="2" t="s">
        <v>2478</v>
      </c>
      <c r="D898" s="2" t="s">
        <v>80</v>
      </c>
      <c r="E898" s="2" t="s">
        <v>81</v>
      </c>
      <c r="F898" s="2" t="s">
        <v>15</v>
      </c>
      <c r="G898" s="2" t="s">
        <v>2479</v>
      </c>
      <c r="H898" s="2" t="s">
        <v>139</v>
      </c>
      <c r="I898" s="2" t="str">
        <f ca="1">IFERROR(__xludf.DUMMYFUNCTION("GOOGLETRANSLATE(C898,""fr"",""en"")"),"Insurance not serious, I sign contract at April Moto and until today I have not received my green card, there are always a few things that are missing and each time in 10 days, definitively not serious")</f>
        <v>Insurance not serious, I sign contract at April Moto and until today I have not received my green card, there are always a few things that are missing and each time in 10 days, definitively not serious</v>
      </c>
    </row>
    <row r="899" spans="1:9" ht="15.75" customHeight="1" x14ac:dyDescent="0.3">
      <c r="A899" s="2">
        <v>1</v>
      </c>
      <c r="B899" s="2" t="s">
        <v>2480</v>
      </c>
      <c r="C899" s="2" t="s">
        <v>2481</v>
      </c>
      <c r="D899" s="2" t="s">
        <v>38</v>
      </c>
      <c r="E899" s="2" t="s">
        <v>39</v>
      </c>
      <c r="F899" s="2" t="s">
        <v>15</v>
      </c>
      <c r="G899" s="2" t="s">
        <v>477</v>
      </c>
      <c r="H899" s="2" t="s">
        <v>46</v>
      </c>
      <c r="I899" s="2" t="str">
        <f ca="1">IFERROR(__xludf.DUMMYFUNCTION("GOOGLETRANSLATE(C899,""fr"",""en"")"),"Refunds are non -existent
Fortunately there is social security
I do not recommend this mutual
I am in category 3 and for more than 2000 euros per year that is what we pay it is better not to ensure
I had barely € 500 in reimbursement in the year for m"&amp;"e and my wife.
Mutuals make money on the backs of the insured, which is why there are so many!
")</f>
        <v xml:space="preserve">Refunds are non -existent
Fortunately there is social security
I do not recommend this mutual
I am in category 3 and for more than 2000 euros per year that is what we pay it is better not to ensure
I had barely € 500 in reimbursement in the year for me and my wife.
Mutuals make money on the backs of the insured, which is why there are so many!
</v>
      </c>
    </row>
    <row r="900" spans="1:9" ht="15.75" customHeight="1" x14ac:dyDescent="0.3">
      <c r="A900" s="2">
        <v>1</v>
      </c>
      <c r="B900" s="2" t="s">
        <v>2482</v>
      </c>
      <c r="C900" s="2" t="s">
        <v>2483</v>
      </c>
      <c r="D900" s="2" t="s">
        <v>13</v>
      </c>
      <c r="E900" s="2" t="s">
        <v>129</v>
      </c>
      <c r="F900" s="2" t="s">
        <v>15</v>
      </c>
      <c r="G900" s="2" t="s">
        <v>633</v>
      </c>
      <c r="H900" s="2" t="s">
        <v>634</v>
      </c>
      <c r="I900" s="2" t="str">
        <f ca="1">IFERROR(__xludf.DUMMYFUNCTION("GOOGLETRANSLATE(C900,""fr"",""en"")"),"Following the sending of 2 recommended termination requests, they did not take into account one of the two and I paid the insurance of an apartment that I did not live more for the year.
I had already assured the new one and now they terminated my contra"&amp;"ct for lack of payment in January (without any warning!) However I must still pay the subscription for the year 2020! No way to solve the problem amicably with their customer service based in North Africa.
To flee at all costs!")</f>
        <v>Following the sending of 2 recommended termination requests, they did not take into account one of the two and I paid the insurance of an apartment that I did not live more for the year.
I had already assured the new one and now they terminated my contract for lack of payment in January (without any warning!) However I must still pay the subscription for the year 2020! No way to solve the problem amicably with their customer service based in North Africa.
To flee at all costs!</v>
      </c>
    </row>
    <row r="901" spans="1:9" ht="15.75" customHeight="1" x14ac:dyDescent="0.3">
      <c r="A901" s="2">
        <v>5</v>
      </c>
      <c r="B901" s="2" t="s">
        <v>2484</v>
      </c>
      <c r="C901" s="2" t="s">
        <v>2485</v>
      </c>
      <c r="D901" s="2" t="s">
        <v>80</v>
      </c>
      <c r="E901" s="2" t="s">
        <v>81</v>
      </c>
      <c r="F901" s="2" t="s">
        <v>15</v>
      </c>
      <c r="G901" s="2" t="s">
        <v>2127</v>
      </c>
      <c r="H901" s="2" t="s">
        <v>46</v>
      </c>
      <c r="I901" s="2" t="str">
        <f ca="1">IFERROR(__xludf.DUMMYFUNCTION("GOOGLETRANSLATE(C901,""fr"",""en"")"),"I am satisfied with the service the prices suits me I will be delighted to talk to my friends and explain to them that it is one of the easiest I saw on the internet thank you on your part for your professionalism")</f>
        <v>I am satisfied with the service the prices suits me I will be delighted to talk to my friends and explain to them that it is one of the easiest I saw on the internet thank you on your part for your professionalism</v>
      </c>
    </row>
    <row r="902" spans="1:9" ht="15.75" customHeight="1" x14ac:dyDescent="0.3">
      <c r="A902" s="2">
        <v>4</v>
      </c>
      <c r="B902" s="2" t="s">
        <v>2486</v>
      </c>
      <c r="C902" s="2" t="s">
        <v>2487</v>
      </c>
      <c r="D902" s="2" t="s">
        <v>80</v>
      </c>
      <c r="E902" s="2" t="s">
        <v>81</v>
      </c>
      <c r="F902" s="2" t="s">
        <v>15</v>
      </c>
      <c r="G902" s="2" t="s">
        <v>251</v>
      </c>
      <c r="H902" s="2" t="s">
        <v>83</v>
      </c>
      <c r="I902" s="2" t="str">
        <f ca="1">IFERROR(__xludf.DUMMYFUNCTION("GOOGLETRANSLATE(C902,""fr"",""en"")"),"Fast efficient, inexpensive, to see what it gives in the future insurance level
Knowing that I will soon move I would see whether the searches are simple or not")</f>
        <v>Fast efficient, inexpensive, to see what it gives in the future insurance level
Knowing that I will soon move I would see whether the searches are simple or not</v>
      </c>
    </row>
    <row r="903" spans="1:9" ht="15.75" customHeight="1" x14ac:dyDescent="0.3">
      <c r="A903" s="2">
        <v>3</v>
      </c>
      <c r="B903" s="2" t="s">
        <v>2488</v>
      </c>
      <c r="C903" s="2" t="s">
        <v>2489</v>
      </c>
      <c r="D903" s="2" t="s">
        <v>254</v>
      </c>
      <c r="E903" s="2" t="s">
        <v>14</v>
      </c>
      <c r="F903" s="2" t="s">
        <v>15</v>
      </c>
      <c r="G903" s="2" t="s">
        <v>1230</v>
      </c>
      <c r="H903" s="2" t="s">
        <v>21</v>
      </c>
      <c r="I903" s="2" t="str">
        <f ca="1">IFERROR(__xludf.DUMMYFUNCTION("GOOGLETRANSLATE(C903,""fr"",""en"")"),"I have a contract vehicle any risk for a car, and a multi -risk home contract for my main home in the 92 and a vacancy apartment in Cannes.
This insurance is expensive but serious
I drive little and I regret that the price paid does not take into accoun"&amp;"t")</f>
        <v>I have a contract vehicle any risk for a car, and a multi -risk home contract for my main home in the 92 and a vacancy apartment in Cannes.
This insurance is expensive but serious
I drive little and I regret that the price paid does not take into account</v>
      </c>
    </row>
    <row r="904" spans="1:9" ht="15.75" customHeight="1" x14ac:dyDescent="0.3">
      <c r="A904" s="2">
        <v>2</v>
      </c>
      <c r="B904" s="2" t="s">
        <v>2490</v>
      </c>
      <c r="C904" s="2" t="s">
        <v>2491</v>
      </c>
      <c r="D904" s="2" t="s">
        <v>875</v>
      </c>
      <c r="E904" s="2" t="s">
        <v>50</v>
      </c>
      <c r="F904" s="2" t="s">
        <v>15</v>
      </c>
      <c r="G904" s="2" t="s">
        <v>620</v>
      </c>
      <c r="H904" s="2" t="s">
        <v>17</v>
      </c>
      <c r="I904" s="2" t="str">
        <f ca="1">IFERROR(__xludf.DUMMYFUNCTION("GOOGLETRANSLATE(C904,""fr"",""en"")"),"Excellent initial contact, I was sold with dreams and especially lies! When I needed to be reimbursed for part of the care costs for my dog, it appeared a deficiency period for this, a refusal for this and I was not reimbursed for anything.
Flee them")</f>
        <v>Excellent initial contact, I was sold with dreams and especially lies! When I needed to be reimbursed for part of the care costs for my dog, it appeared a deficiency period for this, a refusal for this and I was not reimbursed for anything.
Flee them</v>
      </c>
    </row>
    <row r="905" spans="1:9" ht="15.75" customHeight="1" x14ac:dyDescent="0.3">
      <c r="A905" s="2">
        <v>1</v>
      </c>
      <c r="B905" s="2" t="s">
        <v>2492</v>
      </c>
      <c r="C905" s="2" t="s">
        <v>2493</v>
      </c>
      <c r="D905" s="2" t="s">
        <v>89</v>
      </c>
      <c r="E905" s="2" t="s">
        <v>39</v>
      </c>
      <c r="F905" s="2" t="s">
        <v>15</v>
      </c>
      <c r="G905" s="2" t="s">
        <v>2494</v>
      </c>
      <c r="H905" s="2" t="s">
        <v>228</v>
      </c>
      <c r="I905" s="2" t="str">
        <f ca="1">IFERROR(__xludf.DUMMYFUNCTION("GOOGLETRANSLATE(C905,""fr"",""en"")"),"I strongly advise against AFI.
I signed a complementary health (hospitalization) at the end of February 2018. Electronic signature 01/03/2018.
The advisor then tells me that a month ago and that insurance will take effect on 1/04/2018.
I was hospitaliz"&amp;"ed one day (26/04 to 27/04).
The hospital center sends me a letter telling me that insurance refuses to take care of this hospitalization because I was in the waiting period.
The month of March is not taken into account and it is the month of April whic"&amp;"h is taken into account. So I paid 1 month for nothing
Thank you AFI
")</f>
        <v xml:space="preserve">I strongly advise against AFI.
I signed a complementary health (hospitalization) at the end of February 2018. Electronic signature 01/03/2018.
The advisor then tells me that a month ago and that insurance will take effect on 1/04/2018.
I was hospitalized one day (26/04 to 27/04).
The hospital center sends me a letter telling me that insurance refuses to take care of this hospitalization because I was in the waiting period.
The month of March is not taken into account and it is the month of April which is taken into account. So I paid 1 month for nothing
Thank you AFI
</v>
      </c>
    </row>
    <row r="906" spans="1:9" ht="15.75" customHeight="1" x14ac:dyDescent="0.3">
      <c r="A906" s="2">
        <v>4</v>
      </c>
      <c r="B906" s="2" t="s">
        <v>2495</v>
      </c>
      <c r="C906" s="2" t="s">
        <v>2496</v>
      </c>
      <c r="D906" s="2" t="s">
        <v>13</v>
      </c>
      <c r="E906" s="2" t="s">
        <v>14</v>
      </c>
      <c r="F906" s="2" t="s">
        <v>15</v>
      </c>
      <c r="G906" s="2" t="s">
        <v>1016</v>
      </c>
      <c r="H906" s="2" t="s">
        <v>30</v>
      </c>
      <c r="I906" s="2" t="str">
        <f ca="1">IFERROR(__xludf.DUMMYFUNCTION("GOOGLETRANSLATE(C906,""fr"",""en"")"),"Satisfied with your services.
Ready to recommend them.
I have already completed this document once, it is not very complicated to do it again.
By wishing you good reception")</f>
        <v>Satisfied with your services.
Ready to recommend them.
I have already completed this document once, it is not very complicated to do it again.
By wishing you good reception</v>
      </c>
    </row>
    <row r="907" spans="1:9" ht="15.75" customHeight="1" x14ac:dyDescent="0.3">
      <c r="A907" s="2">
        <v>3</v>
      </c>
      <c r="B907" s="2" t="s">
        <v>2497</v>
      </c>
      <c r="C907" s="2" t="s">
        <v>2498</v>
      </c>
      <c r="D907" s="2" t="s">
        <v>28</v>
      </c>
      <c r="E907" s="2" t="s">
        <v>14</v>
      </c>
      <c r="F907" s="2" t="s">
        <v>15</v>
      </c>
      <c r="G907" s="2" t="s">
        <v>985</v>
      </c>
      <c r="H907" s="2" t="s">
        <v>21</v>
      </c>
      <c r="I907" s="2" t="str">
        <f ca="1">IFERROR(__xludf.DUMMYFUNCTION("GOOGLETRANSLATE(C907,""fr"",""en"")"),"Satisfied with the opening of the file but transfer fees elevated 183 euro for a deadline at 65 euros it is hard if possibility of having a refund would be welcome")</f>
        <v>Satisfied with the opening of the file but transfer fees elevated 183 euro for a deadline at 65 euros it is hard if possibility of having a refund would be welcome</v>
      </c>
    </row>
    <row r="908" spans="1:9" ht="15.75" customHeight="1" x14ac:dyDescent="0.3">
      <c r="A908" s="2">
        <v>3</v>
      </c>
      <c r="B908" s="2" t="s">
        <v>2499</v>
      </c>
      <c r="C908" s="2" t="s">
        <v>2500</v>
      </c>
      <c r="D908" s="2" t="s">
        <v>13</v>
      </c>
      <c r="E908" s="2" t="s">
        <v>14</v>
      </c>
      <c r="F908" s="2" t="s">
        <v>15</v>
      </c>
      <c r="G908" s="2" t="s">
        <v>1536</v>
      </c>
      <c r="H908" s="2" t="s">
        <v>83</v>
      </c>
      <c r="I908" s="2" t="str">
        <f ca="1">IFERROR(__xludf.DUMMYFUNCTION("GOOGLETRANSLATE(C908,""fr"",""en"")"),"Complicated to finalize the contract
We receive an email without explanation
Good customer service on the phone
Correct prices
nothing more..................")</f>
        <v>Complicated to finalize the contract
We receive an email without explanation
Good customer service on the phone
Correct prices
nothing more..................</v>
      </c>
    </row>
    <row r="909" spans="1:9" ht="15.75" customHeight="1" x14ac:dyDescent="0.3">
      <c r="A909" s="2">
        <v>4</v>
      </c>
      <c r="B909" s="2" t="s">
        <v>2501</v>
      </c>
      <c r="C909" s="2" t="s">
        <v>2502</v>
      </c>
      <c r="D909" s="2" t="s">
        <v>13</v>
      </c>
      <c r="E909" s="2" t="s">
        <v>14</v>
      </c>
      <c r="F909" s="2" t="s">
        <v>15</v>
      </c>
      <c r="G909" s="2" t="s">
        <v>1162</v>
      </c>
      <c r="H909" s="2" t="s">
        <v>71</v>
      </c>
      <c r="I909" s="2" t="str">
        <f ca="1">IFERROR(__xludf.DUMMYFUNCTION("GOOGLETRANSLATE(C909,""fr"",""en"")"),"Super reactivity of the Services Contact.Bonne Support. very fast.
Online subscription request made with a person on the cat.
Very good customer service I recommend")</f>
        <v>Super reactivity of the Services Contact.Bonne Support. very fast.
Online subscription request made with a person on the cat.
Very good customer service I recommend</v>
      </c>
    </row>
    <row r="910" spans="1:9" ht="15.75" customHeight="1" x14ac:dyDescent="0.3">
      <c r="A910" s="2">
        <v>4</v>
      </c>
      <c r="B910" s="2" t="s">
        <v>2503</v>
      </c>
      <c r="C910" s="2" t="s">
        <v>2504</v>
      </c>
      <c r="D910" s="2" t="s">
        <v>13</v>
      </c>
      <c r="E910" s="2" t="s">
        <v>14</v>
      </c>
      <c r="F910" s="2" t="s">
        <v>15</v>
      </c>
      <c r="G910" s="2" t="s">
        <v>82</v>
      </c>
      <c r="H910" s="2" t="s">
        <v>83</v>
      </c>
      <c r="I910" s="2" t="str">
        <f ca="1">IFERROR(__xludf.DUMMYFUNCTION("GOOGLETRANSLATE(C910,""fr"",""en"")"),"Very simple and intuitive when registering on the site. affordable prices and everything is clear. To see on the long term but for the moment it starts very well.")</f>
        <v>Very simple and intuitive when registering on the site. affordable prices and everything is clear. To see on the long term but for the moment it starts very well.</v>
      </c>
    </row>
    <row r="911" spans="1:9" ht="15.75" customHeight="1" x14ac:dyDescent="0.3">
      <c r="A911" s="2">
        <v>1</v>
      </c>
      <c r="B911" s="2" t="s">
        <v>2505</v>
      </c>
      <c r="C911" s="2" t="s">
        <v>2506</v>
      </c>
      <c r="D911" s="2" t="s">
        <v>190</v>
      </c>
      <c r="E911" s="2" t="s">
        <v>129</v>
      </c>
      <c r="F911" s="2" t="s">
        <v>15</v>
      </c>
      <c r="G911" s="2" t="s">
        <v>2507</v>
      </c>
      <c r="H911" s="2" t="s">
        <v>448</v>
      </c>
      <c r="I911" s="2" t="str">
        <f ca="1">IFERROR(__xludf.DUMMYFUNCTION("GOOGLETRANSLATE(C911,""fr"",""en"")"),"GMF !! Apart from telling us """" your claim cannot be taken care of """" and increase each year from 10.1 to 15.3% the subscription, what are you used for?
All these insurances form a very opaque bubble, made up of unreachable and trained individuals "&amp;"to manipulate you and force you to abandon the steps. To flee without hesitation, GMF in mind!")</f>
        <v>GMF !! Apart from telling us "" your claim cannot be taken care of "" and increase each year from 10.1 to 15.3% the subscription, what are you used for?
All these insurances form a very opaque bubble, made up of unreachable and trained individuals to manipulate you and force you to abandon the steps. To flee without hesitation, GMF in mind!</v>
      </c>
    </row>
    <row r="912" spans="1:9" ht="15.75" customHeight="1" x14ac:dyDescent="0.3">
      <c r="A912" s="2">
        <v>5</v>
      </c>
      <c r="B912" s="2" t="s">
        <v>2508</v>
      </c>
      <c r="C912" s="2" t="s">
        <v>2509</v>
      </c>
      <c r="D912" s="2" t="s">
        <v>197</v>
      </c>
      <c r="E912" s="2" t="s">
        <v>81</v>
      </c>
      <c r="F912" s="2" t="s">
        <v>15</v>
      </c>
      <c r="G912" s="2" t="s">
        <v>456</v>
      </c>
      <c r="H912" s="2" t="s">
        <v>111</v>
      </c>
      <c r="I912" s="2" t="str">
        <f ca="1">IFERROR(__xludf.DUMMYFUNCTION("GOOGLETRANSLATE(C912,""fr"",""en"")"),"Easy to use and pleasant easy and well explained following the telephonic explanation I receive my insurance rourly in all security")</f>
        <v>Easy to use and pleasant easy and well explained following the telephonic explanation I receive my insurance rourly in all security</v>
      </c>
    </row>
    <row r="913" spans="1:9" ht="15.75" customHeight="1" x14ac:dyDescent="0.3">
      <c r="A913" s="2">
        <v>4</v>
      </c>
      <c r="B913" s="2" t="s">
        <v>2510</v>
      </c>
      <c r="C913" s="2" t="s">
        <v>2511</v>
      </c>
      <c r="D913" s="2" t="s">
        <v>28</v>
      </c>
      <c r="E913" s="2" t="s">
        <v>14</v>
      </c>
      <c r="F913" s="2" t="s">
        <v>15</v>
      </c>
      <c r="G913" s="2" t="s">
        <v>307</v>
      </c>
      <c r="H913" s="2" t="s">
        <v>71</v>
      </c>
      <c r="I913" s="2" t="str">
        <f ca="1">IFERROR(__xludf.DUMMYFUNCTION("GOOGLETRANSLATE(C913,""fr"",""en"")"),"The site is well done, the telephone service has left a pleasant impression,
The prices are not the lowest, but do not exercise the competition,
 We will see in the long run ...")</f>
        <v>The site is well done, the telephone service has left a pleasant impression,
The prices are not the lowest, but do not exercise the competition,
 We will see in the long run ...</v>
      </c>
    </row>
    <row r="914" spans="1:9" ht="15.75" customHeight="1" x14ac:dyDescent="0.3">
      <c r="A914" s="2">
        <v>3</v>
      </c>
      <c r="B914" s="2" t="s">
        <v>2512</v>
      </c>
      <c r="C914" s="2" t="s">
        <v>2513</v>
      </c>
      <c r="D914" s="2" t="s">
        <v>664</v>
      </c>
      <c r="E914" s="2" t="s">
        <v>39</v>
      </c>
      <c r="F914" s="2" t="s">
        <v>15</v>
      </c>
      <c r="G914" s="2" t="s">
        <v>513</v>
      </c>
      <c r="H914" s="2" t="s">
        <v>381</v>
      </c>
      <c r="I914" s="2" t="str">
        <f ca="1">IFERROR(__xludf.DUMMYFUNCTION("GOOGLETRANSLATE(C914,""fr"",""en"")"),"I called customer service for a little problem, I came across Sami very professional and effective, he helped me very well, I am very satisfied with the service in general and Sami in particular")</f>
        <v>I called customer service for a little problem, I came across Sami very professional and effective, he helped me very well, I am very satisfied with the service in general and Sami in particular</v>
      </c>
    </row>
    <row r="915" spans="1:9" ht="15.75" customHeight="1" x14ac:dyDescent="0.3">
      <c r="A915" s="2">
        <v>5</v>
      </c>
      <c r="B915" s="2" t="s">
        <v>2514</v>
      </c>
      <c r="C915" s="2" t="s">
        <v>2515</v>
      </c>
      <c r="D915" s="2" t="s">
        <v>13</v>
      </c>
      <c r="E915" s="2" t="s">
        <v>14</v>
      </c>
      <c r="F915" s="2" t="s">
        <v>15</v>
      </c>
      <c r="G915" s="2" t="s">
        <v>1488</v>
      </c>
      <c r="H915" s="2" t="s">
        <v>25</v>
      </c>
      <c r="I915" s="2" t="str">
        <f ca="1">IFERROR(__xludf.DUMMYFUNCTION("GOOGLETRANSLATE(C915,""fr"",""en"")"),"The advisor was very friendly on the phone, reasonable price and certificate received quickly!
I am satisfied and will pleasure with pleasure your insurance.")</f>
        <v>The advisor was very friendly on the phone, reasonable price and certificate received quickly!
I am satisfied and will pleasure with pleasure your insurance.</v>
      </c>
    </row>
    <row r="916" spans="1:9" ht="15.75" customHeight="1" x14ac:dyDescent="0.3">
      <c r="A916" s="2">
        <v>5</v>
      </c>
      <c r="B916" s="2" t="s">
        <v>2516</v>
      </c>
      <c r="C916" s="2" t="s">
        <v>2517</v>
      </c>
      <c r="D916" s="2" t="s">
        <v>28</v>
      </c>
      <c r="E916" s="2" t="s">
        <v>14</v>
      </c>
      <c r="F916" s="2" t="s">
        <v>15</v>
      </c>
      <c r="G916" s="2" t="s">
        <v>1829</v>
      </c>
      <c r="H916" s="2" t="s">
        <v>83</v>
      </c>
      <c r="I916" s="2" t="str">
        <f ca="1">IFERROR(__xludf.DUMMYFUNCTION("GOOGLETRANSLATE(C916,""fr"",""en"")"),"Procedure Summary Simple, fast and efficient automotive contract, attractive price, thank you, cordially Mr Meunier Jean-Jacques, thank you to your team.")</f>
        <v>Procedure Summary Simple, fast and efficient automotive contract, attractive price, thank you, cordially Mr Meunier Jean-Jacques, thank you to your team.</v>
      </c>
    </row>
    <row r="917" spans="1:9" ht="15.75" customHeight="1" x14ac:dyDescent="0.3">
      <c r="A917" s="2">
        <v>4</v>
      </c>
      <c r="B917" s="2" t="s">
        <v>2518</v>
      </c>
      <c r="C917" s="2" t="s">
        <v>2519</v>
      </c>
      <c r="D917" s="2" t="s">
        <v>1242</v>
      </c>
      <c r="E917" s="2" t="s">
        <v>129</v>
      </c>
      <c r="F917" s="2" t="s">
        <v>15</v>
      </c>
      <c r="G917" s="2" t="s">
        <v>2520</v>
      </c>
      <c r="H917" s="2" t="s">
        <v>1332</v>
      </c>
      <c r="I917" s="2" t="str">
        <f ca="1">IFERROR(__xludf.DUMMYFUNCTION("GOOGLETRANSLATE(C917,""fr"",""en"")"),"Very good insurance. Following a storm.")</f>
        <v>Very good insurance. Following a storm.</v>
      </c>
    </row>
    <row r="918" spans="1:9" ht="15.75" customHeight="1" x14ac:dyDescent="0.3">
      <c r="A918" s="2">
        <v>5</v>
      </c>
      <c r="B918" s="2" t="s">
        <v>2521</v>
      </c>
      <c r="C918" s="2" t="s">
        <v>2522</v>
      </c>
      <c r="D918" s="2" t="s">
        <v>13</v>
      </c>
      <c r="E918" s="2" t="s">
        <v>14</v>
      </c>
      <c r="F918" s="2" t="s">
        <v>15</v>
      </c>
      <c r="G918" s="2" t="s">
        <v>70</v>
      </c>
      <c r="H918" s="2" t="s">
        <v>71</v>
      </c>
      <c r="I918" s="2" t="str">
        <f ca="1">IFERROR(__xludf.DUMMYFUNCTION("GOOGLETRANSLATE(C918,""fr"",""en"")"),"very satisfied with the price and the guarantees everything is fine
providing that the service is up to the point in the event of a problem
The guarantees seem to the point")</f>
        <v>very satisfied with the price and the guarantees everything is fine
providing that the service is up to the point in the event of a problem
The guarantees seem to the point</v>
      </c>
    </row>
    <row r="919" spans="1:9" ht="15.75" customHeight="1" x14ac:dyDescent="0.3">
      <c r="A919" s="2">
        <v>5</v>
      </c>
      <c r="B919" s="2" t="s">
        <v>2523</v>
      </c>
      <c r="C919" s="2" t="s">
        <v>2524</v>
      </c>
      <c r="D919" s="2" t="s">
        <v>28</v>
      </c>
      <c r="E919" s="2" t="s">
        <v>14</v>
      </c>
      <c r="F919" s="2" t="s">
        <v>15</v>
      </c>
      <c r="G919" s="2" t="s">
        <v>1716</v>
      </c>
      <c r="H919" s="2" t="s">
        <v>83</v>
      </c>
      <c r="I919" s="2" t="str">
        <f ca="1">IFERROR(__xludf.DUMMYFUNCTION("GOOGLETRANSLATE(C919,""fr"",""en"")"),"I am very satisfied with the price and the service I recommend this insurance they are at the top thank you good to you Mr. Caid Samir thank you very much")</f>
        <v>I am very satisfied with the price and the service I recommend this insurance they are at the top thank you good to you Mr. Caid Samir thank you very much</v>
      </c>
    </row>
    <row r="920" spans="1:9" ht="15.75" customHeight="1" x14ac:dyDescent="0.3">
      <c r="A920" s="2">
        <v>3</v>
      </c>
      <c r="B920" s="2" t="s">
        <v>2525</v>
      </c>
      <c r="C920" s="2" t="s">
        <v>2526</v>
      </c>
      <c r="D920" s="2" t="s">
        <v>13</v>
      </c>
      <c r="E920" s="2" t="s">
        <v>14</v>
      </c>
      <c r="F920" s="2" t="s">
        <v>15</v>
      </c>
      <c r="G920" s="2" t="s">
        <v>194</v>
      </c>
      <c r="H920" s="2" t="s">
        <v>83</v>
      </c>
      <c r="I920" s="2" t="str">
        <f ca="1">IFERROR(__xludf.DUMMYFUNCTION("GOOGLETRANSLATE(C920,""fr"",""en"")"),"Difficult to have an online advisor
The online approach is simple and quick
Competitive price but clear information
I do not know if by releasing contracts, we benefit from a reduction?")</f>
        <v>Difficult to have an online advisor
The online approach is simple and quick
Competitive price but clear information
I do not know if by releasing contracts, we benefit from a reduction?</v>
      </c>
    </row>
    <row r="921" spans="1:9" ht="15.75" customHeight="1" x14ac:dyDescent="0.3">
      <c r="A921" s="2">
        <v>4</v>
      </c>
      <c r="B921" s="2" t="s">
        <v>2527</v>
      </c>
      <c r="C921" s="2" t="s">
        <v>2528</v>
      </c>
      <c r="D921" s="2" t="s">
        <v>530</v>
      </c>
      <c r="E921" s="2" t="s">
        <v>39</v>
      </c>
      <c r="F921" s="2" t="s">
        <v>15</v>
      </c>
      <c r="G921" s="2" t="s">
        <v>503</v>
      </c>
      <c r="H921" s="2" t="s">
        <v>108</v>
      </c>
      <c r="I921" s="2" t="str">
        <f ca="1">IFERROR(__xludf.DUMMYFUNCTION("GOOGLETRANSLATE(C921,""fr"",""en"")"),"Excellent welcome, always listening whatever the request. Note the great professionalism of the staff always available. Relatively short telephone waiting time")</f>
        <v>Excellent welcome, always listening whatever the request. Note the great professionalism of the staff always available. Relatively short telephone waiting time</v>
      </c>
    </row>
    <row r="922" spans="1:9" ht="15.75" customHeight="1" x14ac:dyDescent="0.3">
      <c r="A922" s="2">
        <v>4</v>
      </c>
      <c r="B922" s="2" t="s">
        <v>2529</v>
      </c>
      <c r="C922" s="2" t="s">
        <v>2530</v>
      </c>
      <c r="D922" s="2" t="s">
        <v>28</v>
      </c>
      <c r="E922" s="2" t="s">
        <v>14</v>
      </c>
      <c r="F922" s="2" t="s">
        <v>15</v>
      </c>
      <c r="G922" s="2" t="s">
        <v>790</v>
      </c>
      <c r="H922" s="2" t="s">
        <v>71</v>
      </c>
      <c r="I922" s="2" t="str">
        <f ca="1">IFERROR(__xludf.DUMMYFUNCTION("GOOGLETRANSLATE(C922,""fr"",""en"")"),"Satisfied with the service, prices remain high for young people
But fast service all the same and despite that you remain the cheapest
Cordially")</f>
        <v>Satisfied with the service, prices remain high for young people
But fast service all the same and despite that you remain the cheapest
Cordially</v>
      </c>
    </row>
    <row r="923" spans="1:9" ht="15.75" customHeight="1" x14ac:dyDescent="0.3">
      <c r="A923" s="2">
        <v>3</v>
      </c>
      <c r="B923" s="2" t="s">
        <v>2531</v>
      </c>
      <c r="C923" s="2" t="s">
        <v>2532</v>
      </c>
      <c r="D923" s="2" t="s">
        <v>65</v>
      </c>
      <c r="E923" s="2" t="s">
        <v>14</v>
      </c>
      <c r="F923" s="2" t="s">
        <v>15</v>
      </c>
      <c r="G923" s="2" t="s">
        <v>70</v>
      </c>
      <c r="H923" s="2" t="s">
        <v>71</v>
      </c>
      <c r="I923" s="2" t="str">
        <f ca="1">IFERROR(__xludf.DUMMYFUNCTION("GOOGLETRANSLATE(C923,""fr"",""en"")"),"I had a sinister beginning of February.
I ask to be compensated directly to repair the vehicle myself.
The postponement of initial expertise is 2000 €, as I am special it indicates me on the basis of a second report of € 1537.
But in addition it remove"&amp;"s VAT so € 1537 - € 299 franchise - VAT it gives me € 962.
Look for the error it pays less because I am special but they retain VAT as a pro.
I just called them they must keep me informed? ...")</f>
        <v>I had a sinister beginning of February.
I ask to be compensated directly to repair the vehicle myself.
The postponement of initial expertise is 2000 €, as I am special it indicates me on the basis of a second report of € 1537.
But in addition it removes VAT so € 1537 - € 299 franchise - VAT it gives me € 962.
Look for the error it pays less because I am special but they retain VAT as a pro.
I just called them they must keep me informed? ...</v>
      </c>
    </row>
    <row r="924" spans="1:9" ht="15.75" customHeight="1" x14ac:dyDescent="0.3">
      <c r="A924" s="2">
        <v>5</v>
      </c>
      <c r="B924" s="2" t="s">
        <v>2533</v>
      </c>
      <c r="C924" s="2" t="s">
        <v>2534</v>
      </c>
      <c r="D924" s="2" t="s">
        <v>28</v>
      </c>
      <c r="E924" s="2" t="s">
        <v>14</v>
      </c>
      <c r="F924" s="2" t="s">
        <v>15</v>
      </c>
      <c r="G924" s="2" t="s">
        <v>760</v>
      </c>
      <c r="H924" s="2" t="s">
        <v>111</v>
      </c>
      <c r="I924" s="2" t="str">
        <f ca="1">IFERROR(__xludf.DUMMYFUNCTION("GOOGLETRANSLATE(C924,""fr"",""en"")"),"Very responsive and easy via the website, the Hot Line responds quickly, and following several calls, I always have to make very pleasant people on the phone")</f>
        <v>Very responsive and easy via the website, the Hot Line responds quickly, and following several calls, I always have to make very pleasant people on the phone</v>
      </c>
    </row>
    <row r="925" spans="1:9" ht="15.75" customHeight="1" x14ac:dyDescent="0.3">
      <c r="A925" s="2">
        <v>4</v>
      </c>
      <c r="B925" s="2" t="s">
        <v>2535</v>
      </c>
      <c r="C925" s="2" t="s">
        <v>2536</v>
      </c>
      <c r="D925" s="2" t="s">
        <v>13</v>
      </c>
      <c r="E925" s="2" t="s">
        <v>14</v>
      </c>
      <c r="F925" s="2" t="s">
        <v>15</v>
      </c>
      <c r="G925" s="2" t="s">
        <v>16</v>
      </c>
      <c r="H925" s="2" t="s">
        <v>17</v>
      </c>
      <c r="I925" s="2" t="str">
        <f ca="1">IFERROR(__xludf.DUMMYFUNCTION("GOOGLETRANSLATE(C925,""fr"",""en"")"),"I am very happy. And I will also add my second car. Thank you for the quality of service that I expect to be to the point and online with my expectations.")</f>
        <v>I am very happy. And I will also add my second car. Thank you for the quality of service that I expect to be to the point and online with my expectations.</v>
      </c>
    </row>
    <row r="926" spans="1:9" ht="15.75" customHeight="1" x14ac:dyDescent="0.3">
      <c r="A926" s="2">
        <v>1</v>
      </c>
      <c r="B926" s="2" t="s">
        <v>2537</v>
      </c>
      <c r="C926" s="2" t="s">
        <v>2538</v>
      </c>
      <c r="D926" s="2" t="s">
        <v>28</v>
      </c>
      <c r="E926" s="2" t="s">
        <v>14</v>
      </c>
      <c r="F926" s="2" t="s">
        <v>15</v>
      </c>
      <c r="G926" s="2" t="s">
        <v>470</v>
      </c>
      <c r="H926" s="2" t="s">
        <v>30</v>
      </c>
      <c r="I926" s="2" t="str">
        <f ca="1">IFERROR(__xludf.DUMMYFUNCTION("GOOGLETRANSLATE(C926,""fr"",""en"")"),"Insurance well until the day when you happen to you something for my fire file which took place in January and we are in June I still do not manage to terminate my contract so to be deducted every month because the expert did not written his report. Advis"&amp;"ors who tell you that I will be reimbursed while the manager says the opposite. Frankly assurance to flee.")</f>
        <v>Insurance well until the day when you happen to you something for my fire file which took place in January and we are in June I still do not manage to terminate my contract so to be deducted every month because the expert did not written his report. Advisors who tell you that I will be reimbursed while the manager says the opposite. Frankly assurance to flee.</v>
      </c>
    </row>
    <row r="927" spans="1:9" ht="15.75" customHeight="1" x14ac:dyDescent="0.3">
      <c r="A927" s="2">
        <v>1</v>
      </c>
      <c r="B927" s="2" t="s">
        <v>2539</v>
      </c>
      <c r="C927" s="2" t="s">
        <v>2540</v>
      </c>
      <c r="D927" s="2" t="s">
        <v>13</v>
      </c>
      <c r="E927" s="2" t="s">
        <v>14</v>
      </c>
      <c r="F927" s="2" t="s">
        <v>15</v>
      </c>
      <c r="G927" s="2" t="s">
        <v>1488</v>
      </c>
      <c r="H927" s="2" t="s">
        <v>25</v>
      </c>
      <c r="I927" s="2" t="str">
        <f ca="1">IFERROR(__xludf.DUMMYFUNCTION("GOOGLETRANSLATE(C927,""fr"",""en"")"),"I am counting an increase for a claim when I am the victim of a driver. I have absolutely not been compensated since 08/28. Not effective direct insurance ...")</f>
        <v>I am counting an increase for a claim when I am the victim of a driver. I have absolutely not been compensated since 08/28. Not effective direct insurance ...</v>
      </c>
    </row>
    <row r="928" spans="1:9" ht="15.75" customHeight="1" x14ac:dyDescent="0.3">
      <c r="A928" s="2">
        <v>2</v>
      </c>
      <c r="B928" s="2" t="s">
        <v>2541</v>
      </c>
      <c r="C928" s="2" t="s">
        <v>2542</v>
      </c>
      <c r="D928" s="2" t="s">
        <v>28</v>
      </c>
      <c r="E928" s="2" t="s">
        <v>14</v>
      </c>
      <c r="F928" s="2" t="s">
        <v>15</v>
      </c>
      <c r="G928" s="2" t="s">
        <v>2543</v>
      </c>
      <c r="H928" s="2" t="s">
        <v>275</v>
      </c>
      <c r="I928" s="2" t="str">
        <f ca="1">IFERROR(__xludf.DUMMYFUNCTION("GOOGLETRANSLATE(C928,""fr"",""en"")"),"It has been 6 months since I signed my insurance contract and still no definitive green card I see that the problem is that recruit in this company ...
Sending at least 7 emails and 5 calls and still nothing
In the meantime I have provided other vehicle"&amp;"s elsewhere and I received the definitive green cards.
Contract number:
1080145834")</f>
        <v>It has been 6 months since I signed my insurance contract and still no definitive green card I see that the problem is that recruit in this company ...
Sending at least 7 emails and 5 calls and still nothing
In the meantime I have provided other vehicles elsewhere and I received the definitive green cards.
Contract number:
1080145834</v>
      </c>
    </row>
    <row r="929" spans="1:9" ht="15.75" customHeight="1" x14ac:dyDescent="0.3">
      <c r="A929" s="2">
        <v>1</v>
      </c>
      <c r="B929" s="2" t="s">
        <v>2544</v>
      </c>
      <c r="C929" s="2" t="s">
        <v>2545</v>
      </c>
      <c r="D929" s="2" t="s">
        <v>284</v>
      </c>
      <c r="E929" s="2" t="s">
        <v>81</v>
      </c>
      <c r="F929" s="2" t="s">
        <v>15</v>
      </c>
      <c r="G929" s="2" t="s">
        <v>292</v>
      </c>
      <c r="H929" s="2" t="s">
        <v>25</v>
      </c>
      <c r="I929" s="2" t="str">
        <f ca="1">IFERROR(__xludf.DUMMYFUNCTION("GOOGLETRANSLATE(C929,""fr"",""en"")"),"Absolutely disgusted with the reception of my procedure for echery 2021, 18 % increase while with the COVID we made 2,800 km less with 2 guaranteed scooters I had made a letter in the spring asking for a drop in Prime corresponding to a forced non -use of"&amp;" our scooters, my wife working in catering and having no more work ... I received a very little courteous letter;
Obviously we do not care about the world in the mutual, increase their prices in such a period of 18 %
I am looking for another insurance"&amp;" right but in my opinion they all agreed")</f>
        <v>Absolutely disgusted with the reception of my procedure for echery 2021, 18 % increase while with the COVID we made 2,800 km less with 2 guaranteed scooters I had made a letter in the spring asking for a drop in Prime corresponding to a forced non -use of our scooters, my wife working in catering and having no more work ... I received a very little courteous letter;
Obviously we do not care about the world in the mutual, increase their prices in such a period of 18 %
I am looking for another insurance right but in my opinion they all agreed</v>
      </c>
    </row>
    <row r="930" spans="1:9" ht="15.75" customHeight="1" x14ac:dyDescent="0.3">
      <c r="A930" s="2">
        <v>4</v>
      </c>
      <c r="B930" s="2" t="s">
        <v>2546</v>
      </c>
      <c r="C930" s="2" t="s">
        <v>2547</v>
      </c>
      <c r="D930" s="2" t="s">
        <v>28</v>
      </c>
      <c r="E930" s="2" t="s">
        <v>14</v>
      </c>
      <c r="F930" s="2" t="s">
        <v>15</v>
      </c>
      <c r="G930" s="2" t="s">
        <v>1750</v>
      </c>
      <c r="H930" s="2" t="s">
        <v>21</v>
      </c>
      <c r="I930" s="2" t="str">
        <f ca="1">IFERROR(__xludf.DUMMYFUNCTION("GOOGLETRANSLATE(C930,""fr"",""en"")"),"Fast service, satisfactory coverage, simple and quick process. Customer opinion also reassured me a lot, this insurance looks serious")</f>
        <v>Fast service, satisfactory coverage, simple and quick process. Customer opinion also reassured me a lot, this insurance looks serious</v>
      </c>
    </row>
    <row r="931" spans="1:9" ht="15.75" customHeight="1" x14ac:dyDescent="0.3">
      <c r="A931" s="2">
        <v>1</v>
      </c>
      <c r="B931" s="2" t="s">
        <v>2548</v>
      </c>
      <c r="C931" s="2" t="s">
        <v>2549</v>
      </c>
      <c r="D931" s="2" t="s">
        <v>33</v>
      </c>
      <c r="E931" s="2" t="s">
        <v>129</v>
      </c>
      <c r="F931" s="2" t="s">
        <v>15</v>
      </c>
      <c r="G931" s="2" t="s">
        <v>1109</v>
      </c>
      <c r="H931" s="2" t="s">
        <v>30</v>
      </c>
      <c r="I931" s="2" t="str">
        <f ca="1">IFERROR(__xludf.DUMMYFUNCTION("GOOGLETRANSLATE(C931,""fr"",""en"")"),"To flee as well as the insurance of the we must compensate for a claim is a whole program we are all brought to us simply by boat. Involvement of the firefighter since 01/31/2021 and file still at the same point. The Expert gives are Agreement and as the "&amp;"quote is too much raising for them he mandates another expert. The man while waiting for the prosecution is all swollen the doors closes anymore. When the deadlines are it is to take it is good but when it has to go to the other Meaning is lamentable.")</f>
        <v>To flee as well as the insurance of the we must compensate for a claim is a whole program we are all brought to us simply by boat. Involvement of the firefighter since 01/31/2021 and file still at the same point. The Expert gives are Agreement and as the quote is too much raising for them he mandates another expert. The man while waiting for the prosecution is all swollen the doors closes anymore. When the deadlines are it is to take it is good but when it has to go to the other Meaning is lamentable.</v>
      </c>
    </row>
    <row r="932" spans="1:9" ht="15.75" customHeight="1" x14ac:dyDescent="0.3">
      <c r="A932" s="2">
        <v>4</v>
      </c>
      <c r="B932" s="2" t="s">
        <v>2550</v>
      </c>
      <c r="C932" s="2" t="s">
        <v>2551</v>
      </c>
      <c r="D932" s="2" t="s">
        <v>80</v>
      </c>
      <c r="E932" s="2" t="s">
        <v>81</v>
      </c>
      <c r="F932" s="2" t="s">
        <v>15</v>
      </c>
      <c r="G932" s="2" t="s">
        <v>1716</v>
      </c>
      <c r="H932" s="2" t="s">
        <v>83</v>
      </c>
      <c r="I932" s="2" t="str">
        <f ca="1">IFERROR(__xludf.DUMMYFUNCTION("GOOGLETRANSLATE(C932,""fr"",""en"")"),"I am satisfied with the services offered by April Moto
Their site is easy to access and use as well as the prices are correct and quick and easy quotes")</f>
        <v>I am satisfied with the services offered by April Moto
Their site is easy to access and use as well as the prices are correct and quick and easy quotes</v>
      </c>
    </row>
    <row r="933" spans="1:9" ht="15.75" customHeight="1" x14ac:dyDescent="0.3">
      <c r="A933" s="2">
        <v>2</v>
      </c>
      <c r="B933" s="2" t="s">
        <v>2552</v>
      </c>
      <c r="C933" s="2" t="s">
        <v>2553</v>
      </c>
      <c r="D933" s="2" t="s">
        <v>89</v>
      </c>
      <c r="E933" s="2" t="s">
        <v>39</v>
      </c>
      <c r="F933" s="2" t="s">
        <v>15</v>
      </c>
      <c r="G933" s="2" t="s">
        <v>164</v>
      </c>
      <c r="H933" s="2" t="s">
        <v>30</v>
      </c>
      <c r="I933" s="2" t="str">
        <f ca="1">IFERROR(__xludf.DUMMYFUNCTION("GOOGLETRANSLATE(C933,""fr"",""en"")"),"I absolutely recommend this insurance company.
You have to follow and check all the reimbursements and it has been a month since I claim the complement of dental care without success, or even a sign of life from my many emails and letters, I am not talki"&amp;"ng about telephone, long and tedious calls , which of course remain unanswered.")</f>
        <v>I absolutely recommend this insurance company.
You have to follow and check all the reimbursements and it has been a month since I claim the complement of dental care without success, or even a sign of life from my many emails and letters, I am not talking about telephone, long and tedious calls , which of course remain unanswered.</v>
      </c>
    </row>
    <row r="934" spans="1:9" ht="15.75" customHeight="1" x14ac:dyDescent="0.3">
      <c r="A934" s="2">
        <v>1</v>
      </c>
      <c r="B934" s="2" t="s">
        <v>2554</v>
      </c>
      <c r="C934" s="2" t="s">
        <v>2555</v>
      </c>
      <c r="D934" s="2" t="s">
        <v>13</v>
      </c>
      <c r="E934" s="2" t="s">
        <v>14</v>
      </c>
      <c r="F934" s="2" t="s">
        <v>15</v>
      </c>
      <c r="G934" s="2" t="s">
        <v>2556</v>
      </c>
      <c r="H934" s="2" t="s">
        <v>374</v>
      </c>
      <c r="I934" s="2" t="str">
        <f ca="1">IFERROR(__xludf.DUMMYFUNCTION("GOOGLETRANSLATE(C934,""fr"",""en"")")," 3 years that I am at Direct Insurance and it will be the last. I had to put a star because it is not possible to put zero.
I contacted Direct Insurance in order to go to monthly payment and stop paying my insurance at once. They set up almost 200 euros "&amp;"my insurance for that, ok no problem I accept. But surprise they still debited me more than 1400 euros in one time without warning me which puts me in a monumental panade at my bank. So, they set up my insurance of 200 euros for a monthly payment they do "&amp;"not do and when I call for them to reimburse me the difference on the monthly payment they tell me within 48 hours we reimburse you. A week after still nothing .. I recall this day and they tell me that you have to wait until they have no time to provide "&amp;"me that you just have to be patient ...
I can tell you that this year will be my last year with them. A SHAME")</f>
        <v xml:space="preserve"> 3 years that I am at Direct Insurance and it will be the last. I had to put a star because it is not possible to put zero.
I contacted Direct Insurance in order to go to monthly payment and stop paying my insurance at once. They set up almost 200 euros my insurance for that, ok no problem I accept. But surprise they still debited me more than 1400 euros in one time without warning me which puts me in a monumental panade at my bank. So, they set up my insurance of 200 euros for a monthly payment they do not do and when I call for them to reimburse me the difference on the monthly payment they tell me within 48 hours we reimburse you. A week after still nothing .. I recall this day and they tell me that you have to wait until they have no time to provide me that you just have to be patient ...
I can tell you that this year will be my last year with them. A SHAME</v>
      </c>
    </row>
    <row r="935" spans="1:9" ht="15.75" customHeight="1" x14ac:dyDescent="0.3">
      <c r="A935" s="2">
        <v>1</v>
      </c>
      <c r="B935" s="2" t="s">
        <v>2557</v>
      </c>
      <c r="C935" s="2" t="s">
        <v>2558</v>
      </c>
      <c r="D935" s="2" t="s">
        <v>28</v>
      </c>
      <c r="E935" s="2" t="s">
        <v>14</v>
      </c>
      <c r="F935" s="2" t="s">
        <v>15</v>
      </c>
      <c r="G935" s="2" t="s">
        <v>2507</v>
      </c>
      <c r="H935" s="2" t="s">
        <v>448</v>
      </c>
      <c r="I935" s="2" t="str">
        <f ca="1">IFERROR(__xludf.DUMMYFUNCTION("GOOGLETRANSLATE(C935,""fr"",""en"")"),"This practical insurance harassment, you receive SMS, email reminders, registered letter for a payment not made while your contract is terminated in good and due form for 1 month. He tries to take directly from your account the sums of which you do not ev"&amp;"en know what it corresponds to !!! He charges you rejection costs when you are no longer a customer with them and claims in the software bug !!!
Mistrust distrust if you are solving a contract with them you are not at the end of your surprises !!!")</f>
        <v>This practical insurance harassment, you receive SMS, email reminders, registered letter for a payment not made while your contract is terminated in good and due form for 1 month. He tries to take directly from your account the sums of which you do not even know what it corresponds to !!! He charges you rejection costs when you are no longer a customer with them and claims in the software bug !!!
Mistrust distrust if you are solving a contract with them you are not at the end of your surprises !!!</v>
      </c>
    </row>
    <row r="936" spans="1:9" ht="15.75" customHeight="1" x14ac:dyDescent="0.3">
      <c r="A936" s="2">
        <v>2</v>
      </c>
      <c r="B936" s="2" t="s">
        <v>2559</v>
      </c>
      <c r="C936" s="2" t="s">
        <v>2560</v>
      </c>
      <c r="D936" s="2" t="s">
        <v>13</v>
      </c>
      <c r="E936" s="2" t="s">
        <v>14</v>
      </c>
      <c r="F936" s="2" t="s">
        <v>15</v>
      </c>
      <c r="G936" s="2" t="s">
        <v>1533</v>
      </c>
      <c r="H936" s="2" t="s">
        <v>248</v>
      </c>
      <c r="I936" s="2" t="str">
        <f ca="1">IFERROR(__xludf.DUMMYFUNCTION("GOOGLETRANSLATE(C936,""fr"",""en"")"),"
The advertisement made by Direct Insurance for the towing of the vehicle in the event of a breakdown is very attractive except that we must not forget to subscribe to the warranty extension for a beginner failure at O ​​KMS from your home and for the ca"&amp;"r loan. It is still necessary to know if when subscribing, this is not specified. In addition, there is a package of 153 euros for towing. In the event of a vehicle breakdown, which may be sufficient if the breakdown occurs in town but largely insufficien"&amp;"t if it happens on a highway, especially since troubleshooting on Auroroute is regulated. And of course, the meeting of this package is indicated in the special conditions at the end of the general conditions that no one reads, especially when we sign an "&amp;"online contract, and the person who makes the contract signed well for mention.
It is scary if a disaster occurs for the home.
")</f>
        <v xml:space="preserve">
The advertisement made by Direct Insurance for the towing of the vehicle in the event of a breakdown is very attractive except that we must not forget to subscribe to the warranty extension for a beginner failure at O ​​KMS from your home and for the car loan. It is still necessary to know if when subscribing, this is not specified. In addition, there is a package of 153 euros for towing. In the event of a vehicle breakdown, which may be sufficient if the breakdown occurs in town but largely insufficient if it happens on a highway, especially since troubleshooting on Auroroute is regulated. And of course, the meeting of this package is indicated in the special conditions at the end of the general conditions that no one reads, especially when we sign an online contract, and the person who makes the contract signed well for mention.
It is scary if a disaster occurs for the home.
</v>
      </c>
    </row>
    <row r="937" spans="1:9" ht="15.75" customHeight="1" x14ac:dyDescent="0.3">
      <c r="A937" s="2">
        <v>2</v>
      </c>
      <c r="B937" s="2" t="s">
        <v>2561</v>
      </c>
      <c r="C937" s="2" t="s">
        <v>2562</v>
      </c>
      <c r="D937" s="2" t="s">
        <v>65</v>
      </c>
      <c r="E937" s="2" t="s">
        <v>137</v>
      </c>
      <c r="F937" s="2" t="s">
        <v>15</v>
      </c>
      <c r="G937" s="2" t="s">
        <v>2282</v>
      </c>
      <c r="H937" s="2" t="s">
        <v>139</v>
      </c>
      <c r="I937" s="2" t="str">
        <f ca="1">IFERROR(__xludf.DUMMYFUNCTION("GOOGLETRANSLATE(C937,""fr"",""en"")"),"To flee!! They fear neither their clients nor justice! Above all, do not subscribe in the event of a disaster they voys ignore !!! When you set up your illness they make you even more sick !!! Run away!")</f>
        <v>To flee!! They fear neither their clients nor justice! Above all, do not subscribe in the event of a disaster they voys ignore !!! When you set up your illness they make you even more sick !!! Run away!</v>
      </c>
    </row>
    <row r="938" spans="1:9" ht="15.75" customHeight="1" x14ac:dyDescent="0.3">
      <c r="A938" s="2">
        <v>4</v>
      </c>
      <c r="B938" s="2" t="s">
        <v>2563</v>
      </c>
      <c r="C938" s="2" t="s">
        <v>2564</v>
      </c>
      <c r="D938" s="2" t="s">
        <v>28</v>
      </c>
      <c r="E938" s="2" t="s">
        <v>14</v>
      </c>
      <c r="F938" s="2" t="s">
        <v>15</v>
      </c>
      <c r="G938" s="2" t="s">
        <v>793</v>
      </c>
      <c r="H938" s="2" t="s">
        <v>111</v>
      </c>
      <c r="I938" s="2" t="str">
        <f ca="1">IFERROR(__xludf.DUMMYFUNCTION("GOOGLETRANSLATE(C938,""fr"",""en"")"),"Very satisfied. Fluid and clear communication, attractive price. The person I had online was very listening and very professional. Super service")</f>
        <v>Very satisfied. Fluid and clear communication, attractive price. The person I had online was very listening and very professional. Super service</v>
      </c>
    </row>
    <row r="939" spans="1:9" ht="15.75" customHeight="1" x14ac:dyDescent="0.3">
      <c r="A939" s="2">
        <v>1</v>
      </c>
      <c r="B939" s="2" t="s">
        <v>2565</v>
      </c>
      <c r="C939" s="2" t="s">
        <v>2566</v>
      </c>
      <c r="D939" s="2" t="s">
        <v>254</v>
      </c>
      <c r="E939" s="2" t="s">
        <v>129</v>
      </c>
      <c r="F939" s="2" t="s">
        <v>15</v>
      </c>
      <c r="G939" s="2" t="s">
        <v>2567</v>
      </c>
      <c r="H939" s="2" t="s">
        <v>74</v>
      </c>
      <c r="I939" s="2" t="str">
        <f ca="1">IFERROR(__xludf.DUMMYFUNCTION("GOOGLETRANSLATE(C939,""fr"",""en"")"),"It is often said that insurance only seems expensive before the accident. With MAIF, it is the opposite: insurance is only expensive when you have a disaster and that you find that the level of compensation is ridiculously low, after ""customer service"" "&amp;"(at all levels ) and other home ""experts"" have intervened.
A militant insurer especially for its image in market and advertising, MAIF would do better to move towards its members, who like me have remained hung on the image of a prestigious distant pas"&amp;"t which unfortunately continues to deteriorate without that seems to affect managers and staff")</f>
        <v>It is often said that insurance only seems expensive before the accident. With MAIF, it is the opposite: insurance is only expensive when you have a disaster and that you find that the level of compensation is ridiculously low, after "customer service" (at all levels ) and other home "experts" have intervened.
A militant insurer especially for its image in market and advertising, MAIF would do better to move towards its members, who like me have remained hung on the image of a prestigious distant past which unfortunately continues to deteriorate without that seems to affect managers and staff</v>
      </c>
    </row>
    <row r="940" spans="1:9" ht="15.75" customHeight="1" x14ac:dyDescent="0.3">
      <c r="A940" s="2">
        <v>2</v>
      </c>
      <c r="B940" s="2" t="s">
        <v>2568</v>
      </c>
      <c r="C940" s="2" t="s">
        <v>2569</v>
      </c>
      <c r="D940" s="2" t="s">
        <v>303</v>
      </c>
      <c r="E940" s="2" t="s">
        <v>129</v>
      </c>
      <c r="F940" s="2" t="s">
        <v>15</v>
      </c>
      <c r="G940" s="2" t="s">
        <v>536</v>
      </c>
      <c r="H940" s="2" t="s">
        <v>248</v>
      </c>
      <c r="I940" s="2" t="str">
        <f ca="1">IFERROR(__xludf.DUMMYFUNCTION("GOOGLETRANSLATE(C940,""fr"",""en"")"),"Do not take the coverage damage to the external pipes, having the level 2 contract, I had the bite pit he wanted to send me an expert the next day but the result no expert my name is not serious")</f>
        <v>Do not take the coverage damage to the external pipes, having the level 2 contract, I had the bite pit he wanted to send me an expert the next day but the result no expert my name is not serious</v>
      </c>
    </row>
    <row r="941" spans="1:9" ht="15.75" customHeight="1" x14ac:dyDescent="0.3">
      <c r="A941" s="2">
        <v>5</v>
      </c>
      <c r="B941" s="2" t="s">
        <v>2570</v>
      </c>
      <c r="C941" s="2" t="s">
        <v>2571</v>
      </c>
      <c r="D941" s="2" t="s">
        <v>13</v>
      </c>
      <c r="E941" s="2" t="s">
        <v>14</v>
      </c>
      <c r="F941" s="2" t="s">
        <v>15</v>
      </c>
      <c r="G941" s="2" t="s">
        <v>198</v>
      </c>
      <c r="H941" s="2" t="s">
        <v>83</v>
      </c>
      <c r="I941" s="2" t="str">
        <f ca="1">IFERROR(__xludf.DUMMYFUNCTION("GOOGLETRANSLATE(C941,""fr"",""en"")"),"I am satisfied with the services. Thank you very much for the speed of action. The customer area is very practical for all of its contracts in one place and have a single contact. thank you")</f>
        <v>I am satisfied with the services. Thank you very much for the speed of action. The customer area is very practical for all of its contracts in one place and have a single contact. thank you</v>
      </c>
    </row>
    <row r="942" spans="1:9" ht="15.75" customHeight="1" x14ac:dyDescent="0.3">
      <c r="A942" s="2">
        <v>5</v>
      </c>
      <c r="B942" s="2" t="s">
        <v>2572</v>
      </c>
      <c r="C942" s="2" t="s">
        <v>2573</v>
      </c>
      <c r="D942" s="2" t="s">
        <v>197</v>
      </c>
      <c r="E942" s="2" t="s">
        <v>81</v>
      </c>
      <c r="F942" s="2" t="s">
        <v>15</v>
      </c>
      <c r="G942" s="2" t="s">
        <v>191</v>
      </c>
      <c r="H942" s="2" t="s">
        <v>111</v>
      </c>
      <c r="I942" s="2" t="str">
        <f ca="1">IFERROR(__xludf.DUMMYFUNCTION("GOOGLETRANSLATE(C942,""fr"",""en"")"),"I am in the process of changing everything my vehicles to put them at your home how happy I am how it is all the time it is better paid for your insurer than asking him anything your prices are really interesting good road")</f>
        <v>I am in the process of changing everything my vehicles to put them at your home how happy I am how it is all the time it is better paid for your insurer than asking him anything your prices are really interesting good road</v>
      </c>
    </row>
    <row r="943" spans="1:9" ht="15.75" customHeight="1" x14ac:dyDescent="0.3">
      <c r="A943" s="2">
        <v>1</v>
      </c>
      <c r="B943" s="2" t="s">
        <v>2574</v>
      </c>
      <c r="C943" s="2" t="s">
        <v>2575</v>
      </c>
      <c r="D943" s="2" t="s">
        <v>38</v>
      </c>
      <c r="E943" s="2" t="s">
        <v>39</v>
      </c>
      <c r="F943" s="2" t="s">
        <v>15</v>
      </c>
      <c r="G943" s="2" t="s">
        <v>2127</v>
      </c>
      <c r="H943" s="2" t="s">
        <v>21</v>
      </c>
      <c r="I943" s="2" t="str">
        <f ca="1">IFERROR(__xludf.DUMMYFUNCTION("GOOGLETRANSLATE(C943,""fr"",""en"")"),"I made myself trapped by a advisor by phone she made me join NEOLIANE but I am at all happy with their services ... Since May 7, 2021 I have been waiting for reimbursement accounts impossible to open the personal space. Impossible to send them by email th"&amp;"e counsels of my sick person
Since May Neoliane has not yet set up the flow with Ameli and my box.
By cons what works well is the monthly sample !!!
I'm waiting for a year and I leave them without regret!
Mutual to avoid ...
")</f>
        <v xml:space="preserve">I made myself trapped by a advisor by phone she made me join NEOLIANE but I am at all happy with their services ... Since May 7, 2021 I have been waiting for reimbursement accounts impossible to open the personal space. Impossible to send them by email the counsels of my sick person
Since May Neoliane has not yet set up the flow with Ameli and my box.
By cons what works well is the monthly sample !!!
I'm waiting for a year and I leave them without regret!
Mutual to avoid ...
</v>
      </c>
    </row>
    <row r="944" spans="1:9" ht="15.75" customHeight="1" x14ac:dyDescent="0.3">
      <c r="A944" s="2">
        <v>4</v>
      </c>
      <c r="B944" s="2" t="s">
        <v>2576</v>
      </c>
      <c r="C944" s="2" t="s">
        <v>2577</v>
      </c>
      <c r="D944" s="2" t="s">
        <v>13</v>
      </c>
      <c r="E944" s="2" t="s">
        <v>14</v>
      </c>
      <c r="F944" s="2" t="s">
        <v>15</v>
      </c>
      <c r="G944" s="2" t="s">
        <v>2578</v>
      </c>
      <c r="H944" s="2" t="s">
        <v>17</v>
      </c>
      <c r="I944" s="2" t="str">
        <f ca="1">IFERROR(__xludf.DUMMYFUNCTION("GOOGLETRANSLATE(C944,""fr"",""en"")"),"Very good price the cheapest of all quotes to see over time if there will be no worries in the event of a breakdown or other I hope that all will go well and I would surely assure my other vehicle")</f>
        <v>Very good price the cheapest of all quotes to see over time if there will be no worries in the event of a breakdown or other I hope that all will go well and I would surely assure my other vehicle</v>
      </c>
    </row>
    <row r="945" spans="1:9" ht="15.75" customHeight="1" x14ac:dyDescent="0.3">
      <c r="A945" s="2">
        <v>1</v>
      </c>
      <c r="B945" s="2" t="s">
        <v>2579</v>
      </c>
      <c r="C945" s="2" t="s">
        <v>2580</v>
      </c>
      <c r="D945" s="2" t="s">
        <v>128</v>
      </c>
      <c r="E945" s="2" t="s">
        <v>14</v>
      </c>
      <c r="F945" s="2" t="s">
        <v>15</v>
      </c>
      <c r="G945" s="2" t="s">
        <v>673</v>
      </c>
      <c r="H945" s="2" t="s">
        <v>111</v>
      </c>
      <c r="I945" s="2" t="str">
        <f ca="1">IFERROR(__xludf.DUMMYFUNCTION("GOOGLETRANSLATE(C945,""fr"",""en"")"),"A breakdown in 4 years. Abroad, customer service completely zero no response no solution. After more than 3 hours of waiting without a solution and more than 20 calls we had to manage for ourselves breakdown and taxi at our expense. Useless complete servi"&amp;"ce we will file a complaint !! Attention
I strongly advise against")</f>
        <v>A breakdown in 4 years. Abroad, customer service completely zero no response no solution. After more than 3 hours of waiting without a solution and more than 20 calls we had to manage for ourselves breakdown and taxi at our expense. Useless complete service we will file a complaint !! Attention
I strongly advise against</v>
      </c>
    </row>
    <row r="946" spans="1:9" ht="15.75" customHeight="1" x14ac:dyDescent="0.3">
      <c r="A946" s="2">
        <v>5</v>
      </c>
      <c r="B946" s="2" t="s">
        <v>2581</v>
      </c>
      <c r="C946" s="2" t="s">
        <v>2582</v>
      </c>
      <c r="D946" s="2" t="s">
        <v>13</v>
      </c>
      <c r="E946" s="2" t="s">
        <v>14</v>
      </c>
      <c r="F946" s="2" t="s">
        <v>15</v>
      </c>
      <c r="G946" s="2" t="s">
        <v>539</v>
      </c>
      <c r="H946" s="2" t="s">
        <v>25</v>
      </c>
      <c r="I946" s="2" t="str">
        <f ca="1">IFERROR(__xludf.DUMMYFUNCTION("GOOGLETRANSLATE(C946,""fr"",""en"")"),"I am delighted with your service the price very good I hope that staying with you having time
")</f>
        <v xml:space="preserve">I am delighted with your service the price very good I hope that staying with you having time
</v>
      </c>
    </row>
    <row r="947" spans="1:9" ht="15.75" customHeight="1" x14ac:dyDescent="0.3">
      <c r="A947" s="2">
        <v>5</v>
      </c>
      <c r="B947" s="2" t="s">
        <v>2583</v>
      </c>
      <c r="C947" s="2" t="s">
        <v>2584</v>
      </c>
      <c r="D947" s="2" t="s">
        <v>28</v>
      </c>
      <c r="E947" s="2" t="s">
        <v>14</v>
      </c>
      <c r="F947" s="2" t="s">
        <v>15</v>
      </c>
      <c r="G947" s="2" t="s">
        <v>459</v>
      </c>
      <c r="H947" s="2" t="s">
        <v>25</v>
      </c>
      <c r="I947" s="2" t="str">
        <f ca="1">IFERROR(__xludf.DUMMYFUNCTION("GOOGLETRANSLATE(C947,""fr"",""en"")"),"Hello, it's quite simple, I compared several insurers and I did not find cheaper with such a level of guarantees, I strongly recommend the Olivier Insurance, one of the rare insurer whose TV pub is not Landy!")</f>
        <v>Hello, it's quite simple, I compared several insurers and I did not find cheaper with such a level of guarantees, I strongly recommend the Olivier Insurance, one of the rare insurer whose TV pub is not Landy!</v>
      </c>
    </row>
    <row r="948" spans="1:9" ht="15.75" customHeight="1" x14ac:dyDescent="0.3">
      <c r="A948" s="2">
        <v>5</v>
      </c>
      <c r="B948" s="2" t="s">
        <v>2585</v>
      </c>
      <c r="C948" s="2" t="s">
        <v>2586</v>
      </c>
      <c r="D948" s="2" t="s">
        <v>13</v>
      </c>
      <c r="E948" s="2" t="s">
        <v>14</v>
      </c>
      <c r="F948" s="2" t="s">
        <v>15</v>
      </c>
      <c r="G948" s="2" t="s">
        <v>2587</v>
      </c>
      <c r="H948" s="2" t="s">
        <v>125</v>
      </c>
      <c r="I948" s="2" t="str">
        <f ca="1">IFERROR(__xludf.DUMMYFUNCTION("GOOGLETRANSLATE(C948,""fr"",""en"")"),"Highly recommend. Simple and quick registration, listening and competent advisers and best value for money. So what are you waiting for to go to Direct Assurance!")</f>
        <v>Highly recommend. Simple and quick registration, listening and competent advisers and best value for money. So what are you waiting for to go to Direct Assurance!</v>
      </c>
    </row>
    <row r="949" spans="1:9" ht="15.75" customHeight="1" x14ac:dyDescent="0.3">
      <c r="A949" s="2">
        <v>1</v>
      </c>
      <c r="B949" s="2" t="s">
        <v>2588</v>
      </c>
      <c r="C949" s="2" t="s">
        <v>2589</v>
      </c>
      <c r="D949" s="2" t="s">
        <v>1008</v>
      </c>
      <c r="E949" s="2" t="s">
        <v>101</v>
      </c>
      <c r="F949" s="2" t="s">
        <v>15</v>
      </c>
      <c r="G949" s="2" t="s">
        <v>71</v>
      </c>
      <c r="H949" s="2" t="s">
        <v>71</v>
      </c>
      <c r="I949" s="2" t="str">
        <f ca="1">IFERROR(__xludf.DUMMYFUNCTION("GOOGLETRANSLATE(C949,""fr"",""en"")"),"I cannot reach a competent person to terminate my sample when I didn't ask for anything.
The advisor hung up on me.
A shame")</f>
        <v>I cannot reach a competent person to terminate my sample when I didn't ask for anything.
The advisor hung up on me.
A shame</v>
      </c>
    </row>
    <row r="950" spans="1:9" ht="15.75" customHeight="1" x14ac:dyDescent="0.3">
      <c r="A950" s="2">
        <v>2</v>
      </c>
      <c r="B950" s="2" t="s">
        <v>2590</v>
      </c>
      <c r="C950" s="2" t="s">
        <v>2591</v>
      </c>
      <c r="D950" s="2" t="s">
        <v>120</v>
      </c>
      <c r="E950" s="2" t="s">
        <v>61</v>
      </c>
      <c r="F950" s="2" t="s">
        <v>15</v>
      </c>
      <c r="G950" s="2" t="s">
        <v>289</v>
      </c>
      <c r="H950" s="2" t="s">
        <v>30</v>
      </c>
      <c r="I950" s="2" t="str">
        <f ca="1">IFERROR(__xludf.DUMMYFUNCTION("GOOGLETRANSLATE(C950,""fr"",""en"")"),"Hello,
We have with my wife two multi -support contracts at AFER Open in 1995. Until these recent years we had been satisfied and had opened for accounts for our children and grandchildren. With the current difficulties in obtaining good management of ou"&amp;"r memberships as in the past, we regret our sponsorships. We have a dedicated advisor which also seems to undergo current dysfunctions.
Indeed we had advances on two accounts and counts making payments to reimburse them. We were imposed to do them by che"&amp;"ck and reimburse the entire, but the precise advance rule that can be partially reimbursed by check, transfer or payment. I asked the question in writing by having the right procedure and still blocking by the advisor. This has been going on for 1 month ("&amp;"the funds are paid) and the server, contrary to what is said does not respond and refers to an advisor .... it is lamentable. It is not enough to parade before the political authorities to be effective. I would like to seize the mediator but I am looking "&amp;"for his contact details on the site. I am helpless and furious ....")</f>
        <v>Hello,
We have with my wife two multi -support contracts at AFER Open in 1995. Until these recent years we had been satisfied and had opened for accounts for our children and grandchildren. With the current difficulties in obtaining good management of our memberships as in the past, we regret our sponsorships. We have a dedicated advisor which also seems to undergo current dysfunctions.
Indeed we had advances on two accounts and counts making payments to reimburse them. We were imposed to do them by check and reimburse the entire, but the precise advance rule that can be partially reimbursed by check, transfer or payment. I asked the question in writing by having the right procedure and still blocking by the advisor. This has been going on for 1 month (the funds are paid) and the server, contrary to what is said does not respond and refers to an advisor .... it is lamentable. It is not enough to parade before the political authorities to be effective. I would like to seize the mediator but I am looking for his contact details on the site. I am helpless and furious ....</v>
      </c>
    </row>
    <row r="951" spans="1:9" ht="15.75" customHeight="1" x14ac:dyDescent="0.3">
      <c r="A951" s="2">
        <v>2</v>
      </c>
      <c r="B951" s="2" t="s">
        <v>2592</v>
      </c>
      <c r="C951" s="2" t="s">
        <v>2593</v>
      </c>
      <c r="D951" s="2" t="s">
        <v>128</v>
      </c>
      <c r="E951" s="2" t="s">
        <v>14</v>
      </c>
      <c r="F951" s="2" t="s">
        <v>15</v>
      </c>
      <c r="G951" s="2" t="s">
        <v>2594</v>
      </c>
      <c r="H951" s="2" t="s">
        <v>286</v>
      </c>
      <c r="I951" s="2" t="str">
        <f ca="1">IFERROR(__xludf.DUMMYFUNCTION("GOOGLETRANSLATE(C951,""fr"",""en"")"),"I would like to have a reassessment of my car insurance.
I just changed my car; I looked for other insurances; 2 of them, they offered me more attractive prices for the guaranteed m^m (
 So I would like it to be revised downwards like that I will remain"&amp;" in Pacifica for my car and home contract.")</f>
        <v>I would like to have a reassessment of my car insurance.
I just changed my car; I looked for other insurances; 2 of them, they offered me more attractive prices for the guaranteed m^m (
 So I would like it to be revised downwards like that I will remain in Pacifica for my car and home contract.</v>
      </c>
    </row>
    <row r="952" spans="1:9" ht="15.75" customHeight="1" x14ac:dyDescent="0.3">
      <c r="A952" s="2">
        <v>2</v>
      </c>
      <c r="B952" s="2" t="s">
        <v>2595</v>
      </c>
      <c r="C952" s="2" t="s">
        <v>2596</v>
      </c>
      <c r="D952" s="2" t="s">
        <v>303</v>
      </c>
      <c r="E952" s="2" t="s">
        <v>14</v>
      </c>
      <c r="F952" s="2" t="s">
        <v>15</v>
      </c>
      <c r="G952" s="2" t="s">
        <v>1919</v>
      </c>
      <c r="H952" s="2" t="s">
        <v>52</v>
      </c>
      <c r="I952" s="2" t="str">
        <f ca="1">IFERROR(__xludf.DUMMYFUNCTION("GOOGLETRANSLATE(C952,""fr"",""en"")"),"Auto insurance is quite expensive.
The few times I contacted the Macif the waiting period to obtain an answer was very long and they are not inclined to grant the slightest commercial gesture despite the fact that I have never had an accident in 5 years "&amp;"and which I have subscribed to several contracts at home.
That's a shame.")</f>
        <v>Auto insurance is quite expensive.
The few times I contacted the Macif the waiting period to obtain an answer was very long and they are not inclined to grant the slightest commercial gesture despite the fact that I have never had an accident in 5 years and which I have subscribed to several contracts at home.
That's a shame.</v>
      </c>
    </row>
    <row r="953" spans="1:9" ht="15.75" customHeight="1" x14ac:dyDescent="0.3">
      <c r="A953" s="2">
        <v>5</v>
      </c>
      <c r="B953" s="2" t="s">
        <v>2597</v>
      </c>
      <c r="C953" s="2" t="s">
        <v>2598</v>
      </c>
      <c r="D953" s="2" t="s">
        <v>13</v>
      </c>
      <c r="E953" s="2" t="s">
        <v>14</v>
      </c>
      <c r="F953" s="2" t="s">
        <v>15</v>
      </c>
      <c r="G953" s="2" t="s">
        <v>676</v>
      </c>
      <c r="H953" s="2" t="s">
        <v>111</v>
      </c>
      <c r="I953" s="2" t="str">
        <f ca="1">IFERROR(__xludf.DUMMYFUNCTION("GOOGLETRANSLATE(C953,""fr"",""en"")"),"I am very satisfied with the price of speed
The prices are very attractive and competitive
The file was created in less than 5 minutes I recommend direct insurance to everyone
")</f>
        <v xml:space="preserve">I am very satisfied with the price of speed
The prices are very attractive and competitive
The file was created in less than 5 minutes I recommend direct insurance to everyone
</v>
      </c>
    </row>
    <row r="954" spans="1:9" ht="15.75" customHeight="1" x14ac:dyDescent="0.3">
      <c r="A954" s="2">
        <v>1</v>
      </c>
      <c r="B954" s="2" t="s">
        <v>2599</v>
      </c>
      <c r="C954" s="2" t="s">
        <v>2600</v>
      </c>
      <c r="D954" s="2" t="s">
        <v>219</v>
      </c>
      <c r="E954" s="2" t="s">
        <v>137</v>
      </c>
      <c r="F954" s="2" t="s">
        <v>15</v>
      </c>
      <c r="G954" s="2" t="s">
        <v>2601</v>
      </c>
      <c r="H954" s="2" t="s">
        <v>1332</v>
      </c>
      <c r="I954" s="2" t="str">
        <f ca="1">IFERROR(__xludf.DUMMYFUNCTION("GOOGLETRANSLATE(C954,""fr"",""en"")"),"Holder of a Plan Savings Retirement contract, I have made a total buy -back for 2 months past, the documents were sent and received. No responses from them to the various emails and I am still waiting for their payment, so my money !!!")</f>
        <v>Holder of a Plan Savings Retirement contract, I have made a total buy -back for 2 months past, the documents were sent and received. No responses from them to the various emails and I am still waiting for their payment, so my money !!!</v>
      </c>
    </row>
    <row r="955" spans="1:9" ht="15.75" customHeight="1" x14ac:dyDescent="0.3">
      <c r="A955" s="2">
        <v>5</v>
      </c>
      <c r="B955" s="2" t="s">
        <v>2602</v>
      </c>
      <c r="C955" s="2" t="s">
        <v>2603</v>
      </c>
      <c r="D955" s="2" t="s">
        <v>28</v>
      </c>
      <c r="E955" s="2" t="s">
        <v>14</v>
      </c>
      <c r="F955" s="2" t="s">
        <v>15</v>
      </c>
      <c r="G955" s="2" t="s">
        <v>1165</v>
      </c>
      <c r="H955" s="2" t="s">
        <v>21</v>
      </c>
      <c r="I955" s="2" t="str">
        <f ca="1">IFERROR(__xludf.DUMMYFUNCTION("GOOGLETRANSLATE(C955,""fr"",""en"")"),"Very satisfied with the rate and information given when requesting the quote by your employee. Solutions found by the company within the limit of my financial budget")</f>
        <v>Very satisfied with the rate and information given when requesting the quote by your employee. Solutions found by the company within the limit of my financial budget</v>
      </c>
    </row>
    <row r="956" spans="1:9" ht="15.75" customHeight="1" x14ac:dyDescent="0.3">
      <c r="A956" s="2">
        <v>1</v>
      </c>
      <c r="B956" s="2" t="s">
        <v>2604</v>
      </c>
      <c r="C956" s="2" t="s">
        <v>2605</v>
      </c>
      <c r="D956" s="2" t="s">
        <v>1008</v>
      </c>
      <c r="E956" s="2" t="s">
        <v>101</v>
      </c>
      <c r="F956" s="2" t="s">
        <v>15</v>
      </c>
      <c r="G956" s="2" t="s">
        <v>2606</v>
      </c>
      <c r="H956" s="2" t="s">
        <v>474</v>
      </c>
      <c r="I956" s="2" t="str">
        <f ca="1">IFERROR(__xludf.DUMMYFUNCTION("GOOGLETRANSLATE(C956,""fr"",""en"")"),"Wait for the reimbursement of annual contributions since July 2016 following death of my husband in 2016. Sulmed in 2017, I made a formal notice but nothing in return as well by email, mail ... it's the cafpi me proposed but really very disappointed with "&amp;"their incompetence. I don't know what to do anymore and the CAFPI does not move either. If you have an idea. A big thank-you")</f>
        <v>Wait for the reimbursement of annual contributions since July 2016 following death of my husband in 2016. Sulmed in 2017, I made a formal notice but nothing in return as well by email, mail ... it's the cafpi me proposed but really very disappointed with their incompetence. I don't know what to do anymore and the CAFPI does not move either. If you have an idea. A big thank-you</v>
      </c>
    </row>
    <row r="957" spans="1:9" ht="15.75" customHeight="1" x14ac:dyDescent="0.3">
      <c r="A957" s="2">
        <v>4</v>
      </c>
      <c r="B957" s="2" t="s">
        <v>2607</v>
      </c>
      <c r="C957" s="2" t="s">
        <v>2608</v>
      </c>
      <c r="D957" s="2" t="s">
        <v>13</v>
      </c>
      <c r="E957" s="2" t="s">
        <v>14</v>
      </c>
      <c r="F957" s="2" t="s">
        <v>15</v>
      </c>
      <c r="G957" s="2" t="s">
        <v>198</v>
      </c>
      <c r="H957" s="2" t="s">
        <v>83</v>
      </c>
      <c r="I957" s="2" t="str">
        <f ca="1">IFERROR(__xludf.DUMMYFUNCTION("GOOGLETRANSLATE(C957,""fr"",""en"")"),"Attractive prices with good blankets overall. Each time a relationship between existing contracts is not always very clear. to improve")</f>
        <v>Attractive prices with good blankets overall. Each time a relationship between existing contracts is not always very clear. to improve</v>
      </c>
    </row>
    <row r="958" spans="1:9" ht="15.75" customHeight="1" x14ac:dyDescent="0.3">
      <c r="A958" s="2">
        <v>1</v>
      </c>
      <c r="B958" s="2" t="s">
        <v>2609</v>
      </c>
      <c r="C958" s="2" t="s">
        <v>2610</v>
      </c>
      <c r="D958" s="2" t="s">
        <v>799</v>
      </c>
      <c r="E958" s="2" t="s">
        <v>129</v>
      </c>
      <c r="F958" s="2" t="s">
        <v>15</v>
      </c>
      <c r="G958" s="2" t="s">
        <v>2611</v>
      </c>
      <c r="H958" s="2" t="s">
        <v>256</v>
      </c>
      <c r="I958" s="2" t="str">
        <f ca="1">IFERROR(__xludf.DUMMYFUNCTION("GOOGLETRANSLATE(C958,""fr"",""en"")"),"We have been customers of Groupama for 14 years, having all our insurance at home. We are extremely disappointed with their responsiveness compared to the damage caused in a rental (roof leak).
In addition we have found an increase of 25 % without justif"&amp;"ication ...
We are very dissatisfied, no communication, a quote sent on October 03 and still waiting for them ...
")</f>
        <v xml:space="preserve">We have been customers of Groupama for 14 years, having all our insurance at home. We are extremely disappointed with their responsiveness compared to the damage caused in a rental (roof leak).
In addition we have found an increase of 25 % without justification ...
We are very dissatisfied, no communication, a quote sent on October 03 and still waiting for them ...
</v>
      </c>
    </row>
    <row r="959" spans="1:9" ht="15.75" customHeight="1" x14ac:dyDescent="0.3">
      <c r="A959" s="2">
        <v>1</v>
      </c>
      <c r="B959" s="2" t="s">
        <v>2612</v>
      </c>
      <c r="C959" s="2" t="s">
        <v>2613</v>
      </c>
      <c r="D959" s="2" t="s">
        <v>254</v>
      </c>
      <c r="E959" s="2" t="s">
        <v>129</v>
      </c>
      <c r="F959" s="2" t="s">
        <v>15</v>
      </c>
      <c r="G959" s="2" t="s">
        <v>2614</v>
      </c>
      <c r="H959" s="2" t="s">
        <v>1213</v>
      </c>
      <c r="I959" s="2" t="str">
        <f ca="1">IFERROR(__xludf.DUMMYFUNCTION("GOOGLETRANSLATE(C959,""fr"",""en"")"),"Following the addition of a private parking box on my home insurance contract, I called the MAIF in order to inform them of the change. This change is generally materialized only by a simple endorsement not modifying or almost not the insurance premium. W"&amp;"hat a pleasant surprise to discover that the minimum (primordial) formula that I had previously subscribed does not allow a simple parking box. Impossible to obtain any constructive information on the phone, if not in summary ""it's like that"". I did not"&amp;" find the information excluding box insurance under the general conditions of the contract and the advisor was not able to clearly state me the text going in this direction. So here I am forced to take out the insurance of a higher level, making my annual"&amp;" insurance premium of more than 90 euros for a 12m2 box.")</f>
        <v>Following the addition of a private parking box on my home insurance contract, I called the MAIF in order to inform them of the change. This change is generally materialized only by a simple endorsement not modifying or almost not the insurance premium. What a pleasant surprise to discover that the minimum (primordial) formula that I had previously subscribed does not allow a simple parking box. Impossible to obtain any constructive information on the phone, if not in summary "it's like that". I did not find the information excluding box insurance under the general conditions of the contract and the advisor was not able to clearly state me the text going in this direction. So here I am forced to take out the insurance of a higher level, making my annual insurance premium of more than 90 euros for a 12m2 box.</v>
      </c>
    </row>
    <row r="960" spans="1:9" ht="15.75" customHeight="1" x14ac:dyDescent="0.3">
      <c r="A960" s="2">
        <v>4</v>
      </c>
      <c r="B960" s="2" t="s">
        <v>2615</v>
      </c>
      <c r="C960" s="2" t="s">
        <v>2616</v>
      </c>
      <c r="D960" s="2" t="s">
        <v>28</v>
      </c>
      <c r="E960" s="2" t="s">
        <v>14</v>
      </c>
      <c r="F960" s="2" t="s">
        <v>15</v>
      </c>
      <c r="G960" s="2" t="s">
        <v>1371</v>
      </c>
      <c r="H960" s="2" t="s">
        <v>21</v>
      </c>
      <c r="I960" s="2" t="str">
        <f ca="1">IFERROR(__xludf.DUMMYFUNCTION("GOOGLETRANSLATE(C960,""fr"",""en"")"),"I am satisfied with the service, the staff are attentive to the person, when I called to find out about my little problem for my new contract, they were listening")</f>
        <v>I am satisfied with the service, the staff are attentive to the person, when I called to find out about my little problem for my new contract, they were listening</v>
      </c>
    </row>
    <row r="961" spans="1:9" ht="15.75" customHeight="1" x14ac:dyDescent="0.3">
      <c r="A961" s="2">
        <v>1</v>
      </c>
      <c r="B961" s="2" t="s">
        <v>2617</v>
      </c>
      <c r="C961" s="2" t="s">
        <v>2618</v>
      </c>
      <c r="D961" s="2" t="s">
        <v>465</v>
      </c>
      <c r="E961" s="2" t="s">
        <v>39</v>
      </c>
      <c r="F961" s="2" t="s">
        <v>15</v>
      </c>
      <c r="G961" s="2" t="s">
        <v>2619</v>
      </c>
      <c r="H961" s="2" t="s">
        <v>448</v>
      </c>
      <c r="I961" s="2" t="str">
        <f ca="1">IFERROR(__xludf.DUMMYFUNCTION("GOOGLETRANSLATE(C961,""fr"",""en"")"),"I had problems with the MGEN ISTYA collective mutual: no clear or even none response and ultimately if they say true, which I dispute, a very low reimbursement for dental costs
I do not recommend")</f>
        <v>I had problems with the MGEN ISTYA collective mutual: no clear or even none response and ultimately if they say true, which I dispute, a very low reimbursement for dental costs
I do not recommend</v>
      </c>
    </row>
    <row r="962" spans="1:9" ht="15.75" customHeight="1" x14ac:dyDescent="0.3">
      <c r="A962" s="2">
        <v>2</v>
      </c>
      <c r="B962" s="2" t="s">
        <v>2620</v>
      </c>
      <c r="C962" s="2" t="s">
        <v>2621</v>
      </c>
      <c r="D962" s="2" t="s">
        <v>190</v>
      </c>
      <c r="E962" s="2" t="s">
        <v>129</v>
      </c>
      <c r="F962" s="2" t="s">
        <v>15</v>
      </c>
      <c r="G962" s="2" t="s">
        <v>70</v>
      </c>
      <c r="H962" s="2" t="s">
        <v>71</v>
      </c>
      <c r="I962" s="2" t="str">
        <f ca="1">IFERROR(__xludf.DUMMYFUNCTION("GOOGLETRANSLATE(C962,""fr"",""en"")"),"A real horror, I was turned over a bike over a year ago now and despite my fight to bring together every month a new proof of my good faith, I am the only one to try to get out of this kneader, so so that the opposing insured who denies in block (in his i"&amp;"nterest), his assurance which protects it (obviously it is their role) the GMF is content to transmit the documents without even bothering to read them. I therefore have no weight against them despite the observation, testimony, expert report etc.
Today "&amp;"I receive an email to inform myself that the file is closed and that I must sit on the € 1,300 of reparation caused by this accident. A file however so easy to deal with in view of evidence and documents in my possession.
I was waiting for the end of the"&amp;" claim to terminate all of my contracts exclusively in GMF since always, it's done now ...
To flee urgently, who has no one opposite, online insurance do so much for cheaper")</f>
        <v>A real horror, I was turned over a bike over a year ago now and despite my fight to bring together every month a new proof of my good faith, I am the only one to try to get out of this kneader, so so that the opposing insured who denies in block (in his interest), his assurance which protects it (obviously it is their role) the GMF is content to transmit the documents without even bothering to read them. I therefore have no weight against them despite the observation, testimony, expert report etc.
Today I receive an email to inform myself that the file is closed and that I must sit on the € 1,300 of reparation caused by this accident. A file however so easy to deal with in view of evidence and documents in my possession.
I was waiting for the end of the claim to terminate all of my contracts exclusively in GMF since always, it's done now ...
To flee urgently, who has no one opposite, online insurance do so much for cheaper</v>
      </c>
    </row>
    <row r="963" spans="1:9" ht="15.75" customHeight="1" x14ac:dyDescent="0.3">
      <c r="A963" s="2">
        <v>5</v>
      </c>
      <c r="B963" s="2" t="s">
        <v>2622</v>
      </c>
      <c r="C963" s="2" t="s">
        <v>2623</v>
      </c>
      <c r="D963" s="2" t="s">
        <v>13</v>
      </c>
      <c r="E963" s="2" t="s">
        <v>14</v>
      </c>
      <c r="F963" s="2" t="s">
        <v>15</v>
      </c>
      <c r="G963" s="2" t="s">
        <v>434</v>
      </c>
      <c r="H963" s="2" t="s">
        <v>111</v>
      </c>
      <c r="I963" s="2" t="str">
        <f ca="1">IFERROR(__xludf.DUMMYFUNCTION("GOOGLETRANSLATE(C963,""fr"",""en"")"),"Top service, great price, good application, I recommend direct insurance for many reasons, especially the price and quality of service. Jonathan")</f>
        <v>Top service, great price, good application, I recommend direct insurance for many reasons, especially the price and quality of service. Jonathan</v>
      </c>
    </row>
    <row r="964" spans="1:9" ht="15.75" customHeight="1" x14ac:dyDescent="0.3">
      <c r="A964" s="2">
        <v>1</v>
      </c>
      <c r="B964" s="2" t="s">
        <v>2624</v>
      </c>
      <c r="C964" s="2" t="s">
        <v>2625</v>
      </c>
      <c r="D964" s="2" t="s">
        <v>28</v>
      </c>
      <c r="E964" s="2" t="s">
        <v>14</v>
      </c>
      <c r="F964" s="2" t="s">
        <v>15</v>
      </c>
      <c r="G964" s="2" t="s">
        <v>1661</v>
      </c>
      <c r="H964" s="2" t="s">
        <v>108</v>
      </c>
      <c r="I964" s="2" t="str">
        <f ca="1">IFERROR(__xludf.DUMMYFUNCTION("GOOGLETRANSLATE(C964,""fr"",""en"")"),"Ensure for many years with them, with several contracts, everything is almost normal and for 1 year, they have become very hard and find the slightest excuse so as not to reimburse a break of ice. I did not make my change of gray card so we do not reimbur"&amp;"se you, go see the competitors it is much better and I already had the same thing elsewhere and I was reimbursed. Do not be fooled we note it is based on before it changes")</f>
        <v>Ensure for many years with them, with several contracts, everything is almost normal and for 1 year, they have become very hard and find the slightest excuse so as not to reimburse a break of ice. I did not make my change of gray card so we do not reimburse you, go see the competitors it is much better and I already had the same thing elsewhere and I was reimbursed. Do not be fooled we note it is based on before it changes</v>
      </c>
    </row>
    <row r="965" spans="1:9" ht="15.75" customHeight="1" x14ac:dyDescent="0.3">
      <c r="A965" s="2">
        <v>2</v>
      </c>
      <c r="B965" s="2" t="s">
        <v>2626</v>
      </c>
      <c r="C965" s="2" t="s">
        <v>2627</v>
      </c>
      <c r="D965" s="2" t="s">
        <v>13</v>
      </c>
      <c r="E965" s="2" t="s">
        <v>14</v>
      </c>
      <c r="F965" s="2" t="s">
        <v>15</v>
      </c>
      <c r="G965" s="2" t="s">
        <v>97</v>
      </c>
      <c r="H965" s="2" t="s">
        <v>25</v>
      </c>
      <c r="I965" s="2" t="str">
        <f ca="1">IFERROR(__xludf.DUMMYFUNCTION("GOOGLETRANSLATE(C965,""fr"",""en"")"),"Much disappointment following several declared claims, one of which is still not settled. Never the same interlocutors on the phone, you need to repeat the same story")</f>
        <v>Much disappointment following several declared claims, one of which is still not settled. Never the same interlocutors on the phone, you need to repeat the same story</v>
      </c>
    </row>
    <row r="966" spans="1:9" ht="15.75" customHeight="1" x14ac:dyDescent="0.3">
      <c r="A966" s="2">
        <v>1</v>
      </c>
      <c r="B966" s="2" t="s">
        <v>2628</v>
      </c>
      <c r="C966" s="2" t="s">
        <v>2629</v>
      </c>
      <c r="D966" s="2" t="s">
        <v>465</v>
      </c>
      <c r="E966" s="2" t="s">
        <v>39</v>
      </c>
      <c r="F966" s="2" t="s">
        <v>15</v>
      </c>
      <c r="G966" s="2" t="s">
        <v>2630</v>
      </c>
      <c r="H966" s="2" t="s">
        <v>467</v>
      </c>
      <c r="I966" s="2" t="str">
        <f ca="1">IFERROR(__xludf.DUMMYFUNCTION("GOOGLETRANSLATE(C966,""fr"",""en"")"),"Terrible ... I strongly advise against! Not taking into account my many requests concerning the directing of contributions !!! Non -competent customer service! 1 year to react to my first request !!! Perhaps you will have to speed up the pace there!")</f>
        <v>Terrible ... I strongly advise against! Not taking into account my many requests concerning the directing of contributions !!! Non -competent customer service! 1 year to react to my first request !!! Perhaps you will have to speed up the pace there!</v>
      </c>
    </row>
    <row r="967" spans="1:9" ht="15.75" customHeight="1" x14ac:dyDescent="0.3">
      <c r="A967" s="2">
        <v>3</v>
      </c>
      <c r="B967" s="2" t="s">
        <v>2631</v>
      </c>
      <c r="C967" s="2" t="s">
        <v>2632</v>
      </c>
      <c r="D967" s="2" t="s">
        <v>28</v>
      </c>
      <c r="E967" s="2" t="s">
        <v>14</v>
      </c>
      <c r="F967" s="2" t="s">
        <v>15</v>
      </c>
      <c r="G967" s="2" t="s">
        <v>765</v>
      </c>
      <c r="H967" s="2" t="s">
        <v>361</v>
      </c>
      <c r="I967" s="2" t="str">
        <f ca="1">IFERROR(__xludf.DUMMYFUNCTION("GOOGLETRANSLATE(C967,""fr"",""en"")"),"Inexpensive insurance very easy to take I advise a very atra tif price, I have to record me with the comparator on the internet I make them hang confinement and I do not regret")</f>
        <v>Inexpensive insurance very easy to take I advise a very atra tif price, I have to record me with the comparator on the internet I make them hang confinement and I do not regret</v>
      </c>
    </row>
    <row r="968" spans="1:9" ht="15.75" customHeight="1" x14ac:dyDescent="0.3">
      <c r="A968" s="2">
        <v>3</v>
      </c>
      <c r="B968" s="2" t="s">
        <v>2633</v>
      </c>
      <c r="C968" s="2" t="s">
        <v>2634</v>
      </c>
      <c r="D968" s="2" t="s">
        <v>530</v>
      </c>
      <c r="E968" s="2" t="s">
        <v>39</v>
      </c>
      <c r="F968" s="2" t="s">
        <v>15</v>
      </c>
      <c r="G968" s="2" t="s">
        <v>2635</v>
      </c>
      <c r="H968" s="2" t="s">
        <v>57</v>
      </c>
      <c r="I968" s="2" t="str">
        <f ca="1">IFERROR(__xludf.DUMMYFUNCTION("GOOGLETRANSLATE(C968,""fr"",""en"")"),"I am fully satisfied but the contributions a little high
My contract has been modified recently so not yet reimbursement but I think that it will be as in the very good")</f>
        <v>I am fully satisfied but the contributions a little high
My contract has been modified recently so not yet reimbursement but I think that it will be as in the very good</v>
      </c>
    </row>
    <row r="969" spans="1:9" ht="15.75" customHeight="1" x14ac:dyDescent="0.3">
      <c r="A969" s="2">
        <v>4</v>
      </c>
      <c r="B969" s="2" t="s">
        <v>2636</v>
      </c>
      <c r="C969" s="2" t="s">
        <v>2637</v>
      </c>
      <c r="D969" s="2" t="s">
        <v>254</v>
      </c>
      <c r="E969" s="2" t="s">
        <v>14</v>
      </c>
      <c r="F969" s="2" t="s">
        <v>15</v>
      </c>
      <c r="G969" s="2" t="s">
        <v>1849</v>
      </c>
      <c r="H969" s="2" t="s">
        <v>46</v>
      </c>
      <c r="I969" s="2" t="str">
        <f ca="1">IFERROR(__xludf.DUMMYFUNCTION("GOOGLETRANSLATE(C969,""fr"",""en"")"),"Hello
Insured at MAIF for over 20 years I am extremely satisfied with the services of this partner in whom I trust. Immediate and quality assistance, rapid and complete reimbursements, MAIF is a high quality insurer who offers, on the basis of the same c"&amp;"ontract or file, a multitude of products adapted to the various situations which require being insured (Housing, Personal and pro car ....).
To recommend.")</f>
        <v>Hello
Insured at MAIF for over 20 years I am extremely satisfied with the services of this partner in whom I trust. Immediate and quality assistance, rapid and complete reimbursements, MAIF is a high quality insurer who offers, on the basis of the same contract or file, a multitude of products adapted to the various situations which require being insured (Housing, Personal and pro car ....).
To recommend.</v>
      </c>
    </row>
    <row r="970" spans="1:9" ht="15.75" customHeight="1" x14ac:dyDescent="0.3">
      <c r="A970" s="2">
        <v>4</v>
      </c>
      <c r="B970" s="2" t="s">
        <v>2638</v>
      </c>
      <c r="C970" s="2" t="s">
        <v>2639</v>
      </c>
      <c r="D970" s="2" t="s">
        <v>13</v>
      </c>
      <c r="E970" s="2" t="s">
        <v>14</v>
      </c>
      <c r="F970" s="2" t="s">
        <v>15</v>
      </c>
      <c r="G970" s="2" t="s">
        <v>793</v>
      </c>
      <c r="H970" s="2" t="s">
        <v>111</v>
      </c>
      <c r="I970" s="2" t="str">
        <f ca="1">IFERROR(__xludf.DUMMYFUNCTION("GOOGLETRANSLATE(C970,""fr"",""en"")"),"Rather satisfied, although the advisor I have had twice did not call me back for information
The most according to opinions is that we have an advisor in the event of a problem
")</f>
        <v xml:space="preserve">Rather satisfied, although the advisor I have had twice did not call me back for information
The most according to opinions is that we have an advisor in the event of a problem
</v>
      </c>
    </row>
    <row r="971" spans="1:9" ht="15.75" customHeight="1" x14ac:dyDescent="0.3">
      <c r="A971" s="2">
        <v>1</v>
      </c>
      <c r="B971" s="2" t="s">
        <v>2640</v>
      </c>
      <c r="C971" s="2" t="s">
        <v>2641</v>
      </c>
      <c r="D971" s="2" t="s">
        <v>530</v>
      </c>
      <c r="E971" s="2" t="s">
        <v>39</v>
      </c>
      <c r="F971" s="2" t="s">
        <v>15</v>
      </c>
      <c r="G971" s="2" t="s">
        <v>456</v>
      </c>
      <c r="H971" s="2" t="s">
        <v>111</v>
      </c>
      <c r="I971" s="2" t="str">
        <f ca="1">IFERROR(__xludf.DUMMYFUNCTION("GOOGLETRANSLATE(C971,""fr"",""en"")"),"Physmis, dental and ophthalmal health coverage are catastrophic. I intend to change my mutual insurance for the year to have a better refund")</f>
        <v>Physmis, dental and ophthalmal health coverage are catastrophic. I intend to change my mutual insurance for the year to have a better refund</v>
      </c>
    </row>
    <row r="972" spans="1:9" ht="15.75" customHeight="1" x14ac:dyDescent="0.3">
      <c r="A972" s="2">
        <v>4</v>
      </c>
      <c r="B972" s="2" t="s">
        <v>2642</v>
      </c>
      <c r="C972" s="2" t="s">
        <v>2643</v>
      </c>
      <c r="D972" s="2" t="s">
        <v>322</v>
      </c>
      <c r="E972" s="2" t="s">
        <v>14</v>
      </c>
      <c r="F972" s="2" t="s">
        <v>15</v>
      </c>
      <c r="G972" s="2" t="s">
        <v>2644</v>
      </c>
      <c r="H972" s="2" t="s">
        <v>745</v>
      </c>
      <c r="I972" s="2" t="str">
        <f ca="1">IFERROR(__xludf.DUMMYFUNCTION("GOOGLETRANSLATE(C972,""fr"",""en"")"),"A laborious contract start, due to lack of communication, but thereafter the contacted people put themselves in four to satisfy me with competence, a good point for the future")</f>
        <v>A laborious contract start, due to lack of communication, but thereafter the contacted people put themselves in four to satisfy me with competence, a good point for the future</v>
      </c>
    </row>
    <row r="973" spans="1:9" ht="15.75" customHeight="1" x14ac:dyDescent="0.3">
      <c r="A973" s="2">
        <v>1</v>
      </c>
      <c r="B973" s="2" t="s">
        <v>2645</v>
      </c>
      <c r="C973" s="2" t="s">
        <v>2646</v>
      </c>
      <c r="D973" s="2" t="s">
        <v>190</v>
      </c>
      <c r="E973" s="2" t="s">
        <v>14</v>
      </c>
      <c r="F973" s="2" t="s">
        <v>15</v>
      </c>
      <c r="G973" s="2" t="s">
        <v>1117</v>
      </c>
      <c r="H973" s="2" t="s">
        <v>30</v>
      </c>
      <c r="I973" s="2" t="str">
        <f ca="1">IFERROR(__xludf.DUMMYFUNCTION("GOOGLETRANSLATE(C973,""fr"",""en"")"),"Everything is complicated at the G.M.F, alas! Or even how to ensure civil servants by getting privileges on their backs!
I deplore to have had setbacks with a regional official in Pays de la Loire who cheerfully took advantage of also ensuring local elec"&amp;"ted officials to ensure, in addition, his revenues, his right passes: without comment but a parliamentary commission must, a day, investigate the G.M.F ...
")</f>
        <v xml:space="preserve">Everything is complicated at the G.M.F, alas! Or even how to ensure civil servants by getting privileges on their backs!
I deplore to have had setbacks with a regional official in Pays de la Loire who cheerfully took advantage of also ensuring local elected officials to ensure, in addition, his revenues, his right passes: without comment but a parliamentary commission must, a day, investigate the G.M.F ...
</v>
      </c>
    </row>
    <row r="974" spans="1:9" ht="15.75" customHeight="1" x14ac:dyDescent="0.3">
      <c r="A974" s="2">
        <v>3</v>
      </c>
      <c r="B974" s="2" t="s">
        <v>2647</v>
      </c>
      <c r="C974" s="2" t="s">
        <v>2648</v>
      </c>
      <c r="D974" s="2" t="s">
        <v>13</v>
      </c>
      <c r="E974" s="2" t="s">
        <v>14</v>
      </c>
      <c r="F974" s="2" t="s">
        <v>15</v>
      </c>
      <c r="G974" s="2" t="s">
        <v>191</v>
      </c>
      <c r="H974" s="2" t="s">
        <v>111</v>
      </c>
      <c r="I974" s="2" t="str">
        <f ca="1">IFERROR(__xludf.DUMMYFUNCTION("GOOGLETRANSLATE(C974,""fr"",""en"")"),"I am satisfied with the service but the prices could be a little more attractive for a 1st contract. I would also have liked to be able to ensure my home with an auto-accommodation pack.")</f>
        <v>I am satisfied with the service but the prices could be a little more attractive for a 1st contract. I would also have liked to be able to ensure my home with an auto-accommodation pack.</v>
      </c>
    </row>
    <row r="975" spans="1:9" ht="15.75" customHeight="1" x14ac:dyDescent="0.3">
      <c r="A975" s="2">
        <v>4</v>
      </c>
      <c r="B975" s="2" t="s">
        <v>2649</v>
      </c>
      <c r="C975" s="2" t="s">
        <v>2650</v>
      </c>
      <c r="D975" s="2" t="s">
        <v>28</v>
      </c>
      <c r="E975" s="2" t="s">
        <v>14</v>
      </c>
      <c r="F975" s="2" t="s">
        <v>15</v>
      </c>
      <c r="G975" s="2" t="s">
        <v>1415</v>
      </c>
      <c r="H975" s="2" t="s">
        <v>46</v>
      </c>
      <c r="I975" s="2" t="str">
        <f ca="1">IFERROR(__xludf.DUMMYFUNCTION("GOOGLETRANSLATE(C975,""fr"",""en"")"),"Satisfied with the Simple Simple Effective Fast CONTAGEC with a lot of details to be sure of what has done. Hate of remotely to someone your insurance")</f>
        <v>Satisfied with the Simple Simple Effective Fast CONTAGEC with a lot of details to be sure of what has done. Hate of remotely to someone your insurance</v>
      </c>
    </row>
    <row r="976" spans="1:9" ht="15.75" customHeight="1" x14ac:dyDescent="0.3">
      <c r="A976" s="2">
        <v>3</v>
      </c>
      <c r="B976" s="2" t="s">
        <v>2651</v>
      </c>
      <c r="C976" s="2" t="s">
        <v>2652</v>
      </c>
      <c r="D976" s="2" t="s">
        <v>465</v>
      </c>
      <c r="E976" s="2" t="s">
        <v>39</v>
      </c>
      <c r="F976" s="2" t="s">
        <v>15</v>
      </c>
      <c r="G976" s="2" t="s">
        <v>633</v>
      </c>
      <c r="H976" s="2" t="s">
        <v>634</v>
      </c>
      <c r="I976" s="2" t="str">
        <f ca="1">IFERROR(__xludf.DUMMYFUNCTION("GOOGLETRANSLATE(C976,""fr"",""en"")"),"Following surgery on a broken finger with exceeding fees. Local section contacted by phone for the care that responds yes. Then send documents and not supported. New telephone contact and answer: No we do not take care of, impossible that we are answered."&amp;"
Thank you MGEN. Be confident...")</f>
        <v>Following surgery on a broken finger with exceeding fees. Local section contacted by phone for the care that responds yes. Then send documents and not supported. New telephone contact and answer: No we do not take care of, impossible that we are answered.
Thank you MGEN. Be confident...</v>
      </c>
    </row>
    <row r="977" spans="1:9" ht="15.75" customHeight="1" x14ac:dyDescent="0.3">
      <c r="A977" s="2">
        <v>5</v>
      </c>
      <c r="B977" s="2" t="s">
        <v>2653</v>
      </c>
      <c r="C977" s="2" t="s">
        <v>2654</v>
      </c>
      <c r="D977" s="2" t="s">
        <v>38</v>
      </c>
      <c r="E977" s="2" t="s">
        <v>39</v>
      </c>
      <c r="F977" s="2" t="s">
        <v>15</v>
      </c>
      <c r="G977" s="2" t="s">
        <v>2655</v>
      </c>
      <c r="H977" s="2" t="s">
        <v>94</v>
      </c>
      <c r="I977" s="2" t="str">
        <f ca="1">IFERROR(__xludf.DUMMYFUNCTION("GOOGLETRANSLATE(C977,""fr"",""en"")"),"Thanks to Daouda for solving my problem. He was attentive and very kind. A top advisor. I immediately received by email the elements I needed.")</f>
        <v>Thanks to Daouda for solving my problem. He was attentive and very kind. A top advisor. I immediately received by email the elements I needed.</v>
      </c>
    </row>
    <row r="978" spans="1:9" ht="15.75" customHeight="1" x14ac:dyDescent="0.3">
      <c r="A978" s="2">
        <v>4</v>
      </c>
      <c r="B978" s="2" t="s">
        <v>2656</v>
      </c>
      <c r="C978" s="2" t="s">
        <v>2657</v>
      </c>
      <c r="D978" s="2" t="s">
        <v>13</v>
      </c>
      <c r="E978" s="2" t="s">
        <v>14</v>
      </c>
      <c r="F978" s="2" t="s">
        <v>15</v>
      </c>
      <c r="G978" s="2" t="s">
        <v>2658</v>
      </c>
      <c r="H978" s="2" t="s">
        <v>286</v>
      </c>
      <c r="I978" s="2" t="str">
        <f ca="1">IFERROR(__xludf.DUMMYFUNCTION("GOOGLETRANSLATE(C978,""fr"",""en"")"),"On the Direct Insurance site to make a quote for my easy -to -use and well done car. The price of insurance is very interesting compared to the market")</f>
        <v>On the Direct Insurance site to make a quote for my easy -to -use and well done car. The price of insurance is very interesting compared to the market</v>
      </c>
    </row>
    <row r="979" spans="1:9" ht="15.75" customHeight="1" x14ac:dyDescent="0.3">
      <c r="A979" s="2">
        <v>3</v>
      </c>
      <c r="B979" s="2" t="s">
        <v>2659</v>
      </c>
      <c r="C979" s="2" t="s">
        <v>2660</v>
      </c>
      <c r="D979" s="2" t="s">
        <v>80</v>
      </c>
      <c r="E979" s="2" t="s">
        <v>81</v>
      </c>
      <c r="F979" s="2" t="s">
        <v>15</v>
      </c>
      <c r="G979" s="2" t="s">
        <v>582</v>
      </c>
      <c r="H979" s="2" t="s">
        <v>17</v>
      </c>
      <c r="I979" s="2" t="str">
        <f ca="1">IFERROR(__xludf.DUMMYFUNCTION("GOOGLETRANSLATE(C979,""fr"",""en"")"),"I am satisfied with the service to explain
Simple effective and especially at affordable prices which is not given to everyone on line insurance")</f>
        <v>I am satisfied with the service to explain
Simple effective and especially at affordable prices which is not given to everyone on line insurance</v>
      </c>
    </row>
    <row r="980" spans="1:9" ht="15.75" customHeight="1" x14ac:dyDescent="0.3">
      <c r="A980" s="2">
        <v>2</v>
      </c>
      <c r="B980" s="2" t="s">
        <v>2661</v>
      </c>
      <c r="C980" s="2" t="s">
        <v>2662</v>
      </c>
      <c r="D980" s="2" t="s">
        <v>145</v>
      </c>
      <c r="E980" s="2" t="s">
        <v>14</v>
      </c>
      <c r="F980" s="2" t="s">
        <v>15</v>
      </c>
      <c r="G980" s="2" t="s">
        <v>1149</v>
      </c>
      <c r="H980" s="2" t="s">
        <v>414</v>
      </c>
      <c r="I980" s="2" t="str">
        <f ca="1">IFERROR(__xludf.DUMMYFUNCTION("GOOGLETRANSLATE(C980,""fr"",""en"")"),"Even if you are assured all riques, the #MAAF uses its expert to contest the observation which allows it not to reimburse you. I have an observation specifying that my car has undergone a shock of a washing statiion. Although the conditions are admitted b"&amp;"y the station, the expert denies the incident without convincing explanation. Conclusion: The MAAF does not reimburse me.
")</f>
        <v xml:space="preserve">Even if you are assured all riques, the #MAAF uses its expert to contest the observation which allows it not to reimburse you. I have an observation specifying that my car has undergone a shock of a washing statiion. Although the conditions are admitted by the station, the expert denies the incident without convincing explanation. Conclusion: The MAAF does not reimburse me.
</v>
      </c>
    </row>
    <row r="981" spans="1:9" ht="15.75" customHeight="1" x14ac:dyDescent="0.3">
      <c r="A981" s="2">
        <v>2</v>
      </c>
      <c r="B981" s="2" t="s">
        <v>2663</v>
      </c>
      <c r="C981" s="2" t="s">
        <v>2664</v>
      </c>
      <c r="D981" s="2" t="s">
        <v>55</v>
      </c>
      <c r="E981" s="2" t="s">
        <v>39</v>
      </c>
      <c r="F981" s="2" t="s">
        <v>15</v>
      </c>
      <c r="G981" s="2" t="s">
        <v>1025</v>
      </c>
      <c r="H981" s="2" t="s">
        <v>57</v>
      </c>
      <c r="I981" s="2" t="str">
        <f ca="1">IFERROR(__xludf.DUMMYFUNCTION("GOOGLETRANSLATE(C981,""fr"",""en"")"),"To avoid
Impossible to obtain a refund despite a complete folder and check by the TV operator who cannot communicate with the payment service.
Not serious.")</f>
        <v>To avoid
Impossible to obtain a refund despite a complete folder and check by the TV operator who cannot communicate with the payment service.
Not serious.</v>
      </c>
    </row>
    <row r="982" spans="1:9" ht="15.75" customHeight="1" x14ac:dyDescent="0.3">
      <c r="A982" s="2">
        <v>1</v>
      </c>
      <c r="B982" s="2" t="s">
        <v>2665</v>
      </c>
      <c r="C982" s="2" t="s">
        <v>2666</v>
      </c>
      <c r="D982" s="2" t="s">
        <v>412</v>
      </c>
      <c r="E982" s="2" t="s">
        <v>137</v>
      </c>
      <c r="F982" s="2" t="s">
        <v>15</v>
      </c>
      <c r="G982" s="2" t="s">
        <v>1901</v>
      </c>
      <c r="H982" s="2" t="s">
        <v>1213</v>
      </c>
      <c r="I982" s="2" t="str">
        <f ca="1">IFERROR(__xludf.DUMMYFUNCTION("GOOGLETRANSLATE(C982,""fr"",""en"")"),"Two months of waiting always unanswered despite several reminders !!!")</f>
        <v>Two months of waiting always unanswered despite several reminders !!!</v>
      </c>
    </row>
    <row r="983" spans="1:9" ht="15.75" customHeight="1" x14ac:dyDescent="0.3">
      <c r="A983" s="2">
        <v>2</v>
      </c>
      <c r="B983" s="2" t="s">
        <v>2667</v>
      </c>
      <c r="C983" s="2" t="s">
        <v>2668</v>
      </c>
      <c r="D983" s="2" t="s">
        <v>310</v>
      </c>
      <c r="E983" s="2" t="s">
        <v>14</v>
      </c>
      <c r="F983" s="2" t="s">
        <v>15</v>
      </c>
      <c r="G983" s="2" t="s">
        <v>2669</v>
      </c>
      <c r="H983" s="2" t="s">
        <v>248</v>
      </c>
      <c r="I983" s="2" t="str">
        <f ca="1">IFERROR(__xludf.DUMMYFUNCTION("GOOGLETRANSLATE(C983,""fr"",""en"")"),"I have been trying to reach Eurofil customer service for a week and apart from the background music, no advisor wins!
The customer site does not allow you to be remembered, making a quote requires contact customer service ... which does not respond!
For"&amp;" online insurance, the contract is broken.
I do not despair of obtaining an advisor, but it will be to delete all my contracts.")</f>
        <v>I have been trying to reach Eurofil customer service for a week and apart from the background music, no advisor wins!
The customer site does not allow you to be remembered, making a quote requires contact customer service ... which does not respond!
For online insurance, the contract is broken.
I do not despair of obtaining an advisor, but it will be to delete all my contracts.</v>
      </c>
    </row>
    <row r="984" spans="1:9" ht="15.75" customHeight="1" x14ac:dyDescent="0.3">
      <c r="A984" s="2">
        <v>1</v>
      </c>
      <c r="B984" s="2" t="s">
        <v>2670</v>
      </c>
      <c r="C984" s="2" t="s">
        <v>2671</v>
      </c>
      <c r="D984" s="2" t="s">
        <v>38</v>
      </c>
      <c r="E984" s="2" t="s">
        <v>39</v>
      </c>
      <c r="F984" s="2" t="s">
        <v>15</v>
      </c>
      <c r="G984" s="2" t="s">
        <v>2054</v>
      </c>
      <c r="H984" s="2" t="s">
        <v>57</v>
      </c>
      <c r="I984" s="2" t="str">
        <f ca="1">IFERROR(__xludf.DUMMYFUNCTION("GOOGLETRANSLATE(C984,""fr"",""en"")"),"This company is not made up. 2 years ago, I never obtained the reimbursement of television costs in hospitalization (2 months). In 2020, I made a spa treatment in La Bourboule (63). 'Till waiting for the reimbursement of my costs, despite the numerous com"&amp;"plaints from my broker. I am available for all information. Do not trust. Check as an insurer as I have just done.")</f>
        <v>This company is not made up. 2 years ago, I never obtained the reimbursement of television costs in hospitalization (2 months). In 2020, I made a spa treatment in La Bourboule (63). 'Till waiting for the reimbursement of my costs, despite the numerous complaints from my broker. I am available for all information. Do not trust. Check as an insurer as I have just done.</v>
      </c>
    </row>
    <row r="985" spans="1:9" ht="15.75" customHeight="1" x14ac:dyDescent="0.3">
      <c r="A985" s="2">
        <v>3</v>
      </c>
      <c r="B985" s="2" t="s">
        <v>2672</v>
      </c>
      <c r="C985" s="2" t="s">
        <v>2673</v>
      </c>
      <c r="D985" s="2" t="s">
        <v>80</v>
      </c>
      <c r="E985" s="2" t="s">
        <v>81</v>
      </c>
      <c r="F985" s="2" t="s">
        <v>15</v>
      </c>
      <c r="G985" s="2" t="s">
        <v>2674</v>
      </c>
      <c r="H985" s="2" t="s">
        <v>46</v>
      </c>
      <c r="I985" s="2" t="str">
        <f ca="1">IFERROR(__xludf.DUMMYFUNCTION("GOOGLETRANSLATE(C985,""fr"",""en"")"),"Very practical for subscription. Then we will see in use.
I have no other thing to say for the moment, I will give my opinion later as soon as I needed their service.")</f>
        <v>Very practical for subscription. Then we will see in use.
I have no other thing to say for the moment, I will give my opinion later as soon as I needed their service.</v>
      </c>
    </row>
    <row r="986" spans="1:9" ht="15.75" customHeight="1" x14ac:dyDescent="0.3">
      <c r="A986" s="2">
        <v>3</v>
      </c>
      <c r="B986" s="2" t="s">
        <v>2675</v>
      </c>
      <c r="C986" s="2" t="s">
        <v>2676</v>
      </c>
      <c r="D986" s="2" t="s">
        <v>28</v>
      </c>
      <c r="E986" s="2" t="s">
        <v>14</v>
      </c>
      <c r="F986" s="2" t="s">
        <v>15</v>
      </c>
      <c r="G986" s="2" t="s">
        <v>494</v>
      </c>
      <c r="H986" s="2" t="s">
        <v>83</v>
      </c>
      <c r="I986" s="2" t="str">
        <f ca="1">IFERROR(__xludf.DUMMYFUNCTION("GOOGLETRANSLATE(C986,""fr"",""en"")"),"I am satisfied with the quality of the reception, all my questions had a well -explained detailed answer. Price level the deposit of me did not suit too much")</f>
        <v>I am satisfied with the quality of the reception, all my questions had a well -explained detailed answer. Price level the deposit of me did not suit too much</v>
      </c>
    </row>
    <row r="987" spans="1:9" ht="15.75" customHeight="1" x14ac:dyDescent="0.3">
      <c r="A987" s="2">
        <v>5</v>
      </c>
      <c r="B987" s="2" t="s">
        <v>2677</v>
      </c>
      <c r="C987" s="2" t="s">
        <v>2678</v>
      </c>
      <c r="D987" s="2" t="s">
        <v>13</v>
      </c>
      <c r="E987" s="2" t="s">
        <v>14</v>
      </c>
      <c r="F987" s="2" t="s">
        <v>15</v>
      </c>
      <c r="G987" s="2" t="s">
        <v>24</v>
      </c>
      <c r="H987" s="2" t="s">
        <v>25</v>
      </c>
      <c r="I987" s="2" t="str">
        <f ca="1">IFERROR(__xludf.DUMMYFUNCTION("GOOGLETRANSLATE(C987,""fr"",""en"")"),"I am totally satisfied with the fast and simple service.
 I obtained the online insurance quote very quickly and I was able to subscribe to the contract the same day")</f>
        <v>I am totally satisfied with the fast and simple service.
 I obtained the online insurance quote very quickly and I was able to subscribe to the contract the same day</v>
      </c>
    </row>
    <row r="988" spans="1:9" ht="15.75" customHeight="1" x14ac:dyDescent="0.3">
      <c r="A988" s="2">
        <v>3</v>
      </c>
      <c r="B988" s="2" t="s">
        <v>2679</v>
      </c>
      <c r="C988" s="2" t="s">
        <v>2680</v>
      </c>
      <c r="D988" s="2" t="s">
        <v>38</v>
      </c>
      <c r="E988" s="2" t="s">
        <v>39</v>
      </c>
      <c r="F988" s="2" t="s">
        <v>15</v>
      </c>
      <c r="G988" s="2" t="s">
        <v>2681</v>
      </c>
      <c r="H988" s="2" t="s">
        <v>46</v>
      </c>
      <c r="I988" s="2" t="str">
        <f ca="1">IFERROR(__xludf.DUMMYFUNCTION("GOOGLETRANSLATE(C988,""fr"",""en"")"),"Rawane is listening to the adherents with kindness with the expected answers.
                Cordially.
   Some brokers that heads for my switch to Aesio with inferior repayments to my current contract with you, why this policy.")</f>
        <v>Rawane is listening to the adherents with kindness with the expected answers.
                Cordially.
   Some brokers that heads for my switch to Aesio with inferior repayments to my current contract with you, why this policy.</v>
      </c>
    </row>
    <row r="989" spans="1:9" ht="15.75" customHeight="1" x14ac:dyDescent="0.3">
      <c r="A989" s="2">
        <v>2</v>
      </c>
      <c r="B989" s="2" t="s">
        <v>2682</v>
      </c>
      <c r="C989" s="2" t="s">
        <v>2683</v>
      </c>
      <c r="D989" s="2" t="s">
        <v>1523</v>
      </c>
      <c r="E989" s="2" t="s">
        <v>101</v>
      </c>
      <c r="F989" s="2" t="s">
        <v>15</v>
      </c>
      <c r="G989" s="2" t="s">
        <v>2684</v>
      </c>
      <c r="H989" s="2" t="s">
        <v>1058</v>
      </c>
      <c r="I989" s="2" t="str">
        <f ca="1">IFERROR(__xludf.DUMMYFUNCTION("GOOGLETRANSLATE(C989,""fr"",""en"")"),"Very restrictive insurance concerning the guarantees")</f>
        <v>Very restrictive insurance concerning the guarantees</v>
      </c>
    </row>
    <row r="990" spans="1:9" ht="15.75" customHeight="1" x14ac:dyDescent="0.3">
      <c r="A990" s="2">
        <v>5</v>
      </c>
      <c r="B990" s="2" t="s">
        <v>2685</v>
      </c>
      <c r="C990" s="2" t="s">
        <v>2686</v>
      </c>
      <c r="D990" s="2" t="s">
        <v>601</v>
      </c>
      <c r="E990" s="2" t="s">
        <v>39</v>
      </c>
      <c r="F990" s="2" t="s">
        <v>15</v>
      </c>
      <c r="G990" s="2" t="s">
        <v>2687</v>
      </c>
      <c r="H990" s="2" t="s">
        <v>57</v>
      </c>
      <c r="I990" s="2" t="str">
        <f ca="1">IFERROR(__xludf.DUMMYFUNCTION("GOOGLETRANSLATE(C990,""fr"",""en"")"),"This mutual has given me complete satisfaction for many years. I tried to change it, but hardly lost it is the best quality ratio of services / price!
")</f>
        <v xml:space="preserve">This mutual has given me complete satisfaction for many years. I tried to change it, but hardly lost it is the best quality ratio of services / price!
</v>
      </c>
    </row>
    <row r="991" spans="1:9" ht="15.75" customHeight="1" x14ac:dyDescent="0.3">
      <c r="A991" s="2">
        <v>1</v>
      </c>
      <c r="B991" s="2" t="s">
        <v>2688</v>
      </c>
      <c r="C991" s="2" t="s">
        <v>2689</v>
      </c>
      <c r="D991" s="2" t="s">
        <v>190</v>
      </c>
      <c r="E991" s="2" t="s">
        <v>14</v>
      </c>
      <c r="F991" s="2" t="s">
        <v>15</v>
      </c>
      <c r="G991" s="2" t="s">
        <v>978</v>
      </c>
      <c r="H991" s="2" t="s">
        <v>17</v>
      </c>
      <c r="I991" s="2" t="str">
        <f ca="1">IFERROR(__xludf.DUMMYFUNCTION("GOOGLETRANSLATE(C991,""fr"",""en"")"),"Insurance which reimburses very badly, supporting very poorly reimbursed care, for my appointment of pregnancy survivors I was almost not taken care of with the basic formula; Among other things and the insurance of civil servants is said to be almost no "&amp;"advantages for us; I plan to change insurance as soon as I gave birth;")</f>
        <v>Insurance which reimburses very badly, supporting very poorly reimbursed care, for my appointment of pregnancy survivors I was almost not taken care of with the basic formula; Among other things and the insurance of civil servants is said to be almost no advantages for us; I plan to change insurance as soon as I gave birth;</v>
      </c>
    </row>
    <row r="992" spans="1:9" ht="15.75" customHeight="1" x14ac:dyDescent="0.3">
      <c r="A992" s="2">
        <v>4</v>
      </c>
      <c r="B992" s="2" t="s">
        <v>2690</v>
      </c>
      <c r="C992" s="2" t="s">
        <v>2691</v>
      </c>
      <c r="D992" s="2" t="s">
        <v>80</v>
      </c>
      <c r="E992" s="2" t="s">
        <v>81</v>
      </c>
      <c r="F992" s="2" t="s">
        <v>15</v>
      </c>
      <c r="G992" s="2" t="s">
        <v>608</v>
      </c>
      <c r="H992" s="2" t="s">
        <v>71</v>
      </c>
      <c r="I992" s="2" t="str">
        <f ca="1">IFERROR(__xludf.DUMMYFUNCTION("GOOGLETRANSLATE(C992,""fr"",""en"")"),"I have expressed my opinion everything is nickel I hope that afterwards I will not be decu then since I paid
CORDIALLY
Jlouis Aladenise")</f>
        <v>I have expressed my opinion everything is nickel I hope that afterwards I will not be decu then since I paid
CORDIALLY
Jlouis Aladenise</v>
      </c>
    </row>
    <row r="993" spans="1:9" ht="15.75" customHeight="1" x14ac:dyDescent="0.3">
      <c r="A993" s="2">
        <v>3</v>
      </c>
      <c r="B993" s="2" t="s">
        <v>2692</v>
      </c>
      <c r="C993" s="2" t="s">
        <v>2693</v>
      </c>
      <c r="D993" s="2" t="s">
        <v>190</v>
      </c>
      <c r="E993" s="2" t="s">
        <v>14</v>
      </c>
      <c r="F993" s="2" t="s">
        <v>15</v>
      </c>
      <c r="G993" s="2" t="s">
        <v>1187</v>
      </c>
      <c r="H993" s="2" t="s">
        <v>111</v>
      </c>
      <c r="I993" s="2" t="str">
        <f ca="1">IFERROR(__xludf.DUMMYFUNCTION("GOOGLETRANSLATE(C993,""fr"",""en"")"),"Speed ​​of information, high franchise. I remain a customer anyway hoping that GMF will consent a small discount !!! .... because I have been a customer for a certain number of years.")</f>
        <v>Speed ​​of information, high franchise. I remain a customer anyway hoping that GMF will consent a small discount !!! .... because I have been a customer for a certain number of years.</v>
      </c>
    </row>
    <row r="994" spans="1:9" ht="15.75" customHeight="1" x14ac:dyDescent="0.3">
      <c r="A994" s="2">
        <v>5</v>
      </c>
      <c r="B994" s="2" t="s">
        <v>2694</v>
      </c>
      <c r="C994" s="2" t="s">
        <v>2695</v>
      </c>
      <c r="D994" s="2" t="s">
        <v>13</v>
      </c>
      <c r="E994" s="2" t="s">
        <v>14</v>
      </c>
      <c r="F994" s="2" t="s">
        <v>15</v>
      </c>
      <c r="G994" s="2" t="s">
        <v>821</v>
      </c>
      <c r="H994" s="2" t="s">
        <v>71</v>
      </c>
      <c r="I994" s="2" t="str">
        <f ca="1">IFERROR(__xludf.DUMMYFUNCTION("GOOGLETRANSLATE(C994,""fr"",""en"")"),"TRIRSISTISTABER SERVICE.
Reception telephone and fast and very competent and professional information.
The prices are correct and reasonable.")</f>
        <v>TRIRSISTISTABER SERVICE.
Reception telephone and fast and very competent and professional information.
The prices are correct and reasonable.</v>
      </c>
    </row>
    <row r="995" spans="1:9" ht="15.75" customHeight="1" x14ac:dyDescent="0.3">
      <c r="A995" s="2">
        <v>5</v>
      </c>
      <c r="B995" s="2" t="s">
        <v>2696</v>
      </c>
      <c r="C995" s="2" t="s">
        <v>2697</v>
      </c>
      <c r="D995" s="2" t="s">
        <v>197</v>
      </c>
      <c r="E995" s="2" t="s">
        <v>81</v>
      </c>
      <c r="F995" s="2" t="s">
        <v>15</v>
      </c>
      <c r="G995" s="2" t="s">
        <v>56</v>
      </c>
      <c r="H995" s="2" t="s">
        <v>57</v>
      </c>
      <c r="I995" s="2" t="str">
        <f ca="1">IFERROR(__xludf.DUMMYFUNCTION("GOOGLETRANSLATE(C995,""fr"",""en"")"),"I am very satisfied with my AMV insurance.
The price is very attractive
Lately I had a small accident.
I was well advised to declare this claim.
I take this opportunity to say thank you!
")</f>
        <v xml:space="preserve">I am very satisfied with my AMV insurance.
The price is very attractive
Lately I had a small accident.
I was well advised to declare this claim.
I take this opportunity to say thank you!
</v>
      </c>
    </row>
    <row r="996" spans="1:9" ht="15.75" customHeight="1" x14ac:dyDescent="0.3">
      <c r="A996" s="2">
        <v>2</v>
      </c>
      <c r="B996" s="2" t="s">
        <v>2698</v>
      </c>
      <c r="C996" s="2" t="s">
        <v>2699</v>
      </c>
      <c r="D996" s="2" t="s">
        <v>254</v>
      </c>
      <c r="E996" s="2" t="s">
        <v>14</v>
      </c>
      <c r="F996" s="2" t="s">
        <v>15</v>
      </c>
      <c r="G996" s="2" t="s">
        <v>2700</v>
      </c>
      <c r="H996" s="2" t="s">
        <v>1344</v>
      </c>
      <c r="I996" s="2" t="str">
        <f ca="1">IFERROR(__xludf.DUMMYFUNCTION("GOOGLETRANSLATE(C996,""fr"",""en"")"),"Customer service is not at all responsive, you have two questions about your contributions and immediately you have to get in touch with the registered office which is very often closed to it. No one answers you by email, no one answers you via the adhere"&amp;"nt space.")</f>
        <v>Customer service is not at all responsive, you have two questions about your contributions and immediately you have to get in touch with the registered office which is very often closed to it. No one answers you by email, no one answers you via the adherent space.</v>
      </c>
    </row>
    <row r="997" spans="1:9" ht="15.75" customHeight="1" x14ac:dyDescent="0.3">
      <c r="A997" s="2">
        <v>3</v>
      </c>
      <c r="B997" s="2" t="s">
        <v>2701</v>
      </c>
      <c r="C997" s="2" t="s">
        <v>2702</v>
      </c>
      <c r="D997" s="2" t="s">
        <v>664</v>
      </c>
      <c r="E997" s="2" t="s">
        <v>39</v>
      </c>
      <c r="F997" s="2" t="s">
        <v>15</v>
      </c>
      <c r="G997" s="2" t="s">
        <v>1595</v>
      </c>
      <c r="H997" s="2" t="s">
        <v>474</v>
      </c>
      <c r="I997" s="2" t="str">
        <f ca="1">IFERROR(__xludf.DUMMYFUNCTION("GOOGLETRANSLATE(C997,""fr"",""en"")"),"Satisfied with your mutual insurance company, please contact us for new contacts because I have been at home since 2013 the reimbursements are satifiers")</f>
        <v>Satisfied with your mutual insurance company, please contact us for new contacts because I have been at home since 2013 the reimbursements are satifiers</v>
      </c>
    </row>
    <row r="998" spans="1:9" ht="15.75" customHeight="1" x14ac:dyDescent="0.3">
      <c r="A998" s="2">
        <v>1</v>
      </c>
      <c r="B998" s="2" t="s">
        <v>2703</v>
      </c>
      <c r="C998" s="2" t="s">
        <v>2704</v>
      </c>
      <c r="D998" s="2" t="s">
        <v>799</v>
      </c>
      <c r="E998" s="2" t="s">
        <v>129</v>
      </c>
      <c r="F998" s="2" t="s">
        <v>15</v>
      </c>
      <c r="G998" s="2" t="s">
        <v>2705</v>
      </c>
      <c r="H998" s="2" t="s">
        <v>994</v>
      </c>
      <c r="I998" s="2" t="str">
        <f ca="1">IFERROR(__xludf.DUMMYFUNCTION("GOOGLETRANSLATE(C998,""fr"",""en"")"),"Déconsillee !!! Termination of contracts under phony pretexts. They enlighten the requests for information on the coverage of the contract! I asked for information on contract covers more than a year ago and I Always await an answer despite two reminders.")</f>
        <v>Déconsillee !!! Termination of contracts under phony pretexts. They enlighten the requests for information on the coverage of the contract! I asked for information on contract covers more than a year ago and I Always await an answer despite two reminders.</v>
      </c>
    </row>
    <row r="999" spans="1:9" ht="15.75" customHeight="1" x14ac:dyDescent="0.3">
      <c r="A999" s="2">
        <v>2</v>
      </c>
      <c r="B999" s="2" t="s">
        <v>2706</v>
      </c>
      <c r="C999" s="2" t="s">
        <v>2707</v>
      </c>
      <c r="D999" s="2" t="s">
        <v>13</v>
      </c>
      <c r="E999" s="2" t="s">
        <v>14</v>
      </c>
      <c r="F999" s="2" t="s">
        <v>15</v>
      </c>
      <c r="G999" s="2" t="s">
        <v>82</v>
      </c>
      <c r="H999" s="2" t="s">
        <v>83</v>
      </c>
      <c r="I999" s="2" t="str">
        <f ca="1">IFERROR(__xludf.DUMMYFUNCTION("GOOGLETRANSLATE(C999,""fr"",""en"")"),"Given the price for a small fiât 500 petrol 1.2 of 2014 is exaggerated, I am really on it fortunately that it is not my daughter who will pay the insurance
How can a student pay car insurance € 2200 year -round ????")</f>
        <v>Given the price for a small fiât 500 petrol 1.2 of 2014 is exaggerated, I am really on it fortunately that it is not my daughter who will pay the insurance
How can a student pay car insurance € 2200 year -round ????</v>
      </c>
    </row>
    <row r="1000" spans="1:9" ht="15.75" customHeight="1" x14ac:dyDescent="0.3">
      <c r="A1000" s="2">
        <v>2</v>
      </c>
      <c r="B1000" s="2" t="s">
        <v>2708</v>
      </c>
      <c r="C1000" s="2" t="s">
        <v>2709</v>
      </c>
      <c r="D1000" s="2" t="s">
        <v>28</v>
      </c>
      <c r="E1000" s="2" t="s">
        <v>14</v>
      </c>
      <c r="F1000" s="2" t="s">
        <v>15</v>
      </c>
      <c r="G1000" s="2" t="s">
        <v>2507</v>
      </c>
      <c r="H1000" s="2" t="s">
        <v>448</v>
      </c>
      <c r="I1000" s="2" t="str">
        <f ca="1">IFERROR(__xludf.DUMMYFUNCTION("GOOGLETRANSLATE(C1000,""fr"",""en"")"),"After having subscribed to the olive assurance car and to have checked that he applies the Hammon law I realized 2 months after it had not been applied I therefore pay for 2 months 2 insurance after calling the olive tree and that it constitutes their err"&amp;"or no commercial gesture still offered me reimbursement despite more than 200th paying because of their brief error a shame in all floors a pitiful organization and a after -sales service of the same level do not ensure you labas
The price but which "&amp;"announces the color of the poor quality of the organization and the after -sales service
")</f>
        <v xml:space="preserve">After having subscribed to the olive assurance car and to have checked that he applies the Hammon law I realized 2 months after it had not been applied I therefore pay for 2 months 2 insurance after calling the olive tree and that it constitutes their error no commercial gesture still offered me reimbursement despite more than 200th paying because of their brief error a shame in all floors a pitiful organization and a after -sales service of the same level do not ensure you labas
The price but which announces the color of the poor quality of the organization and the after -sales service
</v>
      </c>
    </row>
    <row r="1001" spans="1:9" ht="15.75" customHeight="1" x14ac:dyDescent="0.3">
      <c r="A1001" s="2">
        <v>4</v>
      </c>
      <c r="B1001" s="2" t="s">
        <v>2710</v>
      </c>
      <c r="C1001" s="2" t="s">
        <v>2711</v>
      </c>
      <c r="D1001" s="2" t="s">
        <v>13</v>
      </c>
      <c r="E1001" s="2" t="s">
        <v>14</v>
      </c>
      <c r="F1001" s="2" t="s">
        <v>15</v>
      </c>
      <c r="G1001" s="2" t="s">
        <v>676</v>
      </c>
      <c r="H1001" s="2" t="s">
        <v>111</v>
      </c>
      <c r="I1001" s="2" t="str">
        <f ca="1">IFERROR(__xludf.DUMMYFUNCTION("GOOGLETRANSLATE(C1001,""fr"",""en"")"),"The service is fast and efficient. The prices are attractive. The different options offered allow you to choose the right insurance that corresponds for each driver.")</f>
        <v>The service is fast and efficient. The prices are attractive. The different options offered allow you to choose the right insurance that corresponds for each driver.</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POUXVIEL Aurélien</cp:lastModifiedBy>
  <dcterms:created xsi:type="dcterms:W3CDTF">2022-12-16T15:48:20Z</dcterms:created>
  <dcterms:modified xsi:type="dcterms:W3CDTF">2024-01-22T16:24:38Z</dcterms:modified>
</cp:coreProperties>
</file>