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E8+xbYuSvIgBX5RgzupL5/pRA=="/>
    </ext>
  </extLst>
</workbook>
</file>

<file path=xl/sharedStrings.xml><?xml version="1.0" encoding="utf-8"?>
<sst xmlns="http://schemas.openxmlformats.org/spreadsheetml/2006/main" count="7011" uniqueCount="2745">
  <si>
    <t>note</t>
  </si>
  <si>
    <t>auteur</t>
  </si>
  <si>
    <t>avis</t>
  </si>
  <si>
    <t>assureur</t>
  </si>
  <si>
    <t>produit</t>
  </si>
  <si>
    <t>type</t>
  </si>
  <si>
    <t>date_publication</t>
  </si>
  <si>
    <t>date_exp</t>
  </si>
  <si>
    <t>avis_en</t>
  </si>
  <si>
    <t>avis_cor</t>
  </si>
  <si>
    <t>avis_cor_en</t>
  </si>
  <si>
    <t>freddy-r-125517</t>
  </si>
  <si>
    <t xml:space="preserve">Bonjour,
Je suis satisfait du service proposé,du tarif et de la simplicité pour la souscription du contrat auto de ma nouvelle acquisition
Cordialement
Mr Renault freddy </t>
  </si>
  <si>
    <t>Direct Assurance</t>
  </si>
  <si>
    <t>auto</t>
  </si>
  <si>
    <t>train</t>
  </si>
  <si>
    <t>29/07/2021</t>
  </si>
  <si>
    <t>01/07/2021</t>
  </si>
  <si>
    <t>helene-t-131836</t>
  </si>
  <si>
    <t>Je viens de souscrire donc je n'ai pas encore vraiment d'avis... C'est juste la meilleure offre niveau prix/service que j'ai trouvé. Je me ferai un avis quand j'aurai utilisé l'assurance.</t>
  </si>
  <si>
    <t>08/09/2021</t>
  </si>
  <si>
    <t>01/09/2021</t>
  </si>
  <si>
    <t>balghouthi-s-135046</t>
  </si>
  <si>
    <t>Service client très agréable. Une prise en charge rapide et claire. Merci à la personne que j'ai eu au téléphone. Un devis simple et une interface intuitive.</t>
  </si>
  <si>
    <t>L'olivier Assurance</t>
  </si>
  <si>
    <t>29/09/2021</t>
  </si>
  <si>
    <t>maudus-66468</t>
  </si>
  <si>
    <t xml:space="preserve">Accueil très agréable, toujours de très bonne  qualité avec de très bons conseils. Client depuis de nombreuses années nous ne comptons pas changer d'assurance. Solutions toujours trouvées avec les conseillers. </t>
  </si>
  <si>
    <t>Matmut</t>
  </si>
  <si>
    <t>29/08/2018</t>
  </si>
  <si>
    <t>01/08/2018</t>
  </si>
  <si>
    <t>gromada-gwen-52713</t>
  </si>
  <si>
    <t xml:space="preserve">Mutuelle hors de prix, véritable expédition pour avoir quelqu'un au téléphone, remboursements risibles et des remboursements en attente toujours pas versés. Une honte, fuyez ! </t>
  </si>
  <si>
    <t>Mgen</t>
  </si>
  <si>
    <t>sante</t>
  </si>
  <si>
    <t>24/02/2017</t>
  </si>
  <si>
    <t>01/02/2017</t>
  </si>
  <si>
    <t>isa-130163</t>
  </si>
  <si>
    <t xml:space="preserve">a fuir absolument....je paye depuis 10 ans deux assurances propriétaires non occupants ....une de mes maisons sans locataire vient de connaitre un dégât des eaux sur un mur intérieur.
des le 1 er contact la réponse était une non prise en charge.
Je bataille pour obtenir une expertise dont je découvre avoir 178 euros de franchise.
Problème sur le toit et sur les joints de la terrasse.
Et là je m'entends dire aucune prise en charge même pas du mur endommagé.
Je suis dégoutée et suis scandalisée !!!!! POUR PRENDRE L'ARGENT ILS SONT BONS mais pour assumer leurs rôles d'assureurs ils ne sont jamais là.
VIVE LA GMF </t>
  </si>
  <si>
    <t>GMF</t>
  </si>
  <si>
    <t>habitation</t>
  </si>
  <si>
    <t>30/08/2021</t>
  </si>
  <si>
    <t>01/08/2021</t>
  </si>
  <si>
    <t>patrick24-70130</t>
  </si>
  <si>
    <t xml:space="preserve">sociéte a fuir ,  </t>
  </si>
  <si>
    <t>AXA</t>
  </si>
  <si>
    <t>vie</t>
  </si>
  <si>
    <t>11/01/2019</t>
  </si>
  <si>
    <t>01/01/2019</t>
  </si>
  <si>
    <t>fatiha-r-108001</t>
  </si>
  <si>
    <t xml:space="preserve">bonjour,
je suis vraiment satisfaite les prix me conviennent, je trouve que c'est raisonnable. contrat clair et bien expliqué, réponse rapide; bon écoute. 
</t>
  </si>
  <si>
    <t>25/03/2021</t>
  </si>
  <si>
    <t>01/03/2021</t>
  </si>
  <si>
    <t>gabriel-s-133561</t>
  </si>
  <si>
    <t>satisfait, de la rapidité, les tarifs, sont plus que raisonnable, encore merci a vous, pour votre présence, auprès des motards.
il faudrait peut être inscrire l option assistance dans la formule 4 quitte a la réévaluer.</t>
  </si>
  <si>
    <t>AMV</t>
  </si>
  <si>
    <t>moto</t>
  </si>
  <si>
    <t>20/09/2021</t>
  </si>
  <si>
    <t>davidon-68642</t>
  </si>
  <si>
    <t>Je regrette d'avoir signé avec cet assureur. Le service qu'ils rendent est regrettable: deux mois après avoir déclaré un sinistre, j'attends toujours le rapport du spécialiste en plombier. La fuite d'eau continue et je me sens inutile de ne rien pouvoir faire et je dois continuer à attendre pour recevoir un simple rapport avant de pouvoir compléter le constat amiable.</t>
  </si>
  <si>
    <t>Pacifica</t>
  </si>
  <si>
    <t>15/11/2018</t>
  </si>
  <si>
    <t>01/11/2018</t>
  </si>
  <si>
    <t>nathalie--137109</t>
  </si>
  <si>
    <t xml:space="preserve">Donne tout les renseignements nécessaires en cas de besoin et rapidement et de très bons conseillers accueil agréable au téléphone.
Très bonne journée 
</t>
  </si>
  <si>
    <t>MGP</t>
  </si>
  <si>
    <t>prevoyance</t>
  </si>
  <si>
    <t>12/10/2021</t>
  </si>
  <si>
    <t>01/10/2021</t>
  </si>
  <si>
    <t>anakin6300-90955</t>
  </si>
  <si>
    <t xml:space="preserve">Societaire depuis 1993, fils de societaire depuis plus logntemps encore, je demande 1 Devis  pour assurance auto (VAM) au telephone le 06/06/20 a 1008,35€, 
puis quelques jours plus tard le 10/06/20 ,j'appelle pour souscrire, et pretextant une erreur, apres m'avoir mis en attente 20 minutes , on me refuse le devis et me propose un nouveau devis contradictoire avec augmentation du tarif a 1408,62€.
je demande un rdv en agence afin d' y voir plus clair, et aujourd'hui le 15/06, un jeune conseiller m'indique une nouvelle erreur sur le devis et il passe en 3eme proposition a 1905,83€.
Incroyable. 
A l'issu donc de ce rendez-vous , 3 devis contradictoires je me retrouve sans aucune consideration et encore moins d'excuses. 
Accueil froid, glacial, aucun geste commercial non, resolument la Maif n'est plus ce que c'etait helas.
Un client sociétaire déçu.
</t>
  </si>
  <si>
    <t>MAIF</t>
  </si>
  <si>
    <t>15/06/2020</t>
  </si>
  <si>
    <t>01/06/2020</t>
  </si>
  <si>
    <t>jerome-l-128703</t>
  </si>
  <si>
    <t xml:space="preserve">le devis est fait très rapidement avec les renseignements standards  plus les options au choix à la fin avec plusieurs contrats proposés
très simple à utiliser 
</t>
  </si>
  <si>
    <t>19/08/2021</t>
  </si>
  <si>
    <t>bison30210-79274</t>
  </si>
  <si>
    <t xml:space="preserve">J'attends depuis 15 jours ma carte verte.  Prélèvement effectué. Demande quotidienne de nouveaux documents déjà fournis. Mauvaise foi évidente </t>
  </si>
  <si>
    <t>Active Assurances</t>
  </si>
  <si>
    <t>18/09/2019</t>
  </si>
  <si>
    <t>01/09/2019</t>
  </si>
  <si>
    <t>magali-l-108874</t>
  </si>
  <si>
    <t>je ne suis pas satisfaite des services, c'est pourquoi j'ai résilié. Ayant eu un sinistre avec la 207, j'ai perdu un véhicule alors que je n'étais aucunement en tort.</t>
  </si>
  <si>
    <t>01/04/2021</t>
  </si>
  <si>
    <t>elisabeth-m-122264</t>
  </si>
  <si>
    <t>je suis non satisfaite de vos services qui me resilie  pour motif administratif pourtant mes documents ont bien été scanner sur mon espace personnel dans le temps imparti</t>
  </si>
  <si>
    <t>03/07/2021</t>
  </si>
  <si>
    <t>mylo60-52509</t>
  </si>
  <si>
    <t>A la Maif depuis plus de 15 ans, nous avons toujours été satisfaits. Le service clients de l'assurance auto est très compétent et réactif en cas de sinistre. Par contre, nous sommes très mécontents de notre assurance habitation. Nous avons fait l'effort de mettre notre maison sous télésurveillance ainsi qu'un bâtiment adjacent et avons aussi fait réévalué notre patrimoine mais cela n'est pas pris en compte lorsque vous vous faites cambrioler votre garage. Il y a eu effraction en novembre dernier et à ce jour, nous n'avons aucune nouvelle du soit disant cabinet d'expertise qui nous a reproché de ne pas mettre notre garage sous télésurveillance alors que cela est techniquement impossible! Pas de nouvelle de la Maif qui devrait voir que le dossier est en attente! Quitte à ne pas être remboursé autant payer moins cher ailleurs!</t>
  </si>
  <si>
    <t>17/02/2017</t>
  </si>
  <si>
    <t>khaled-h-134481</t>
  </si>
  <si>
    <t xml:space="preserve">
Je suis satisfait de vos prestations . Et je suis heureux avoir choisi  direct assurance 
Je vais recommander direct assurance à mes amis et familles </t>
  </si>
  <si>
    <t>25/09/2021</t>
  </si>
  <si>
    <t>videocrypt-54256</t>
  </si>
  <si>
    <t>Que dire. La déléguation Cardif... attention, si vous avez des antécèdants médicaux cardif n'est pas pour vous; même si ces soucis sont passés, sans aucunes chance de récidives ( je suis de profession médical). Leur docteur vous demande plusieurs fois les mêmes documents... qu'il ne lit pas ( impossible). On vous fait remplir des questionnaires par votre medecin qui ne sont même pas en rapport avec ce que vous avez eu. Une fois ces questionnaires remplis et indiquant que tout est fini et surtout qu'il n'y a rien (  et encore je parle de petite chirurgie, je ne parle de cancer...). On vous donne une réponse où seule le décès  est couvert ! alors soyez riches, avec une carte vitale où la puce n'a pas servi une seule fois, les assurances promises low cost sont faîtes pour vous. Toutefois si vous êtes jeunes et sportif, lisez bien les exclusions.</t>
  </si>
  <si>
    <t>Cardif</t>
  </si>
  <si>
    <t>credit</t>
  </si>
  <si>
    <t>24/04/2017</t>
  </si>
  <si>
    <t>01/04/2017</t>
  </si>
  <si>
    <t>plzc-76731</t>
  </si>
  <si>
    <t xml:space="preserve">Client de la Matmut depuis prés de 20 ans, mon domicile a été victime d'une tentative d'effraction. Heureusement pour nous notre système d'alarme a fait fuir les cambrioleurs, mais la porte d'entrée a été fracturée (porte en chêne massif d'ébéniste avec grille de protection).
L'assurance mandate une société pour sécuriser celle-ci et établir un devis de réparation (RAS intervention en moins de 24h). 
Trouvant l'addition trop élevée (Environs 3700E ), La Matmut mandate un expert qui, comme par magie, estime qu'il faut seulement remplacer le montant de la porte et le mécanisme de la serrure qui est endommagé (660E) (il est resté moins de 10mn a mon domicile, et c'est moi qui lui est fait remarque la serrure défectueuse qu'il n'avait même pas pris la peine d'examiner).
Après quelques semaines d'attente durant lesquelles j'ai du changé moi-même la serrure qui restait bloquée de manière aléatoire, une entreprise partenaire de la Matmut, se pressente et constate que l'ordre de travaux est sous estimé. Elle fait un retour a l'assurance avec les éléments manquants, et bien sur ne fait donc aucune réparation en attendant . 
Silence total de la part de l'assurance, je suis obligé de les relancer pendant deux mois: " On attend le retour de l'expert", "Non, c'est la société qui n'a fait aucun retour" , "On les relance", etc.
On me demande de faire des devis de mon côté pour essayer de faire avancer les choses (déjà 4 mois que ma porte est dans cet état).
Excédé, je demande à être indemnisés afin de faire remplacer la porte de mon côté puisque tous les professionnels que j'ai rencontrés ne veulent pas me garantir la solidité de la réparation préconisée par l'expert.
Au bout de 6 mois, je suis indemnisé seulement des 2/3 du montant estimé initialement par l'expert (660E) soit 421E pour "estimation expert en autoreparation".
Une vraie réparation qui garanti la solidité d'origine coute bien plus que 660E, je veux dire 421E, mais je suis fatigué de me battre contre des moulins a vent incompétents.
Donc au final, je vais remplacer ma porte d'origine par une blindée pour etre tranquille et investir judicieusement l'indemnité de 421E que j'ai perçu. 
Pour le cout, je peux dire que la Matmut et réellement comme ces ambassadeurs Chevalier et Laspalès; ce sont de vrais comiques! 
A fuir absolument. </t>
  </si>
  <si>
    <t>12/06/2019</t>
  </si>
  <si>
    <t>01/06/2019</t>
  </si>
  <si>
    <t>younch-71191</t>
  </si>
  <si>
    <t>Suite a un sinistre auto survenu il y a 3 mois, je relance chaque semaine, l assurance, le garage, l expert personne ne sait ou se trouve la voiture, ni ou en est l expertise, j ai un interlocuteur different chaque appel, aucune reponse a mes courriers, le service et le suivi des dossiers est scandaleux je paie une voiture de pret depuis 3 mois, je ne conseille cette assurance a personne meme a mes pires ennemis</t>
  </si>
  <si>
    <t>MACIF</t>
  </si>
  <si>
    <t>11/02/2019</t>
  </si>
  <si>
    <t>01/02/2019</t>
  </si>
  <si>
    <t>elodie-c-107073</t>
  </si>
  <si>
    <t>Je suis satisfaite de l'ensemble des offres. quand il y a un soucie ils nous répondent dans les plus brefs délais.
Les tarifs sont très attractifs. Bon rapport qualité/prix</t>
  </si>
  <si>
    <t>18/03/2021</t>
  </si>
  <si>
    <t>yam-129240</t>
  </si>
  <si>
    <t xml:space="preserve">Nous regrettons d’avoir les 20 ans d’assurance chez Macif, pour un simple sinistre, il nous demande de faire expertiser les lieux par un autre expert par nous propre moyens.??!!!
Assurance à éviter et je ne le recommande à personne.
Nous regrettons pleinement.
</t>
  </si>
  <si>
    <t>24/08/2021</t>
  </si>
  <si>
    <t>anonyme1000-89404</t>
  </si>
  <si>
    <t>Une étoile, c' est bien trop généreux... Sinistre découvert en septembre, petite fuite d'eau d'origine privative réparée immédiatement mais qui a été découverte tardivement et a fait des dégâts importants dans l'appartement. 7 mois plus tard, aucun remboursement. Personne n'est personnellement responsable du dossier. Nous avons contacté Allianz des dizaines de fois par mail et téléphone et avons toujours des interlocuteurs différents. Personne ne sait ou comprend ce qui se passe, et de toutes façons tout le monde s'en fiche. On nous donne des informations totalement contradictoires.  La société Sedgewick (expert) prend le relais pour faire trainer les choses autant que possible, des mois s'écoulent entre chaque expertise / visite. Les appels ne sont pas retournés. La vente de notre appartement a fini par tomber à l'eau car nos acheteurs ont craint de ne jamais être remboursés. Ce qui semblait être de l'incompétence et un manque total de professionalisme ressemblent de plus en plus à une stratégie délibérée pour ne pas rembourser les dégâts.</t>
  </si>
  <si>
    <t>Allianz</t>
  </si>
  <si>
    <t>08/05/2020</t>
  </si>
  <si>
    <t>01/05/2020</t>
  </si>
  <si>
    <t>jean-marc-l-138813</t>
  </si>
  <si>
    <t>Explications claires et détaillées, prix adaptés au besoin, conseillère disponible et à l'écoute.
Prise de rv et  traitement administratif des dossiers rapide</t>
  </si>
  <si>
    <t>Mapa</t>
  </si>
  <si>
    <t>multirisque-professionnelle</t>
  </si>
  <si>
    <t>03/11/2021</t>
  </si>
  <si>
    <t>azouaou-s-115131</t>
  </si>
  <si>
    <t>Les tarifs augmentent chaque années.
Même pendant les confinements  ! 
Les prix de départs sont attractifs et ensuite les augmentations s’enchaînent !</t>
  </si>
  <si>
    <t>28/05/2021</t>
  </si>
  <si>
    <t>01/05/2021</t>
  </si>
  <si>
    <t>nick-57735</t>
  </si>
  <si>
    <t>Augmentation de prime de 150% sans justifications. Pas de sinistres ni de changement d'adresse.</t>
  </si>
  <si>
    <t>01/10/2017</t>
  </si>
  <si>
    <t>eric-m-127530</t>
  </si>
  <si>
    <t>Rapide simple tarif sympa. Bref que du bonheur de souscrire en ligne. 
Je n'hésiterai pas à recommander à mes amis sibils ont besoin d'assurer une moto ou un scooter</t>
  </si>
  <si>
    <t>APRIL Moto</t>
  </si>
  <si>
    <t>11/08/2021</t>
  </si>
  <si>
    <t>mila-103143</t>
  </si>
  <si>
    <t>Je suis client depuis plus de 30 ans chez GROUPAMA. Au premier sinistre immobilier, c'est une catastrophe. Le dossier est ouvert depuis 2 ans. Quand j'en fais la remarque que rien n'avance, l'inspecteur de GROUPAMA me dit : "si vous n'êtes pas content vous pouvez aller voir ailleurs". J'aurai du quitter cette assurance il y a bien longtemps.</t>
  </si>
  <si>
    <t>Groupama</t>
  </si>
  <si>
    <t>23/01/2021</t>
  </si>
  <si>
    <t>01/01/2021</t>
  </si>
  <si>
    <t>histoireguibo-98697</t>
  </si>
  <si>
    <t>- très difficile de trouver un numéro de téléphone
- impossible à joindre ensuite (temps d'attente trop longs, rappelez plus tard...)
- site inopérant (pas moyen d'envoyer des documents pour remboursements par ex.)
- tarifs élevés
2 heures de perdus pour une mutuelle nullissime, on a vraiment l'impression d'être pris pour des bonnes poires juste bonnes à payer !</t>
  </si>
  <si>
    <t>13/10/2020</t>
  </si>
  <si>
    <t>01/10/2020</t>
  </si>
  <si>
    <t>walid-m-137834</t>
  </si>
  <si>
    <t>Au niveau prix vous êtes au top qualité aussi et merci beaucoup pour l'assurance que vous m'avez fait pour mon scooter c'est très gentil de votre part</t>
  </si>
  <si>
    <t>20/10/2021</t>
  </si>
  <si>
    <t>mlg89-102812</t>
  </si>
  <si>
    <t>Bonjour assuré a là Macif depuis 1983 suite a une panne de voiture en pleine campagne j ai été dépanner en une heure et rapatrier chez un loueur a 20 h pour un véhicule de remplacement sinistre immobilier Degas des eau tempête remboursés en une semaine cassé de votre intérieur remboursés immédiatement je recommande vivement</t>
  </si>
  <si>
    <t>18/01/2021</t>
  </si>
  <si>
    <t>penazar-90450</t>
  </si>
  <si>
    <t>La MAIF n'est plus ce qu'elle était : accueil froid et commercial, prestations sans relief. Le pire est qu'après 20 ans de maison, on peut vous refuser un bonus maximum que vous aviez précieusement entretenu, sous le prétexte que vous avez entre temps assuré une moto 125 plutôt qu'une automobile. Aucun respect du client, très décevant !</t>
  </si>
  <si>
    <t>11/06/2020</t>
  </si>
  <si>
    <t>julie-m-134476</t>
  </si>
  <si>
    <t xml:space="preserve">Très bien et rapide et simple pour souscrire à une assurance en toute simplicité et rapidement. Je recommande cette assurance. Peut-être améliorer l’interface </t>
  </si>
  <si>
    <t>gerard-h-109688</t>
  </si>
  <si>
    <t>Je suis satisfait du service, les prix me conviennent sauf pour l'assurance habitat que je trouve un peu élevée (souscrite tout récemment  en ligne); devis antérieurs moins chers.
Le site est vraiment très complet et, les mails envoyés sont reçus très rapidement..
Je souhaite que ma satisfaction se prolongera.</t>
  </si>
  <si>
    <t>08/04/2021</t>
  </si>
  <si>
    <t>tazer182-50496</t>
  </si>
  <si>
    <t>A votre ecoute, sympathiques, très efficaces et Humains.... Disponibles,</t>
  </si>
  <si>
    <t>Peyrac Assurances</t>
  </si>
  <si>
    <t>20/12/2016</t>
  </si>
  <si>
    <t>01/12/2016</t>
  </si>
  <si>
    <t>marc-c-116472</t>
  </si>
  <si>
    <t>ras je suis satisfait de la rapidité de la prise de contact téléphonique et de la compétence de l interlocutrice pas d autres observations merci cordialement</t>
  </si>
  <si>
    <t>09/06/2021</t>
  </si>
  <si>
    <t>01/06/2021</t>
  </si>
  <si>
    <t>alain-b-110458</t>
  </si>
  <si>
    <t xml:space="preserve">Je suis content pour l'instant; j4AI UNE D2CLARATION 0 FAIRE et je ne trouve pas facilement l'accès direct. Sinon l'assistance est toujours aussi performante. Il serait souhaitable de regrouper les vehicules auto moto
</t>
  </si>
  <si>
    <t>15/04/2021</t>
  </si>
  <si>
    <t>mireille-d-115967</t>
  </si>
  <si>
    <t>Je suis satisfaite des différents entretiens que j'ai du avoir avec les personnes quand j' ai eu un besoin de renseignements.
Je suis aussi satisfaite des prix.</t>
  </si>
  <si>
    <t>04/06/2021</t>
  </si>
  <si>
    <t>jennifer-t-109673</t>
  </si>
  <si>
    <t>c'est correct pour ce que je veux dans mon assurance. Comme tout le monde je voudrais bien moins cher... mais j'ai eu ce que je voulais avec un tarif correct</t>
  </si>
  <si>
    <t>jojo51-56154</t>
  </si>
  <si>
    <t>Pour deux, la cinquantaine passée, c'est 1900€ de cotisations par an. Réfléchissez avant de signer. Si c'est déjà fait, possibilité de renoncer dans les 14 jours lors d'un démarchage à domicile. C'est ce que je viens de faire</t>
  </si>
  <si>
    <t>Generali</t>
  </si>
  <si>
    <t>21/07/2017</t>
  </si>
  <si>
    <t>01/07/2017</t>
  </si>
  <si>
    <t>arnaud-b-121469</t>
  </si>
  <si>
    <t>Bon conseil, réactif. Les choses sont expliquées clairement
Rapide et efficace.
Le tarif n'est pas le plus compétitif mais le service me semble adapté.
Dommage qu'il n'y ait pas le choix sur la date de prélèvement.</t>
  </si>
  <si>
    <t>Zen'Up</t>
  </si>
  <si>
    <t>28/06/2021</t>
  </si>
  <si>
    <t>pauline-57835</t>
  </si>
  <si>
    <t>La Macif m'assure depuis plus de 6 ans sans aucun soucis. Aujourd'hui, je viens de savoir que je n'était plus assurée (depuis quand .... bonne question...) à cause de mon malus. De plus les réflexions du techniciens au téléphone était limite... alors que je suis une cliente sérieuse et qui ne râle pas quand eux mettent du temps pour les remboursements en ce qui concerne la santé... DECEPTION TOTAL!!! je ne conseille en aucun cas cette assurance!</t>
  </si>
  <si>
    <t>05/10/2017</t>
  </si>
  <si>
    <t>ledet-c-138158</t>
  </si>
  <si>
    <t>Très satisfaite des prix et de l'accueil de tous les conseillers que j'ai eu au téléphone. J'ai été bien accompagnée tout au long de mes démarches de souscription.</t>
  </si>
  <si>
    <t>24/10/2021</t>
  </si>
  <si>
    <t>margot-96495</t>
  </si>
  <si>
    <t xml:space="preserve">trés déçue je suis a la matmut depuis plus de 40 ans je paie la smac depuis cette date  j'ai fait une chute  fracture du fémur   j'ai subit 7 opérations j'ai 74 ans  6 mois de fauteuil je ne peut plus me déplacer seul donc plus de sortie sans aide  refus de la matmut je n'ai pas 50/00 pour cent d'handicap pour bénéficier de la smac pour eux il faut attaquer  l'hopital ayant attraper une bactérie que j'aie attraper a la maison par les soins  a domiciles </t>
  </si>
  <si>
    <t>20/08/2020</t>
  </si>
  <si>
    <t>01/08/2020</t>
  </si>
  <si>
    <t>lepain-l-113507</t>
  </si>
  <si>
    <t>RAPIDITE ET PRIX TRES CONVENABLE  . LE SITE INTERNET EST TRES SIMPLE A UTILISER ET FACILE POUR ENVOYER LES DOCUMENTS.
LE PERSONNEL TRES SYMPATHIQUES ET PROFESSIONNEL.</t>
  </si>
  <si>
    <t>12/05/2021</t>
  </si>
  <si>
    <t>eric-b-110828</t>
  </si>
  <si>
    <t>Simple, pratique, les tarif me convienne. Aucun soucis avec les prestations de l'assurance "direct assurance". je recommanderai à un ami Direct l'assurance.</t>
  </si>
  <si>
    <t>18/04/2021</t>
  </si>
  <si>
    <t>direct-assurance-est-un-harceleur-126214</t>
  </si>
  <si>
    <t>Cliente depuis 15 ans+. Les tarifs des renouvellements de contrat sont toujours plus chers (moyenne 80 à 200 euros+) qu'un nouveau contrat. 
En 2020, j'ai décalé le début de mon contrat d'une quinzaine de jours et ils m'ont fait mon nouveau contrat selon cette demande. MAIS depuis, je suis harcelée par téléphone par un cabinet de recouvrement TOUS LES JOURS (et souvent des messages téléphoniques plusieurs fois par jour) depuis PLUS D'UN AN pour moins de 50 euros de frais d'assurance couvrant cette quinzaine de jour ! J'ai beau téléphoné à Direct Assurance et à leur cabinet de recouvrement, mais ils persistent à me réclamer cette somme indue !!!</t>
  </si>
  <si>
    <t>03/08/2021</t>
  </si>
  <si>
    <t>gaza-103305</t>
  </si>
  <si>
    <t>à fuir, j'ai 15 ans de permis, sans accidents responsable, ils ne veulent pas m'assurer une voiture de 272 chevaux, comme quoi elle est trop puissante, c'est vraiment des fous.</t>
  </si>
  <si>
    <t>27/01/2021</t>
  </si>
  <si>
    <t>titinette5-77971</t>
  </si>
  <si>
    <t>J'ai eu un sinistre non responsable un vendredi, voiture de prêt 4h après le sinistre, expert le mercedi qui suit, véhicule non-réparable (vu l'état de celui-ci aucune surprise), dédommagement du véhicule 2 semaines après l'accident. Ma conseillère attribuée lors de l'accident me tenait informé de la situation au fur et à mesure. Je suis totalement satisfaite de Pacifica.</t>
  </si>
  <si>
    <t>MAAF</t>
  </si>
  <si>
    <t>27/07/2019</t>
  </si>
  <si>
    <t>01/07/2019</t>
  </si>
  <si>
    <t>le-pape-a-117701</t>
  </si>
  <si>
    <t xml:space="preserve">les prix me conviennent, les informations sont clair et precise, le site est tres lisible et facile a prendre en main, conseiller agreable et a repondu a toutes mes questions </t>
  </si>
  <si>
    <t>21/06/2021</t>
  </si>
  <si>
    <t>delalie-102247</t>
  </si>
  <si>
    <t>39 € par mois en 2020 et 44€ pour 2021 alors que j'ai eu aucun sinistre et quand j'ai téléphone pour des explications il me dise que ça dépend du véhicule et de la ou j'habite sachant que j'habite en Charente et je pense pas que ça soit la que ça craint le plus. Il profite qu'on soit obligé d'avoir une assurance pour faire ce qu'ils veulent. Assurance à éviter</t>
  </si>
  <si>
    <t>06/01/2021</t>
  </si>
  <si>
    <t>sandy9112-58556</t>
  </si>
  <si>
    <t>Dommage qu'on ne puisse pas mettre 0 étoiles! N'allez jamais chez eux en cas de vol ils ne vous dédommagent RIEN et ils se moquent bien de vous à fuire il est encore temps !!!!</t>
  </si>
  <si>
    <t>02/11/2017</t>
  </si>
  <si>
    <t>01/11/2017</t>
  </si>
  <si>
    <t>melaniecotiche-100624</t>
  </si>
  <si>
    <t xml:space="preserve">J'ai en vain essayé de négocier un geste commercial pour mon assurance auto 2021 (après 4 années chez eux). Réponse : je ne peux rien faire. Sur 860€ annuel. Je les quitte donc pour un concurrent qui me propose presque 200€ de moins à garanties équivalentes. 
En conclusion : bonnes garanties mais pas commercial ! 
</t>
  </si>
  <si>
    <t>26/11/2020</t>
  </si>
  <si>
    <t>01/11/2020</t>
  </si>
  <si>
    <t>sebastien--123401</t>
  </si>
  <si>
    <t>Clients depuis 1972 avec notre famille. Je gère moi même l'intégralité des contrats de mes parents, enfants et les miens. Cette année, le responsable de l'agence de Troyes me notifie le passage de ma franchise à 300 euros au lieu de 100 euros par mail. Si réponse négative.  Il résilie mon contrat. Un seul sinistre responsable ! En 6 ans pour mon vehicule.  Jamais été embêté auparavant. 2 fois cette année pour un bout de grillage avec brise vue à changer aussi. Bref rdv téléphonique vendredi 16 avec lui. S'il souhaite mon départ et ben j'irais ailleurs  près de 5000 euros de contrat à l'année plus assurance vie dynalto. On transféra dans un autre établissement. Déçu quand même. Pas très professionnel.</t>
  </si>
  <si>
    <t>14/07/2021</t>
  </si>
  <si>
    <t>mamie-jojo-138360</t>
  </si>
  <si>
    <t xml:space="preserve">Amina ta a été très compétente et très agréable suite à ma demande sur un remboursement dentaire 
Promesse de remboursement d ici fin de semaine j espère que le délai sera tenu !!!
</t>
  </si>
  <si>
    <t>Néoliane Santé</t>
  </si>
  <si>
    <t>27/10/2021</t>
  </si>
  <si>
    <t>thierry-t-118054</t>
  </si>
  <si>
    <t xml:space="preserve">Prix bien - simple et efficace pour l'instant .. Pas trop d'attente au telephone
J'espère n'avoir aucun sinistre mais si c'est le cas, espère que le traitement du sinistre sera de meme simple et efficace.  
</t>
  </si>
  <si>
    <t>24/06/2021</t>
  </si>
  <si>
    <t>sergecassis-116631</t>
  </si>
  <si>
    <t>uen catastrophe , ils m'ont mis en demeure de payer alors que c'est eux qui on fait un mauvais mandat de prelevement et que j'ai regulierement payer par carte bancaire ..
par correction j'attend leur reponse a tout ca et le diffuserais 
je suis furieux contre ce genre de personnes .. fuyez cette assurance qui vous attire par leur cote mutuelle mais c'est faux .. a part votre argent il veulent rien pour vous .</t>
  </si>
  <si>
    <t>Mutuelle des Motards</t>
  </si>
  <si>
    <t>10/06/2021</t>
  </si>
  <si>
    <t>wdom-25536</t>
  </si>
  <si>
    <t>Aucun suivi de dossier sinistre. apres relance, le dossier est accepté puis plus rien et pas d'indemnisation apres 6 mois pour moins de 1000E de sinistre. Inacceptable. Contacté par téléphone, un interloccuteur au bord de la depression de devoir travailler dans de telles conditions.</t>
  </si>
  <si>
    <t>19/02/2020</t>
  </si>
  <si>
    <t>01/02/2020</t>
  </si>
  <si>
    <t>yan-129711</t>
  </si>
  <si>
    <t xml:space="preserve">Après contact téléphonique, mon interlocuteur Soufiane a répondu à mes attentes. J’avais des problèmes pour activer mon espace client, et c’est chose faite. Bravo et merci pour vos conseils </t>
  </si>
  <si>
    <t>Santiane</t>
  </si>
  <si>
    <t>27/08/2021</t>
  </si>
  <si>
    <t>bernardsans-68785</t>
  </si>
  <si>
    <t>Cette compagnie, attractive lorsqu'on l'appelle pour souscrire, montre son vrai visage au premier sinistre. J'ai chez eux 5 contrats que je vais résilier au plus tôt.</t>
  </si>
  <si>
    <t>21/11/2018</t>
  </si>
  <si>
    <t>bano54-77530</t>
  </si>
  <si>
    <t>Je vient simplement de perdre  6566 euros car ce placement ne faisait que de dégringoler et suite à la résiliation après 9 ans de cotisations voilà le résultat. Afiesca gagnant et petit épargnants perdant</t>
  </si>
  <si>
    <t>Afi Esca</t>
  </si>
  <si>
    <t>11/07/2019</t>
  </si>
  <si>
    <t>julius6911-97649</t>
  </si>
  <si>
    <t>Très bonne mutuelle prenant en charges une bonne partie des frais médicaux et un service d'accompagnement très bien , à l'écoute et réponde à toute les question.</t>
  </si>
  <si>
    <t>Génération</t>
  </si>
  <si>
    <t>21/09/2020</t>
  </si>
  <si>
    <t>01/09/2020</t>
  </si>
  <si>
    <t>melanie-m-133677</t>
  </si>
  <si>
    <t xml:space="preserve">Je suis très satisfaite du service et des prix pratiqués , ainsi que des moyens de contacts très pratique comme messenger ou WhatsApp quand on n’a pas le temps de rester au téléphone . </t>
  </si>
  <si>
    <t>angelo-a-122183</t>
  </si>
  <si>
    <t xml:space="preserve">nul, aucune ecoute, veux se debarasser de vous au telephone 
j'ai souscrit une assurance le 01/07/2021 et je ne peu bénéficier de la promo en cour pour avoir un meilleur prix </t>
  </si>
  <si>
    <t>02/07/2021</t>
  </si>
  <si>
    <t>bouba-75712</t>
  </si>
  <si>
    <t>A EVITER ABSOLUMENT POLITIQUE COMMERCIALE DEPLORABLE SERVICE CLIENT EN DESSOUS DE TOUT</t>
  </si>
  <si>
    <t>Eca Assurances</t>
  </si>
  <si>
    <t>animaux</t>
  </si>
  <si>
    <t>25/07/2019</t>
  </si>
  <si>
    <t>maheauna-95817</t>
  </si>
  <si>
    <t xml:space="preserve">A FUIR!!! très rapide pour souscrire mais impossible de trouver sur leur site une traçabilité des contacts et 6 mois après remboursement d'un véhicule sinistré et envoyé à la casse, on est encore prélevé sans possibilité de trouver un interlocuteur capable de nous indiquer les démarches et documents nécessaires pour clore le dossier !!! </t>
  </si>
  <si>
    <t>moto42-115087</t>
  </si>
  <si>
    <t>Bonjour .
J'ai contracté une assurance moto  le 04/03/2021 et j'ai payé 2 échéances par CB.Puis on a reçu un échéancier qui démarre le 04/06/2021.Nous avons envoyé le mandat SEPA.
La grosse blague, je reçois une mise en demeure LE 27/04.Je les appel et leur explique que l'échéancier démarre en juin et que 2 échéances ont été payées.Ils s'excusent et disent ne pas en tenir compte.Et rebelote, aujourd'hui je reçois encore une mise en demeure.
J'appel et même réponse.On se fou du monde.C'est vraiment le bordel.J'espère ne pas avoir de sinistre car si c'est autant le bordel, je ne sais pas comment ça va être géré!!Messieurs les responsables du service compta, suivez-bien vos dossiers.Merci.En tout les cas je ne vais pas rester chez APRIL!!!</t>
  </si>
  <si>
    <t>27/05/2021</t>
  </si>
  <si>
    <t>philoo27-71651</t>
  </si>
  <si>
    <t xml:space="preserve">Je vous déconseille cette assurance 
Suite à une annulation contrat
Du fait d'un non respect de leurs engagements 
Ils ont bloqué mon compte secu avec une inscription en doublon et ont beaucoup de mal à me rembourser des prélèvement effectué sur mon compte  </t>
  </si>
  <si>
    <t>25/02/2019</t>
  </si>
  <si>
    <t>lionel-g-123728</t>
  </si>
  <si>
    <t>il y a un beug sur votre document. A la page où l'on doit redonner son adresse, le code postal et la ville sont pré enregistrés et il est impossible de le changer. Donc j'ai un mélange entre mon lieu de résidence et le lieu où est stockée ma moto. Mon adresse est bien comme c'est indiqué sur le relevé d'information et non pas à Saint Martin de Fenouillet. Ma moto est stockée à Saint MArtin. Les 2 villages ont le meme code postal qui peut preter a confusion. Veuillez donc rectifier l'erreur sur la carte verte d'assurance. Merci</t>
  </si>
  <si>
    <t>18/07/2021</t>
  </si>
  <si>
    <t>jetfusion-138103</t>
  </si>
  <si>
    <t>Une catastrophe !
Avec ma femme nous avons voulu faire des economies en voulant changé d'assurance de pret, et nous avons choisi ZENUP qui étais le mieux noté, mais nous avons vite déchanté.
Nous avons entamé les démarches au mois de Juin 2021, et aujourdhui en octobre le dossier n'ai toujour pas fini, et meme pire nous nous retrouvons à payé l'ancienne assurance de pret de 120€/mois et la nouvelle d'environs 80€/mois , SUPER les economies, tous çà car il y a de gros problèmes chez eux, en effet nous pensions que ZENUP étais notre nouveau assurreur et qu'il allais s'occupé de tous alors que dans les fait ils sont seulement INTERMEDIAIRE en assurance, deplus au bout de 1 mois environ ils nous n'avions pas de nouvelle de leurs part car ils nous ont renvoyé sur une autre platforme qui s'appelle MULTIIMPACT qui soit disant devais etre notre nouveau interlocuteur, mais dans les fait après une dizaine d'appels et de courriels, meme chez eux ils ne savent pas vers quel platforme diriger leurs client.
En suite il a fallu se battre avec eux car l'accès à l'espace client MULTIIMPACT de ma femme ne fonctionnais pas, nous avons perdu encore 1 mois !
Pour résumé d'après ce que j'ai compris de leurs milfeuilles de société :
1ere société = comparrateur d'assurance styles : les furets.com
2ème société = ZENUP, qui vous compare et vous propose la meilleur assurance
3éme société = pour nous = GENERALI (qui es le vrai assureur !)
4éme société = MULTIIMPACT, qui sert à soit disant faire le liens avec notre nouveau assureur
5éme société = Notre assurance de groupe CREDIT AGRICOLE (ancienne assurance)
Ca fait un paquet d'intermédiaire !
Au final pour résumé, oublié ces incompétant de chez ZENUP, et demandé directement votre nouvelle assurance auprès de l'assureur que vous avez choisi.
Nous avons perdu 4 mois de notre temps avec eux et 360€ + les 8 lettres recommandés car au final c'est nous meme qui faisons l'intermédiaire entre l'ancienne et la nouvelle assurance !</t>
  </si>
  <si>
    <t>23/10/2021</t>
  </si>
  <si>
    <t>kogreyabissoti-k-125897</t>
  </si>
  <si>
    <t>Je suis satisfait du service et des garanties, cela me convient.
Même si j'aurai voulu avoir encore moins cher :)
Surtout merci Direct Assurance.
Cordialement</t>
  </si>
  <si>
    <t>philippe-m-108209</t>
  </si>
  <si>
    <t>Comme toutes les assurances, vous augmentez tous les ans vos tarifs de façon significative ce qui nous "encourage" à aller voir ailleurs... Et bien souvent ces augmentations ne sont pas justifiées.</t>
  </si>
  <si>
    <t>27/03/2021</t>
  </si>
  <si>
    <t>janroy-104284</t>
  </si>
  <si>
    <t>Adhérent de la Mutuelle Générale de la Police depuis de nombreuses années, j'ai pu constater une évolution permanente de notre mutuelle pour apporter les meilleures prestations et services aux adhérents.
 Malgré cette multiplication des services, la présence des hôtesses, leur travail leur efficacité au téléphone rend la mutuelle plus humaine et fraternelle.
 La mise à disposition des opérations de paiement, des listes de partenaires etc..., le maintien du courrier papier malgré la vague de courrier dématérialisé, tout cela est la marque de la solidarité MGP.</t>
  </si>
  <si>
    <t>16/02/2021</t>
  </si>
  <si>
    <t>01/02/2021</t>
  </si>
  <si>
    <t>hamza-s-125789</t>
  </si>
  <si>
    <t>Je suis satisfait de votre service en ligne prix abordable et facilité sur internet et facilité de paiement merci cordialement Jsuis vraiment satisfait merci</t>
  </si>
  <si>
    <t>31/07/2021</t>
  </si>
  <si>
    <t>cyb66-97806</t>
  </si>
  <si>
    <t xml:space="preserve">Pas d alignement sur la concurrence en raison de contrat unique ... Mais déjà sollicité pour 2 autres contrats en vain ... Donc pas de contrats multirisques ! Parti chez April ! </t>
  </si>
  <si>
    <t>24/09/2020</t>
  </si>
  <si>
    <t>momo8825-106997</t>
  </si>
  <si>
    <t xml:space="preserve">A FUIR !.......... Après 3 sinistres dont 2 non responsables, la GMF vous éjecte en résiliant votre contrat. Ne perdez pas votre temps à prendre un rdv avec un conseiller, aucune négociation possible........"il nous est impossible de déroger aux décisions prises par la direction de Paris!".(un algorithme informatique qui traite en automatique les contrats). Mais n'ayez aucune crainte, la GMF ne vous abandonnera pas, elle vous proposera un contrat chez JOKER ASSURANCES .........FILIALE DE GMF qui se fera un plaisir de vous réassurer en augmentant de 50% vos échéances et en doublant votre franchise ! un bon procédé pour améliorer les résultats du groupe ! Après consultations j'ai souscrit un contrat chez un spécialiste des "rejetés" à moitié prix de la GMF ! Après coup, je ne suis pas mécontent de cette résiliation qui m'a permis de faire des économies ! </t>
  </si>
  <si>
    <t>poirier-m-113261</t>
  </si>
  <si>
    <t>La conseillère que j'ai eu en ligne était très professionnelle et à l'écoute ! Les prix sont plus que correct (55€/mois moins cher pour la même voiture) je recommande.</t>
  </si>
  <si>
    <t>10/05/2021</t>
  </si>
  <si>
    <t>leo-h-128406</t>
  </si>
  <si>
    <t xml:space="preserve">Je suis moyennement  satisfait du prix et plutôt satisfait du service suite a la conversation téléphonique avec votre service de souscription. rapide et efficace. </t>
  </si>
  <si>
    <t>17/08/2021</t>
  </si>
  <si>
    <t>akhenaton971-108463</t>
  </si>
  <si>
    <t>bonjour je fait court;3 contrat moto/voiture/habitation. 1- En 2018 je me fait pillé/piquer ma moto et je reviens  quelque mois âpres avec une moto moins puissante, certes neuve et dans une catégorie de pillage moindre, et "PAFF"' me dit ben non on peut pas vous assuré ......seul sinistre moto, 50%+3ans et hop! En résumé, vous ne nous avez pas assée rapporter €€ pour que l'on vous rassure. 2- fin 2019 impacte, et fissure par brise, non réparable a la résine donc changement de par brise. 3-2020 je suis en stationnement et un bus me sinistre le coté gauche de mon véhicule constat non responsable). 4-fin 2020 on me force ma porte de mon box je signale a "PAFF" (envois des photo)vue les dégât (juste une éraflure latéral) je me dit pas la peine de faire changer une port pour cela (je ne peut dire quel démarche "PAFF" aurais exécuté ?? 5-Et pour Noël le CADEAUX:le jolie courrier de résiliation déjà formaté et envoyer a tous ceux qui ne rentre pas dans le moule: "trois an trois sinistre dehors" (oui oui PAFF je me sui bien renseignée auprès de la concurrence sur ces courrier j'en n’ai même vue de vos ex client dans d’autre agence). en résumé aujourduit pour être sur je suppose qu'il faut changer d'assurance tous les ans.
Merci de vos avis et conseil.    PS: dés fois il ne faut pas en vouloir au agent dans les agence car il doivent faire du chiffre........mais y en des très sympa mais pas ceux de votre agence. Cordialement a tous</t>
  </si>
  <si>
    <t>30/03/2021</t>
  </si>
  <si>
    <t>redgio-103680</t>
  </si>
  <si>
    <t>Le détail des assurances contractées n'est pas détaillé au mois, ce qui prête à un oubli désastreux. Deux mois gratuits pour l'assurance de la 2ème voiture n'a pas été appliqué en tant que nouveau contrat !</t>
  </si>
  <si>
    <t>04/02/2021</t>
  </si>
  <si>
    <t>nathalie-c-133509</t>
  </si>
  <si>
    <t>Je suis assurée à la GMF depuis longtemps. Il y a deux ou trois ans, ma voiture a subi trois bris de glace successivement pour des raisons différentes. Vous m'avez menacée de résilier mon contrat de manière fort peu courtoise et avez augmenté ma franchise. Votre service est très efficace dans certains cas : modification du contrat au téléphone, assistance mais cet échange difficile pour un bris de glace m'a donné une idée relativement négative de vos services. Je me suis renseignée pour quitter la GMF pour la MAIF.</t>
  </si>
  <si>
    <t>19/09/2021</t>
  </si>
  <si>
    <t>sebastien-h-123303</t>
  </si>
  <si>
    <t>Les services pour les sinistres sont très réactifs et les services client propose  des tarifs correspondant aux besoins et sont très satisfaisant.
Je recommande cet assurance.</t>
  </si>
  <si>
    <t>13/07/2021</t>
  </si>
  <si>
    <t>jora-102198</t>
  </si>
  <si>
    <t xml:space="preserve"> Frais de dossier non rembursable. Pas pour etrangers: "Malheureusement, nous ne reprenons pas les antécédents étrangers." Plus: ils répondent sur fb.</t>
  </si>
  <si>
    <t>05/01/2021</t>
  </si>
  <si>
    <t>domallia-58712</t>
  </si>
  <si>
    <t>Gros problème pour résilier notre assurance auto. Jamais aucun accident à notre actif, donc nous ne pouvons juger les prestation en cas d'accident . Notre futur assureur a envoyer une lettre de résiliation comme la loi l'autorise, avec accusé réception, ils affirment n'avoir rien reçu alors que nous savons que c'est faux. Pacifica refuse toute relation avec l'assureur que nous avons choisi mais est totalement incorrect avec nous.
Idem pour l'assurance habitation.</t>
  </si>
  <si>
    <t>09/11/2017</t>
  </si>
  <si>
    <t>romeo-m-129630</t>
  </si>
  <si>
    <t>le prix correcte pour une veille voiture qui à bientot 30 ans et avec 13 ans de bonus à 0.50
 site rapide et clair maintenant reste plus à tester direct assurance pour ce faire un avis</t>
  </si>
  <si>
    <t>26/08/2021</t>
  </si>
  <si>
    <t>carla-93415</t>
  </si>
  <si>
    <t xml:space="preserve">Les prix sont correct comparé a la concurrence. De plus, les réductions familles sont super.
Or, j'ai fais plusieurs demande de devis entre hier et aujourd'hui, les questions ainsi que les montants ont changés </t>
  </si>
  <si>
    <t>07/07/2020</t>
  </si>
  <si>
    <t>01/07/2020</t>
  </si>
  <si>
    <t>flo-75654</t>
  </si>
  <si>
    <t xml:space="preserve">cliente depuis plusieurs années je suis vraiment agréablement satisfaite de l ensemble des prestations dont je bénéficie par rapport au prix payé. </t>
  </si>
  <si>
    <t>06/05/2019</t>
  </si>
  <si>
    <t>01/05/2019</t>
  </si>
  <si>
    <t>coco-64720</t>
  </si>
  <si>
    <t>Non prise en charge d un sinistre dégâts des eaux, une seule lettre de refus ,pas de reponse aux mails et lettre
recommandée. nous n'existons plus.Incorrection totale A EVITER CAR POUR MOINS DE PRISE EN CHARGE? VOUS POURREZ TROUVER MIEUX</t>
  </si>
  <si>
    <t>12/06/2018</t>
  </si>
  <si>
    <t>01/06/2018</t>
  </si>
  <si>
    <t>bali-a-121176</t>
  </si>
  <si>
    <t>Je suis très satisfait du service, équipe très aimable et réactive. Tarifs très intéressants, j'ai eu plusieurs devis des autres compagnies, et je n'ai pas trouvé mieux... Je recommande ??</t>
  </si>
  <si>
    <t>25/06/2021</t>
  </si>
  <si>
    <t>andrieu-s-122637</t>
  </si>
  <si>
    <t>Très réactif à toute demande! Je recommande!
Des contracts très bien expliquer par les conseillers et toujours à l’écoute des clients rien à rajouter merci</t>
  </si>
  <si>
    <t>07/07/2021</t>
  </si>
  <si>
    <t>vdelpy-63214</t>
  </si>
  <si>
    <t>j ai reçu une mise en cause d un sinistre auto sans même être au courant, sur un parking je met mon clignotant afin d effectuer ma manœuvre pour me garer en marche arrière normalement sans gêne et sans problème la petite dame derrière moi pris peur ( pourquoi????) enclenche sa marche arrière apparemment percute un autre véhicule .. bon moi je continue ma journée et voila pas que 15 jours après je reçois un courrier m impliquant et le comble mon assurance me met 100% responsable je crois rêver..... Macif très mauvais conseil et ne se prend pas la tête pour te comprendre et te défendre????????????</t>
  </si>
  <si>
    <t>12/04/2018</t>
  </si>
  <si>
    <t>01/04/2018</t>
  </si>
  <si>
    <t>daniel-b-105153</t>
  </si>
  <si>
    <t>Satisfait des prix et du service. Je regrette toutefois de n'avoir pas pu assurer un autre véhicule ni pouvoir donner les explications qui me paraissaient nécessaires.</t>
  </si>
  <si>
    <t>02/03/2021</t>
  </si>
  <si>
    <t>frederique-132668</t>
  </si>
  <si>
    <t>Tout va bien lors de la souscription....mais au 1er sinistre ils vous jettent dehors avec des procédures non sécurisées, vous mettant dans l'impossibilité même de savoir que votre assurance est résiliée et vous plaçant ainsi dans une situation incroyable; ils confondent l'annulation de l'assurance d'une logement avec une autre, et de même résilient l'assurance maison sans vous en avertir.
Et quand vous découvrez tout cela de manière fortuite et demandez à parler à un responsable, vous passez des heures au téléphone, sans jamais avoir une réponse cohérente ni définitive....et vous constatez qu'en plus, ils ne retrouvent pas certains dossiers!et quand ils font une réponse d'attente à votre réclamation, ils l'envoient....à mon fils, qui n'a rien à voir avec ce dossier.
Ce serait un gag si cela ne nous plongeait pas dans des difficultés sans nom depuis plusieurs jours...
A fuir  de toute urgence!</t>
  </si>
  <si>
    <t>13/09/2021</t>
  </si>
  <si>
    <t>ferreira-j-109994</t>
  </si>
  <si>
    <t xml:space="preserve">Simple et pratique le prix me convient  je donne une note pour l'ensemble  de 19 sur 20 car même le dépannage et tres pratique et rapide que se né pas le caavec d'autre assurance </t>
  </si>
  <si>
    <t>11/04/2021</t>
  </si>
  <si>
    <t>c-p-101435</t>
  </si>
  <si>
    <t xml:space="preserve">Insatisfaction totale!!!!
Cliente Sogessur depuis 20 ans pr habitation, tarif qui a plus que doublé en 10 ans et cette année 160e annuel par rapport à  la précédente, appel pr explication, comme d’hab très floue, et au bout de plusieurs minutes, mon interlocuteur me prévient qu’il doit mettre un terme à notre entretien. Je connais un  peu le travail en plate-forme et je sais que ce n’est pas l’employé qui décide mais un système automatique (rentabilité oblige) surtout si pas de produit souscrit à la fin.
Donc ns allons aller voir ailleurs si le ciel est plus bleu, ms pas très optimiste au vu des commentaires lus sur les concurrents
</t>
  </si>
  <si>
    <t>Sogessur</t>
  </si>
  <si>
    <t>14/12/2020</t>
  </si>
  <si>
    <t>01/12/2020</t>
  </si>
  <si>
    <t>patrickmolette-63813</t>
  </si>
  <si>
    <t>vous êtes les plus chers du marché, donc pas la peine de rester chez</t>
  </si>
  <si>
    <t>05/05/2018</t>
  </si>
  <si>
    <t>01/05/2018</t>
  </si>
  <si>
    <t>jefseb-59008</t>
  </si>
  <si>
    <t>Sociétaire depuis plus de 20 ans , voilà qu'au premier pépin sur mon habitation, la macif refuse toute indemnisation.... On doit partir au conflit...navrant</t>
  </si>
  <si>
    <t>21/11/2017</t>
  </si>
  <si>
    <t>coquerel-p-110712</t>
  </si>
  <si>
    <t>Malgré le temps passé au téléphone, homme sympathique et patient pour valider ma demande. Les prix sont correct et conditions de souscription faciles.</t>
  </si>
  <si>
    <t>16/04/2021</t>
  </si>
  <si>
    <t>dadurian-104123</t>
  </si>
  <si>
    <t>Lorsque j'étais salarié, cette mutuelle marchait très bien, j'étais remboursée rapidement. Elle remboursait d'ailleurs très bien mes soins d'orthodontie et optique. Mais depuis que je suis au chômage en portabilité des droit c'est un enfer !!!!! Ils font trainer les remboursements (+3 mois), demandent des justificatifs que je leur ai déjà communiqué pour allonger davantage les délais de remboursement. Bien qu'au chômage, j'ai encore le droit à la surcomplémentaire santé, cependant ils me remboursent sur la base des montants des garanties de base. J'ai beau leur envoyer par courrier les factures avec un mot précisant ma situation rien n'y fait. Ils continuent à faire des erreurs dans mes remboursements !! Pas un seul de mes remboursements n'a été correct depuis. Ils abusent !</t>
  </si>
  <si>
    <t>Mercer</t>
  </si>
  <si>
    <t>13/02/2021</t>
  </si>
  <si>
    <t>celiamandine45-65704</t>
  </si>
  <si>
    <t xml:space="preserve">Personnel a l accueil très désagréable je n ai pas pu m assurer la personne m à renvoyer en me disant qu’elle serait trop chère 
Et a téléphoné à mon ancien assureur pour se renseigner devant moi j avis l impression d être dans un commissariat alors que j’en suis en bonus et n ai eu aucune résiliation ni retrait de permis </t>
  </si>
  <si>
    <t>23/07/2018</t>
  </si>
  <si>
    <t>01/07/2018</t>
  </si>
  <si>
    <t>catherine-d-130746</t>
  </si>
  <si>
    <t>Le prix pratiqué est très compétitif par rapport à la concurrence.
A chaque fois que je l'ai sollicité, le service assistance a généralement été plutôt efficace.</t>
  </si>
  <si>
    <t>02/09/2021</t>
  </si>
  <si>
    <t>titie-66044</t>
  </si>
  <si>
    <t>Avec mon mari on a souscrit une assurance à 100% en cas d'accident et maladie chez bnp Paribas mon mari à eu une fracture du fémur depuis mars 2018 on a donner tous les papiers pour être indemniser</t>
  </si>
  <si>
    <t>08/08/2018</t>
  </si>
  <si>
    <t>simon-f-132855</t>
  </si>
  <si>
    <t>Satisfait du site internet. Beaucoup moins de la hotline, le commercial ayant essayé de me vendre à tout prix une formule que je ne souhaitais pas (tous risques).</t>
  </si>
  <si>
    <t>14/09/2021</t>
  </si>
  <si>
    <t>yourel26-65850</t>
  </si>
  <si>
    <t>En arret de travai du 09/10/17 au 05/07/18, j'ai un contrat prévoyance chez SwissLife souscrit par mon employeur. Impossible d'obtenir mon complément de salaire. J'ai essayé de contacter SwissLife mais n'ayant pas de numero adhérent perso, ils ne peuvent pas me répondre. Mon employeur lui dit avoir fait le necessaire! J' ai également contacté l'inspection du travail. Ne sachant plus comment faire, Je pense faire appel à ma protection juridique, Swisslife ne répondant à aucun de mes appels et mails.</t>
  </si>
  <si>
    <t>SwissLife</t>
  </si>
  <si>
    <t>29/07/2018</t>
  </si>
  <si>
    <t>hegazy-s-138642</t>
  </si>
  <si>
    <t xml:space="preserve">le prix est élevé car j'ai changé le pare brise 
c'est pas ma faut ( caillot) , et j'étais obligé de changer la pare brise
il faut classifier Les sinistres 
Bien cordialement </t>
  </si>
  <si>
    <t>30/10/2021</t>
  </si>
  <si>
    <t>emmanuel-s-113571</t>
  </si>
  <si>
    <t>si j avais su plus tôt qu on pouvait resilier au bout dun an de contrat, je vous aurais rejoint plus tôt. donc j attendais la date anniversaire de mon contrat. mes economies sont tres importantes sur ce contrat</t>
  </si>
  <si>
    <t>mena-66591</t>
  </si>
  <si>
    <t>j'ai un un premier accident avec délit de fuite portière enfoncée, j'avais un témoins , j'ai déposé plainte, l'assurance n'aurait jamais réussi à le joindre !!! sauf moi ! donc affaire classée, ça a duré des mois, deuxième accident toujours pas en tort on me rentre dans l'arrière et aucunes nouvelles de l'assurance ! au premier accident je vendais mon véhicule 6000 euros, aujourd'hui en galère financière et aucunes nouvelles j'ai du me résoudre à la brader à 3500,</t>
  </si>
  <si>
    <t>22/11/2019</t>
  </si>
  <si>
    <t>01/11/2019</t>
  </si>
  <si>
    <t>fred-76118</t>
  </si>
  <si>
    <t>Un conseil....oubliez cette assurance. ..
Depuis mars suite à une tempête. ..après je ne sais combien de mails et de coup de téléphone. ...notre dossier n'est toujours pas traiter...</t>
  </si>
  <si>
    <t>Crédit Mutuel</t>
  </si>
  <si>
    <t>21/05/2019</t>
  </si>
  <si>
    <t>sony13-71404</t>
  </si>
  <si>
    <t>Bonjour, je suis cliente à la matmut depuis une vingtaine d'année, ainsi que toute ma famille. Je n'ai jamais eu aucun soucis à part ce 25/01/2019. mon véhicule a été volé. je suis assurée en tous risque performance. Et mon conseiller m'a expliqué qu'au bout de 20 jours, je suis indemnisée. Les 20 jours sont largement passées et la personne qui s'occupe de mon dossier, me demande un document chaque lundi, et elle m'a annoncé que les 20 jours démarreront dès qu'elle aura réceptionné tous les documents. Est ce normal que chaque lundi elle me demande un document ?
Je suis sans véhicule, nous sommes 5 membres de ma famille a être assurée depuis plus de 20 ans, et au premier sinistre ça se passe comme ça, c'est décevant.
et j'ai relancé ce jour, on me dit que mon dossier est en cours. Je suis sans véhicule, je travaille à l'opposer, et je n'ai aucun moyen d'être indemnisé.
Pourtant on continue à débiter mes échéances, ça c'est normal même si la voiture a été déclaré volé.</t>
  </si>
  <si>
    <t>18/02/2019</t>
  </si>
  <si>
    <t>laurentmagoia-124353</t>
  </si>
  <si>
    <t xml:space="preserve">Fuyez cette compagnie d'assurance
On paie des assurances hors de prix et la couverture est minable
Service clientèle déplorable et pas a l'écoute du tout du client </t>
  </si>
  <si>
    <t>23/07/2021</t>
  </si>
  <si>
    <t>piemont-101513</t>
  </si>
  <si>
    <t>Je déconseille fortement je vais être factuel.
Au lieu d'un contrat souscrit, vous croyez en signer un, il vous en fourgueront 3.
Vous venez pour signez une mutuelle, vous allez vous retrouver au final, avec une mutuelle à 25€, un contrat protection hospitalière à 10€, une protection blessures à 10€. Le tout sur le même bulletin d'adhésion de 3 pages, coché en tout petit à votre insu page 2.
Vous paierez donc 45€ / mois pour 25€ de protection réelle. Le reste est bidon, c'est de la prévoyance. A la résiliation, on vous résiliera la vraie mutuelle à 25€, mais les 20€ mensuels de marge restant continueront de courir. Il faut 3 courriers de résiliation pour 3 contrats.
Je connais quelqu'un qui y a travaillé et m'a confirmé que ces pratiques sont une volonté RH et direction générale pour "marger" sur les adhérents. C'est une vrai assurance, un moulin de turn-over de commerciaux pleins de belles paroles à politique de chiffre, pire qu'une banque.
Partez en courant.</t>
  </si>
  <si>
    <t>Harmonie Mutuelle</t>
  </si>
  <si>
    <t>16/12/2020</t>
  </si>
  <si>
    <t>marie-t-126665</t>
  </si>
  <si>
    <t>Je suis satisfaite du site. Le prix me convient.. Je le conseillerais à d'autres personnes. Ce site est très pratique, simple et convivial. Merci pour ce site.</t>
  </si>
  <si>
    <t>05/08/2021</t>
  </si>
  <si>
    <t>baudouin-e-122725</t>
  </si>
  <si>
    <t xml:space="preserve">Je suis satisfaite du service pratique et rapide les prix sont convenables
Les services téléphoniques sont également bon
La demande d avis est trop longue </t>
  </si>
  <si>
    <t>barbara-98094</t>
  </si>
  <si>
    <t xml:space="preserve">De mauvaise foi...
On se demande à quoi sert le code de la route.
Avec des règles complètement ahurissantes. 
Du coup même quand vous n'êtes pas responsable de l'accident, ils arrivent à leur fin et à ne rien prendre en charge.
Sans parler du temps d'attente pour avoir quelqu'un au téléphone et pour être dépanné ! 
Déçue et à éviter. 
</t>
  </si>
  <si>
    <t>30/09/2020</t>
  </si>
  <si>
    <t>sylvieco71-86969</t>
  </si>
  <si>
    <t>ma maman avait une prévoyance vie depuis 26 ans, toujours payées les cotisations en temps et en heures; elle est décédée le 18 décembre et depuis je me bat pour toucher l'assurance, au départ on me dit qu'ils ont reçu le courrier le 26 décembre et qu'ils ont 30 jours pour payer, au bout des 30 jours toujours rien je relance par téléphone (18 cts la minute quand même) et là au bout d'un certain temps on me réponds qu'il manque un papier qu'on m'envoie et que je rempli et renvoi dans la même journée, j'attends quelques jours re téléphone et là on me dit que le dossier est bien complet mais qu'ils ont 30 jours pour solder le dossier......  du coup au bout des deuxièmes 30 jours ils vont trouver quoi comme excuses ???? j'appelle toutes les semaines et j'ai toujours la même réponse " votre dossier est en cours ...." vraiment pas SERIEUX Je pense à arrêter toutes les assurances que j'ais chez eux si cela continu.</t>
  </si>
  <si>
    <t>11/02/2020</t>
  </si>
  <si>
    <t>stella-97541</t>
  </si>
  <si>
    <t xml:space="preserve">Autant la MAIF au niveau de l'assurance auto est au top, autant en ce qui concerne l habitation c est lamentable...
Cela fera pratiquement un an que j'ai récupéré un bien qui était loué pour y résider moi-même, où beaucoup de choses ont été détériorées par mon locataire en plus des loyers impayés, et j'étais assurée en tant que propriétaire bailleur.
L expert est passé, après 3mois et demi, et maintenant que tous les devis sont prêts, on chipote sur beaucoup de choses, l expert a fait des estimations en deçà des réparations réelles, un artisan m a même dit que cette dame devait faire de la couture avant ...cela va faire quasiment un AN!!!
Toujours est-il, je reste dans l'embarras avec des serrures à changer, la canalisation d'eau principale a ensevelir avant les gelées, etc etc.....????????????
Un ras le bol
</t>
  </si>
  <si>
    <t>bab-78829</t>
  </si>
  <si>
    <t>Assurance qui a la qualité d'être infidèle à ses clients malgré un BONUS max depuis prés de 20 ans...</t>
  </si>
  <si>
    <t>30/08/2019</t>
  </si>
  <si>
    <t>01/08/2019</t>
  </si>
  <si>
    <t>patrick-s-107383</t>
  </si>
  <si>
    <t>Globalement, je suis satisfait des services mais le prix est assez élevé. Je serai intéressé pour trouver une solution pour faire baisser les prix de mes 3 assurances</t>
  </si>
  <si>
    <t>21/03/2021</t>
  </si>
  <si>
    <t>bubblesplatch-114129</t>
  </si>
  <si>
    <t>Au  début c'était les moins chers... le truc c'est qu'ils vous augmentent d'au moins 3 euros par an sans prévenir,  et au final ils sont beaucoup plus chers que les autres!!! donc, ne vous faites pas avoir DIRECT ASSURANCES sont LES PLUS CHERS!!!!</t>
  </si>
  <si>
    <t>18/05/2021</t>
  </si>
  <si>
    <t>janick-74895</t>
  </si>
  <si>
    <t>Rien à signaler pour le moment, je suis très contente de cette assurance auto ! Merci.</t>
  </si>
  <si>
    <t>09/04/2019</t>
  </si>
  <si>
    <t>01/04/2019</t>
  </si>
  <si>
    <t>marc-l-111624</t>
  </si>
  <si>
    <t>Les prix restent correctes, juste une augmentation d'environ 4€ sur la Twingo et 4€ sur l'appartement mais une diminution légère sur l'Audi.
On continue ensemble bien sur!</t>
  </si>
  <si>
    <t>26/04/2021</t>
  </si>
  <si>
    <t>sdg-68433</t>
  </si>
  <si>
    <t xml:space="preserve">En arrêt depuis février 2018 j'ai souscrit dans le cadre de mon entreprise une assurance prévoyance maintien de salaire. A l'heure actuelle toujours aucun paiement aucune communication de ALLIANZ je vis avec 50% de mon salaire et malgré de nombreux appels au service client j'attends encore par contre les prélèvement eux vont très bien. 
Si vous êtes certain de ne jamais avoir de problème dans votre vie allez y sinon réfléchissez bien... </t>
  </si>
  <si>
    <t>08/11/2018</t>
  </si>
  <si>
    <t>chadi-z-124698</t>
  </si>
  <si>
    <t>je suis très heureux pour votre site et j'apprécie votre haut niveau d'intérêt professionnel pour les clients et je vous souhaite du succès .
merci beaucoup</t>
  </si>
  <si>
    <t>25/07/2021</t>
  </si>
  <si>
    <t>philippe-m-125808</t>
  </si>
  <si>
    <t xml:space="preserve">Pour l’usage que j'ai du véhicule le prix me convient "".
Les démarches à distance reste un confort pour ce qui comme moi non pas l'opportunité de passer en agence sans avoir à perdre une demi-journée de travail. </t>
  </si>
  <si>
    <t>mickael-s-132086</t>
  </si>
  <si>
    <t>SATISFAIT DU PRIX, DES INFORMATIONS DONNEES 
SATISFAIT DE LA RAPIDITE DE SOUSCRIPTION 
JE RECOMMANDE CETTE ASSURANCE
QUALITE DES EXPLICATIONS DONNEES PAR TELEPHONE</t>
  </si>
  <si>
    <t>09/09/2021</t>
  </si>
  <si>
    <t>fr-86994</t>
  </si>
  <si>
    <t xml:space="preserve">Bonjour,
Je suis choqué de voir le niveau d'irresponsabilité d'une société comme la votre dans la prise en charge du sinistre dans lequel j'ai été impliqué avec un de vos clients et dans lequel je suis à 100% non responsable.
Depuis le 5/12/2019 vous êtes en possession de tous les éléments concernant ce sinistre.
Je vous ai envoyé plusieurs mail à allianzccau@allianz.fr vous donnant plusieurs éléments complémentaires et le nom de la personne à 
contacter pour l'assurance adverse.
Aujourd'hui, je m'entends dire par votre collaborateur, au service indemnisation, Mr Olivier ELISA, de prendre un avocat car Allianz n'est pas prêt à rembourser mes dégats car je ne suis pas client. Si c'est cela votre politique, de ne pas rembourser les gens innocents et non responsable victime d'une agression routière de la part d'un de vos clients. Pour votre gouverne personnel, j'ai été client chez vous pour l'automobile, la prevoyance, l'habitation.
Je suis choqué par vos propos et si ceci est la seule issue comme votre collaborateur semble le dire, je vais donc aller en justice contre vous et 
relater votre pseudo professionnalisme sur les réseaux sociaux et dans les differentes associations de consommateur.
A bon entendeur
Franck ROBERT
</t>
  </si>
  <si>
    <t>clapasol-30546</t>
  </si>
  <si>
    <t>site simple , parfait , rapide et prix plus que correct, je recommande 
assureur contracter par moteur de recherche via le lynx 
avec différentes options</t>
  </si>
  <si>
    <t>lolo-56914</t>
  </si>
  <si>
    <t>très satisfaite, je ne comprends pas les commentaires négatifs, c est une très bonne assurance. Pour preuve, je l'ai recommandée a tous mes proches</t>
  </si>
  <si>
    <t>28/08/2017</t>
  </si>
  <si>
    <t>01/08/2017</t>
  </si>
  <si>
    <t>baben-99545</t>
  </si>
  <si>
    <t>A fuire. Depuis sept ans que je suis assuré chez eux. Je suis à mon premier sinistre et je suis très déçu. On ne peux les joindre que par téléphone et ils ne répondent pas tout le temps. A chaque fois un nouveau conseiller qui vous parle et leur déclarations sont contradictoire. On sens qu'ils ne veulent pas rembourser et c'était le cas. Ils me demandent de faire la peinture par moi même !!!
Il me propose le tier du devis transmis et il clôture le dossier. 
A éviter.</t>
  </si>
  <si>
    <t>02/11/2020</t>
  </si>
  <si>
    <t>ait-mouhoun-k-125597</t>
  </si>
  <si>
    <t xml:space="preserve">Je suis satisfait du prix simple ai pratiqué merci beaucoup pour plus d infos ou autre je vous contact et en parle au autres des offres à mes salutations ?? merci </t>
  </si>
  <si>
    <t>30/07/2021</t>
  </si>
  <si>
    <t>stanciu-f-111310</t>
  </si>
  <si>
    <t xml:space="preserve">Excellent le service de signature électronique ansi que le support de vos commerciaux. Ces dernier m'on permis de bien comprendre les enjeux de different abbonements, genial ! </t>
  </si>
  <si>
    <t>22/04/2021</t>
  </si>
  <si>
    <t>dominique-w-121126</t>
  </si>
  <si>
    <t xml:space="preserve">Je suis satisfait des devis. J’attends maintenant d.être rappelé afin de vérifier la disponibilité et la compétence du personnel au téléphone .
Merci
Cordialement </t>
  </si>
  <si>
    <t>veronique-97679</t>
  </si>
  <si>
    <t>J'ai souscrit une garantie salaire en 2014. 
Pour la première fois, cette année j'ai eu un arrêt de travail payé à demi-traitement et j'ai fait la demande pour être indemnisée à ce titre. Les différents interlocuteurs que j'ai eu au téléphone ou en agence m'ont très bien reçue. 
Le seul reproche : j'ai fait le mail de demande le 3 septembre et aujourd'hui, 21 septembre, je n'ai toujours pas été indemnisée. La procédure est un peu longue.</t>
  </si>
  <si>
    <t>sans-132566</t>
  </si>
  <si>
    <t xml:space="preserve">Très bien renseigné et résolu Émeline à été très attentive et serviable . J en parlerais à  des proches que en plus d être a l écoute elle m as très bien renseignée et réglé mon soucis </t>
  </si>
  <si>
    <t>nastabti3-52630</t>
  </si>
  <si>
    <t xml:space="preserve">assuré chez eux depuis 2012, je me suis fait avoir sur l'option dépannage kilomètre zéro, tombé en panne a mon domicile ils refusent d'intervenir, puisque c'est le kilomètre 50 de chez soi, je demande donc cette option pour d'autres éventuelles pannes, l'année prochaine on me refait le meme coup en pensant que cette option allait etre reconduite automatiquement, mais pas du tout je trouve cela malsain et pas du tout commercial donc je suis content de s'etre débarrasser de ce contrat en vendant ma voiture !!!
je le déconseille vraiment </t>
  </si>
  <si>
    <t>21/02/2017</t>
  </si>
  <si>
    <t>szala-s-114716</t>
  </si>
  <si>
    <t>Satisfaite de cette assurance. 
Je regrette seulement qu'ils ne tiennent pas compte des clients n'ayant pas de sinistre déclaré et que chaque année les tarifs augmentent. Juste ce bémol là.</t>
  </si>
  <si>
    <t>25/05/2021</t>
  </si>
  <si>
    <t>patrick-r-106187</t>
  </si>
  <si>
    <t>Je suis satisfait du niveaux des prix;
N'ayant eu aucun accident depuis mon inscription à Direct Assurance, il m'est impossible de donner un avis sur le suivi d'un éventuel sinistre.</t>
  </si>
  <si>
    <t>10/03/2021</t>
  </si>
  <si>
    <t>isafalg78-52988</t>
  </si>
  <si>
    <t>Nous sommes clients chez EUROFIL depuis 19 ans et avons demandé un simple devis pour mettre à jour une situation qui changera en Mai prochain.
A la demande d'EUROFIL nous avons dû faire cette demande par écris avec relevé d'information de notre fils. 
Résultat , EUROFIL résilie notre contrat voiture pour le 2 avril prochain  et devons chercher un autre assureur en urgence !!!
Et oui c'est comme ça qu'EUROFIL récompense ses clients fidèles (19ans),  sans AUCUN effort commercial !!!
Nous sommes très déçus. Depuis quelques années la qualité de service de cet assureur se dégrade de plus en plus . Les informations communiquées sont différentes d'un interlocuteur à l'autre (manque de fiabilité ) et ne les recommandons SURTOUT PAS !!!</t>
  </si>
  <si>
    <t>Eurofil</t>
  </si>
  <si>
    <t>04/03/2017</t>
  </si>
  <si>
    <t>01/03/2017</t>
  </si>
  <si>
    <t>steph08-78713</t>
  </si>
  <si>
    <t>En vacances dans un camping , un arbre casse et tombe sur notre voiture, heureusement pas de blessé. La propriétaire du camping nous dit de joindre notre assurance, malgré une assurance tout risque, pas de véhicule de prêt, la voiture va etre remorqué dans un garage sur le lieux de vacance. Pas d expert avant vendredi! Nous devons prendre la route samedi pour retourner chez nous! Seul le rapatriement sera possible! Nous somme deux adultes, ma femme est enceinte et un enfant de 4 ans! On est laissé comme des cons sans moyen de bouger, et encore mieux il faudra revenir chercher la voiture quand elle sera réparer! Comme d habitude les assurances sont la pour prendre les sous mais par contre vous laissent dans la merde quand c est à eux de sortir la monnaie!  Une honte! L assistance nous dit vous serez rapatrié avec ce que vous pouvez prendre avec vous! Donc le vélo du petit et les affaires on ne peut pas les prendre! Merci macif!!! Evidement quand on appelle c est une plateforme donc la personne au téléphone ne sais meme pas qui vous etes a part un numero! Le conseiller qui c est bien garder de dire attention avec notre contrat tout risque vous n êtes pas couvert en cas d accident. Une fois revenu chez nous, les contrats seront fermés! Vraiment fou de se faire avoir depuis des années.</t>
  </si>
  <si>
    <t>27/08/2019</t>
  </si>
  <si>
    <t>pacha-92443</t>
  </si>
  <si>
    <t>Suite à des intempéries en 2018, vent, pluie intense, nous avons subi un dégât des eaux dans plusieurs pièces. La Maif nous a conseillé de laisser sécher et d'intervenir sur le toit sans dédommagement, la garantie décennale étant passée, nous avons pu faire les travaux en 2020. Un mur ayant subi des infiltrations a vu son crêpi détérioré. L'expert a avancé que c'était un problème de vétusté alors que tous les autres murs sont impeccables. Les coups de fil à la MAIf ne donnent rien, car ceux qui répondent ne sont pas qualifiés pour donner un avis. Déplorable, cela fait 40 ans que je cotise et je compte bien chercher une autre assurance.</t>
  </si>
  <si>
    <t>27/06/2020</t>
  </si>
  <si>
    <t>marie-75663</t>
  </si>
  <si>
    <t>Acceuil de Nelly,très bien et les explications sont claires.ma de demande a été traité rapidement.</t>
  </si>
  <si>
    <t>sfeld75-104028</t>
  </si>
  <si>
    <t>Catastrophique.
Cela fait 4 mois que Mercer n'est toujours pas capable de me transmettre mon attestation de tiers payant.
Service client digital ne répond pas. Aucune réponse aux messages en ligne!
Service client au téléphone difficile à joindre et manque de sérieux. 
Il aura fallu que mon employeur leur envoie 4 messages directement pour qu'enfin quelqu'un se penche sur mon dossier.
A ce jour problème toujours pas résolu pour une première demande il y a 4 mois!!
Je déconseille fortement cette mutuelle. A éviter absolument!</t>
  </si>
  <si>
    <t>11/02/2021</t>
  </si>
  <si>
    <t>djkojak-98794</t>
  </si>
  <si>
    <t>Je suis très satisfait des tarifs vraiment compétitifs.
J'ai reçu un très bon accueil et une prise en charge rapide.
Je recommanderais sans problème votre compagnie.
Merci pour tout</t>
  </si>
  <si>
    <t>02/06/2021</t>
  </si>
  <si>
    <t>mehdi9790-71697</t>
  </si>
  <si>
    <t>Victime d un vandalisme le 26/05/2018 vehicule reparer tout justificatif fourni repassage expert qui confirme toute les reparations et toujours aucun reglement a fuir client depuis 11ans et parent 35 ans</t>
  </si>
  <si>
    <t>27/02/2019</t>
  </si>
  <si>
    <t>vincent-b-106516</t>
  </si>
  <si>
    <t>service en ligne plus contraignant pas rapport a mon ancien contrat chez vous .
joindre un conseillé est asse compliqué 
personnel au téléphone plutôt courtois</t>
  </si>
  <si>
    <t>14/03/2021</t>
  </si>
  <si>
    <t>rb81-81400</t>
  </si>
  <si>
    <t xml:space="preserve"> + 6 % d'augmentation en 2019 ET 12,5 % pour 2020 BRAVO Harmonie Mutuelle ! J'appelle ça une augmentation abusive pour ne pas employer un autre terme surtout pour les mêmes garanties ! Surtout lorsque je parcours un article d'argus assurances qui stipule : Au chapitre des contrats individuels, Harmonie Mutuelle consent un effort particulier envers les seniors de plus de 60 ans, dont les cotisations n'augmenteront que de 1,9% contre 2,1% pour le reste du portefeuille (chiffres hors effet âge). Il faut qu'ils m'expliquent alors pourquoi à 65 ans ils me demande +12,5 % d'autant que dans le courrier qui accompagne l'appel à cotisation 2020 il est bien écrit : dans un esprit de solidarité toutefois cette hausse sera moindre pour qui êtes âgé de plus de 60 ans ! Où j'ai raté un épisode ou c'est Harmonie Mutuelle qui n'a pas raté cette augmentation NON JUSTIFIÉE ??? Ce n'est pas une lettre type et évasive sans AUCUNE EXPLICATION sur cette forte hausse accompagnant un appel à cotisation qui va me satisfaire de 12,5% d'augmentation !Et je rajouterai qu'il est facile de dater un appel à cotisation au 01/11/2019 pour qu'il soit tamponné de la poste du 21/11/2019 et qu'on le reçoive dans sa boite aux lettres le 27/11/2019 CHERCHEZ L'ERREUR ! Vivement le 1er décembre 2020 que l'on puisse résilier sans frais et à tout moment et en bonus par mail. HM a du soucis à se faire. S'ils veulent perdre des clients qu'il continuent comme ça ! Quand  à me répondre contactez nous sur notre page FB MERCI mais c'est déjà fait et aucune réponse ! Plus apte à augmenter que de se justifier ! </t>
  </si>
  <si>
    <t>27/11/2019</t>
  </si>
  <si>
    <t>yann-104544</t>
  </si>
  <si>
    <t xml:space="preserve">Un temps de traitement de mon dossier infiniment long. 
Aucune échéance définie
Conseillers incompétents 
Absence de réponse du service contentieux
Début de la procédure de rachat anticipé le 29/05/20
Versement le 19/02/21
Bravo ! </t>
  </si>
  <si>
    <t>21/02/2021</t>
  </si>
  <si>
    <t>habib-bertrand-g-114160</t>
  </si>
  <si>
    <t>j'ai resilié suite à une augmentation du tarif que je n'ai pas compris. 
j'etais satisfait jusque là. dommage nous avions 2 vehicules assurés chez vous.</t>
  </si>
  <si>
    <t>zoiseaudesiles06-104426</t>
  </si>
  <si>
    <t>Tres bonne mutuelle ou je suis depuis 49 ans. Aucun problème  bonne écoute  et concurrentiel  par rapport aux autres mutuelles sur le marché. a RECOMMANDER</t>
  </si>
  <si>
    <t>18/02/2021</t>
  </si>
  <si>
    <t>esnault-l-112453</t>
  </si>
  <si>
    <t xml:space="preserve">Super satisfait de retrouver une assurance à un prix très abordable.  Merci beaucoup et très agréable au téléphone merci encore pour votre professionnalisme </t>
  </si>
  <si>
    <t>03/05/2021</t>
  </si>
  <si>
    <t>lasticot31-52578</t>
  </si>
  <si>
    <t>Surtout comparez ! lorsque je vois l'écart entre deux assureurs pour les mêmes prestations c'est abérent, je suis passé par Santiane, le courtier me permet de rentrer dans les détails et comprendre exactement de quoi traite le RO, tiers payant etc. Ils prennent le temps d'expliquer sans prendre partie donc profitons en. Les économies sont vraiment conséquentes et mesurables....</t>
  </si>
  <si>
    <t>20/02/2017</t>
  </si>
  <si>
    <t>gregpailhes07-79708</t>
  </si>
  <si>
    <t>CAROLINE a été parfaite du début à la fin de notre échange et a su répondre à ma demande très efficacement</t>
  </si>
  <si>
    <t>03/10/2019</t>
  </si>
  <si>
    <t>01/10/2019</t>
  </si>
  <si>
    <t>pascal-nobile-51315</t>
  </si>
  <si>
    <t>A déconseiller. Ils font souscrire les contrats sans vérifier les pièces qu'on leur donne. J'ai eu 2 mauvaises expériences où la souscription du contrat s'est très bien passée puis une fois le paiement encaissé ils reviennent vers vous en trouvant un élément dans le dossier qui n'est pas conforme ... J'ai assuré un véhicule pro, j'ai donnée et ils ont  accepter tout les documents pour souscrire,  puis 1.5 mois après, il se sont apercu que c'était professionnel, chose qu'il ne font pas. Ils m'ont résilié, pris des frais de dossier et j'ai eu beaucoup de mal à retrouver un assureur car j'avais un statut résilié ! Ca m'a couté le double pour trouver un nouvel assureur !
Ils ont fait la même procédure pour une amie qui est jeune conductrice  : souscrit le contrat "jeune conductrice" sans aucuns problèmes puis ont signalé qques semaines plus tard que le relevé d'info devait justifier de 2 ans ... hors la jeune conductrice n'a été assuré une seule année : résultat, ils l'ont mis dehors en résiliant -_x009b_ statut résilié et grosse galère pour trouver une autre assurance !! conclusion Direct Assurance aime les litiges, ils gagnent de l'argent avec les frais de dossier pris lorsqu'ils résilient les contrats ... NE SURTOUT PAS ALLER CHEZ EUX</t>
  </si>
  <si>
    <t>14/01/2017</t>
  </si>
  <si>
    <t>01/01/2017</t>
  </si>
  <si>
    <t>karine-b-110217</t>
  </si>
  <si>
    <t>TRES POSITIF PERSONNEL TRES COMPETENT SAVENT VOUS CONSEILLER ASSURANCE TRES BIEN BON TARIF JE LA RECOMMANDE A TOUT LE MONDE 
TRES BON CONSEILLERS BRAVO</t>
  </si>
  <si>
    <t>13/04/2021</t>
  </si>
  <si>
    <t>henri-s-123506</t>
  </si>
  <si>
    <t>Bonjour, 
Je suis très satisfaite du rapport qualité prix ainsi que l'entretien téléphonique de ce jour, personne très professionnelle.
Cordialement, 
madame HENRI Solène</t>
  </si>
  <si>
    <t>15/07/2021</t>
  </si>
  <si>
    <t>ggregoire83-105570</t>
  </si>
  <si>
    <t xml:space="preserve">Je ne suis assuré chez eux que depuis 4 mois, n'ai eu aucun sinistre et ai souscrit mon contrat pour leur formule tiers intégrale sans franchise qui me convenait bien pour un véhicule de plus de 10 ans et près de 300000kms.
Souscription à 61.49€ par mois... Et déjà une augmentation de 11% sans explications, donc 68€ par mois avec effet rétroactif alors que ma situation n'a pas changé et que je n'ai eu aucun sinistre. Ça commence mal, je vais aller voir ailleurs. </t>
  </si>
  <si>
    <t>05/03/2021</t>
  </si>
  <si>
    <t>hermann-c-133019</t>
  </si>
  <si>
    <t>Bonjour,
Un petit rappel des documents a remplir et renvoyer pour finaliser le contrat serai bien.
Quelques jours avant les 2 mois provisoires. L'obtention des cartes grises étant longues, nous pouvons oublier de finaliser le contrat.
Cordialement
HERMANN C.</t>
  </si>
  <si>
    <t>15/09/2021</t>
  </si>
  <si>
    <t>mathieu-p-130313</t>
  </si>
  <si>
    <t>service sinistre déplorable raccroche ( 3 fois ) au nez des personnes prétextant un problème informatique ou faisant mine de ne pas vous entendre.
tout cela par ce que le première appelle pour déclarer le sinistre a été fait par mon père, qui s'est entendu dire qu'il faisait une fausse déclaration alors il s'était tromper de date de naissance entre ma soeur et moi.Il n'a même pas pus se justifier car la personnes à tout de suite raccroché.
Nous avons cinq contrats chez vous; mon père à décidé après ces événements de changer d'assureur.
re-voyer vos procédures car mon père aurait tout au si bien pût faire la déclaration a ma place sur internet sans être pris pour un escroc</t>
  </si>
  <si>
    <t>31/08/2021</t>
  </si>
  <si>
    <t>neferoura--122595</t>
  </si>
  <si>
    <t>Carte verte non reçue, on arrive à joindre personne que ce soit par mail ou par téléphone, c'est inadmissible!!!!!Je vais donc porter plainte. J'ai déjà envoyé un mail à contact.web@allianz.fr mais je ne m'attends pas à un retour au vu de tous ces messages négatifs. Je ne comprends même pas que cette assurance puisse exister. Avec allsecur il n'y avait aucun pb.</t>
  </si>
  <si>
    <t>06/07/2021</t>
  </si>
  <si>
    <t>philou-90049</t>
  </si>
  <si>
    <t xml:space="preserve">Mutuelle qui a fait ses preuves depuis longtemps, toujours à l'écoute des adhérents. Les garanties sont claires, et précises. Pas de gros remboursements en ce qui me concerne donc difficile à commenter, pas de maladie quant à présent. </t>
  </si>
  <si>
    <t>29/05/2020</t>
  </si>
  <si>
    <t>alekd2497-97580</t>
  </si>
  <si>
    <t xml:space="preserve">L'une des assurances les plus chères du marché, il suffit de comparer sur plusieurs sites pour se rendre compte qu'ils proposent des prix exorbitants (assurance auto en tout cas) par rapport aux autres organismes, pour les MÊMES prestations, voire moins. </t>
  </si>
  <si>
    <t>18/09/2020</t>
  </si>
  <si>
    <t>claude-d-125994</t>
  </si>
  <si>
    <t>Je suis content de la rapidité. J'espère seulement que le service sera aussi rapide quand j'aurai besoin d'utiliser le service. en attendant je suis content</t>
  </si>
  <si>
    <t>02/08/2021</t>
  </si>
  <si>
    <t>alex-127341</t>
  </si>
  <si>
    <t xml:space="preserve">Impossible de les joindre il encaisse les paiements et derrière ne vous envoi pas les papiers,  dirigez vous vers de vrai assureur disponible  car pour gagner 10€ vous allez être livré à vous même , le plus mauvais assureur jamais rencontré </t>
  </si>
  <si>
    <t>AssurOnline</t>
  </si>
  <si>
    <t>10/08/2021</t>
  </si>
  <si>
    <t>pauly-77534</t>
  </si>
  <si>
    <t xml:space="preserve"> je suis assurée depuis le 17/12/2015 chez Active assurance compagnie Altima , référence client 189734 référence police   AAN286496  suite a un sinistre matériel du 19/02/2016 mon coefficient malus est passè a 1,56% . Pour une raison que j'ignore a mon échéance 2018  Active Assurance ma changer de compagnie pour L'équité référence client 343445 référence police AC483099415379  contrat que je n'ai jamais signè 
Malgré un mail au service client et au service réclamation en date du 25/06/2019  demandant des explications et un remboursement du trop perçu et les frais de contrat  , je n'ai jamais eu de nouvelles de leurs service . </t>
  </si>
  <si>
    <t>valou1808-52856</t>
  </si>
  <si>
    <t xml:space="preserve">
J'avais souscrit au mois de Mars 2016 un contrat auprès de Néoliane Santé que j'ai voulu résilier suite à un changement de travail qui a engendré une mutuelle de travail obligatoire. De ce fait j'ai envoyé ma lettre de résiliation ainsi que mon justificatif employeur mais depuis Néoliane fait la sourde oreille, ne veut pas résilier mon contrat à la reception de ma lettre recommandée mais à la date de leur choix. AUCUN RESPECT DE LA LOI EN COURS, à chaque prise de contact, interlocuteur qui ne veut pas comprendre  !!! J'ai interrompu les prélèvements automatiques à l'issue de la date de reception de ma lettre recommandée mais maintenant ils me menacent sans cesse de m 'envoyer au tribunal. 
Si cette histoire n'est pas réglée rapidement, je vais saisir la juridiction compétente par le biais de mon assistance juridique de ma carte bancaire. 
A FUIR TANT QUE VOUS LE POUVEZ  !!
</t>
  </si>
  <si>
    <t>28/02/2017</t>
  </si>
  <si>
    <t>jean-baptiste-g-123775</t>
  </si>
  <si>
    <t>très satisfait du prix de l'assurance. Une assurance c'est bien lorsque l'on en a besoin. nous verrons a ce moment la si l'assistance est a la hauteur.</t>
  </si>
  <si>
    <t>19/07/2021</t>
  </si>
  <si>
    <t>anne-s-133157</t>
  </si>
  <si>
    <t>ça semble un bon rapport qualité prix....sauf la franchise. qui est un peu élevée.
On verra à l'usage (quoique j'espère pas en fait!) 
Et puis, on verra si la pastille n'arrive pas dans les années à venir comme chez les autres.</t>
  </si>
  <si>
    <t>17/09/2021</t>
  </si>
  <si>
    <t>patbou-65612</t>
  </si>
  <si>
    <t xml:space="preserve">0 étoile n'existe pas, sinon c'est ce qu'ils méritent. Suite à une fuite occasionée par une fissure dans les skimmers de ma piscine, dont la cause, selon le technicien appelé, est très probablement un mouvement de terrain, ils m'annoncent ne pouvoir donner suite à ma réclamation, car je n'ai pas opté pour "l'option protection juridique". Sans même se donner la peine d'envoyer un expert ! Ils manquent par là à toutes leurs obligations, en plus de leurs augmentations annuelles scandaleuses. </t>
  </si>
  <si>
    <t>tatiana-87538</t>
  </si>
  <si>
    <t xml:space="preserve">Ne prend pas en charge le passage d'une équipe de séchage de la moquette ou même la location des appareils alors que nous vivons dans un studio recouvert de moquette et intégralement inondé. Et ce, malgré le risque très élevé de développement de champignons et de moisissures rendant l'habitation insalubre, alors même que je suis asthmatique. </t>
  </si>
  <si>
    <t>24/02/2020</t>
  </si>
  <si>
    <t>teleavia-65190</t>
  </si>
  <si>
    <t xml:space="preserve">je répare ma voiture ma camionnette et en  panne un ami me propose  un véhicule a me prête je vais a la maaf  ( je suis a la maaf  de puits plut de 15 ans ) et la une jeune me dit je peut pas assurer le véhicule c est la loi alors je vais tout arrêt mais contrat </t>
  </si>
  <si>
    <t>02/07/2018</t>
  </si>
  <si>
    <t>val-59886</t>
  </si>
  <si>
    <t>Dommage qu'il y à eu un manque de communication entre GMF et ma Banque la Société Générale permettant 
la résiliation de nos assurances. Auto,Maison,Juridique,Assurance vies.</t>
  </si>
  <si>
    <t>22/12/2017</t>
  </si>
  <si>
    <t>01/12/2017</t>
  </si>
  <si>
    <t>kilian--g-123386</t>
  </si>
  <si>
    <t>Très satisfait du service je le recommande efficace rapide et à des tarifs très resonable                                                               Merci</t>
  </si>
  <si>
    <t>david-l-103048</t>
  </si>
  <si>
    <t>Le conseillé a été très efficace et réactif durant toute la procédure. Si cela pouvait être toujours comme cela là. La notion cliente est vraiment comprise.</t>
  </si>
  <si>
    <t>21/01/2021</t>
  </si>
  <si>
    <t>vernusset-t-113939</t>
  </si>
  <si>
    <t xml:space="preserve">1ERE MENSUALITE DE 130€ ALORS QUE INITIALEMENT 40€/MOIS : POURQUOI???? FRAIS DE DOSSIER 16€+1ERE MENSUALITE NE CORRESPONDENT PAS AU TOTAL DE 130€ ET AUCUNE EXPLICATION
 / SOUSCRITPION EN LIGNE OK /  </t>
  </si>
  <si>
    <t>17/05/2021</t>
  </si>
  <si>
    <t>stephanie-k-129153</t>
  </si>
  <si>
    <t xml:space="preserve">Pratique et simple la souscription en ligne 
Tarifs corrects 
Rapide 
Même si on trouve que c’est toujours trop cher une assurance auto 
Je ne vois rien d’autre à dire merci </t>
  </si>
  <si>
    <t>23/08/2021</t>
  </si>
  <si>
    <t>jch-99919</t>
  </si>
  <si>
    <t xml:space="preserve">Mutuelle réactive,  proche de ses adhérents,  toujours de bons conseils, accueil téléphonique sans délai d'attente,  réponses précises,  claires , avec les bonnes orientations pour les soins ou les questions administratives.
Merci  et bravo à Lucie pour sa capacité  d'écoute et de réponses. </t>
  </si>
  <si>
    <t>09/11/2020</t>
  </si>
  <si>
    <t>mout69-130173</t>
  </si>
  <si>
    <t xml:space="preserve">Ils ont augmenté mon tarif d'environ 10% par an ces 2 dernières années malgré le fait que je n'ai pas eu d'accident responsable ces 4 dernières années. A la 1ère augmentation j'ai pu obtenir un geste commercial qui ne rééquilibrait même pas complètement le tarif. La 2ème année le conseiller que j'ai eu au téléphone m'a expliqué que mon tarif était en augmentation car j'avais eu un accident non-responsable cette année...on marche sur la tête.
</t>
  </si>
  <si>
    <t>valda-88551</t>
  </si>
  <si>
    <t>un mur impossible de realiser des rachats surtout en periude de crash boursier</t>
  </si>
  <si>
    <t>28/03/2020</t>
  </si>
  <si>
    <t>01/03/2020</t>
  </si>
  <si>
    <t>durandal-49963</t>
  </si>
  <si>
    <t>Suite à une ITT de plus de 3 mois pour dépression, j'ai fait l'erreur de penser que mon assurance emprunteur me couvrait.
Sogecap n'est là que pour protéger les intérêts de la Société Générale et en aucun cas (ou très peu de cas) indemniser les emprunteurs dans le besoin.
Ils vous baladent avec des demandes de documents, répondent au téléphone après 20 minutes d'attente minimum, vous font lanterner à tout propos pour finalement vous envoyer un courrier d'exclusion contractuelle. Vous savez? Les petits caractères dans le contrat, qui stipulent que dans 99% des cas votre maladie n'est pas prise en charge. Même en jouant le jeu des exclusions contractuelles et en remplissant les critères d'indemnisation, n'espérez pas obtenir grand-chose de ces requins, ils feront tout pour ne pas vous indemniser comme il se doit.</t>
  </si>
  <si>
    <t>Sogecap</t>
  </si>
  <si>
    <t>06/12/2016</t>
  </si>
  <si>
    <t>gegezamy-121579</t>
  </si>
  <si>
    <t xml:space="preserve">Je les note 0/20 c'est des gens faux
Je n'est rien a dire d eux parceque il sont faut de chez faux c'est des gens  qui n est pas gentille avec les gens </t>
  </si>
  <si>
    <t>CNP Assurances</t>
  </si>
  <si>
    <t>16/07/2021</t>
  </si>
  <si>
    <t>marlou-107745</t>
  </si>
  <si>
    <t>Entièrement d'accord avec les avis J'attends des remboursements dentaires, depuis le 15 Janvier.Depuis toujours rien sur mon compte.J'ai appelé à plusieurs reprises ,(il faut vraiment insister pour les avoir)....finalement on me dit à chaque fois "à la fin de la semaine"......Et pourtant Rien en vu 
Pour moi c'est un motif de résiliation!!!</t>
  </si>
  <si>
    <t>Cegema Assurances</t>
  </si>
  <si>
    <t>24/03/2021</t>
  </si>
  <si>
    <t>celine-t-105833</t>
  </si>
  <si>
    <t>Si je n'avais pas appelé pour ajuster ma cotisation, je n'aurais pas bénéficier de réduction :(
A part un bris de glace je n'ai par chance jamais eu besoin de vos services sinistres, donc pas d'avis à donner sur ce point.</t>
  </si>
  <si>
    <t>08/03/2021</t>
  </si>
  <si>
    <t>nicolas-m-113077</t>
  </si>
  <si>
    <t>Parfait rapide je recommande, très simple d’assuré un véhicule à des prix correct a voir avec le temps je vous souhaite un bonne journée cordialement nicolas</t>
  </si>
  <si>
    <t>08/05/2021</t>
  </si>
  <si>
    <t>fred-62658</t>
  </si>
  <si>
    <t>Déplorable !
Ils sont chers et sont aux abonnés absents lors du sinistre. De plus ils vous traitent pratiquement de fraudeur lors de l'accueil téléphonique. 
Un mur de clôture s'écroule lors du pic de la tempête mais il n'y voit aucun lien de cause à effet cra le mur n'est pas une construction récente. Débrouillez-vous avec les gravats. Cherchez l'erreur... Fuyez !
C'est juste une machine à cash pour récupérer de la marge sur les emprunteurs du Crédit Agricole</t>
  </si>
  <si>
    <t>25/03/2018</t>
  </si>
  <si>
    <t>01/03/2018</t>
  </si>
  <si>
    <t>gel78-102914</t>
  </si>
  <si>
    <t xml:space="preserve">Suite au décès de ma mère qui avait une assurance vie AFER depuis 1976, j'ai réinvesti 60000€ sur mon compte en juillet 2019. J'ai spécifié sur mon courrier en totalité sur le fonds garanti . Début août, alors que tout s'était bien déroulé, la somme a été partiellement réinvesti sur deux autres supports (SFER et EUROSFER). Ceci est dû a une option de répartition présente sur mon contrat. Je ne m'en suis aperçu qu'en janvier 2020. Bref, Après une vingtaine de coup de fil et de mail, et avec l'aide du conseiller epargne actuelle, une première régularisation se fait en "oubliant" de me créditer une somme de 11000€. Encore une quinzaine de jours avec appel quotidien au siège pour enfin tomber sur une personne (compétente) qui comprend le problème et une bonne semaine pour la régularisation, mi-juin 2020. Donc attention aux options même si on fait un courrier contraire. J'ai reçu une lettre d'explication, mais pas d'excuse sur la lenteur des délais (la covid n'excuse pas tout). </t>
  </si>
  <si>
    <t>Afer</t>
  </si>
  <si>
    <t>20/01/2021</t>
  </si>
  <si>
    <t>mellefalbala59-80153</t>
  </si>
  <si>
    <t xml:space="preserve">Un conseille a fait un remplacement d'assurance au lieu dun nouveau contrat a l'achat d'un nouveau vehicule on l'a decouvert apres un petit accrochage quand on a declare le sinistre on nous a appris que le vehicule n'été plus assure depuis quelque jours on leur explique que c'est un erreur de leur part pas de la notre s'en on rien a faire nous ballade comme des pantin nous rigole au tel pour au final  c'est demerdez vous on s'en fou manque de professionnalisme et de respect chez eux n'y aller pas </t>
  </si>
  <si>
    <t>17/10/2019</t>
  </si>
  <si>
    <t>elodie77-51552</t>
  </si>
  <si>
    <t>Une honte ! Impossible de faire annuler mon contrat aussitôt après l'avoir souscrit car j'ai eu droit à la CMU dans le même temps. Et ils continuent de vouloir me prélever malgré toutes mes démarches  - je suis au RSA ! et je ne travaille plus pour l'employeur qui m'a fait souscrire cette mutuelle (un mois et demi de travail à mi-temps intermittent seulement).</t>
  </si>
  <si>
    <t>22/01/2017</t>
  </si>
  <si>
    <t>stephanie-l-107839</t>
  </si>
  <si>
    <t>très contente, service rapide et précis.
les prix restent honnête, de bonnes garanties et un service client appréciable, a l'écoute et qui répond clairement</t>
  </si>
  <si>
    <t>estelle-n-115454</t>
  </si>
  <si>
    <t>Satisfait espère juste avoir des prix pour l'année prochaine. Cependant pour l'aide après un accident j'ai trouvé le service moyen car la personne qui m'a aidé n'était pas très aidante.</t>
  </si>
  <si>
    <t>31/05/2021</t>
  </si>
  <si>
    <t>cb-100655</t>
  </si>
  <si>
    <t>À la Macif depuis très longtemps, satisfaite du service rendu. Par contre peu de reconnaissance pour les fidèles clients sans problème et aucun rabais suite au confinement. De plus fermeture des agences de proximité donc soucis. J'envisage de changer d'assureur.</t>
  </si>
  <si>
    <t>rose-b-106103</t>
  </si>
  <si>
    <t>Pour l'instant, tout est parfait !
Les prix sont très corrects, la procédure est rapide.
A voir dans le temps en espérant que le tarif n'augmente pas plus vite que l'inflation...</t>
  </si>
  <si>
    <t>adeline-54742</t>
  </si>
  <si>
    <t>Les prix me semblaient attractifs, mais pour résilier mon assurance habitation il fallait envoyer un courrier en recommandé avec accusé de réception comportant impérativement le formulaire d’état des lieux de sortie. Dans mon cas, l’agence immobilière a mis un temps fou à me restituer ce document. J’ai donc dû résilier plus tard et j’ai payé plusieurs mois d’assurance pour rien. Au final j’ai payé beaucoup plus cher que mon conjoint qui avec un autre assureur a pu résilier plus facilement par mail à la date de sortie de l’appart et non à la date de demande de résiliation du contrat qui ne peut être prise en compte que si tous les documents sont fournis et qui coûte en plus le prix d'un recommandé.</t>
  </si>
  <si>
    <t>17/05/2017</t>
  </si>
  <si>
    <t>01/05/2017</t>
  </si>
  <si>
    <t>maelle-r-124199</t>
  </si>
  <si>
    <t>Je suis satisfaite du service relation clients, il est facile de contacter quelqu'un quand on a besoin d'aide, les prix sont satisfaisant sachant que je suis étudiant. 
Je recommande direct assurance.</t>
  </si>
  <si>
    <t>22/07/2021</t>
  </si>
  <si>
    <t>bea-90148</t>
  </si>
  <si>
    <t>Très bon service client avec des interlocuteurs sympathiques et efficaces qui prennent le temps de répondre aux questions.
Remboursement rapide et des garanties adaptées aux fonctions professionnelles.
Prix adapté aux garanties.</t>
  </si>
  <si>
    <t>03/06/2020</t>
  </si>
  <si>
    <t>olgach-11281</t>
  </si>
  <si>
    <t>assurance serieuse mais dont les prix ne cessent de flamber</t>
  </si>
  <si>
    <t>16/05/2018</t>
  </si>
  <si>
    <t>philfch-77617</t>
  </si>
  <si>
    <t>Fuyez si vous cherchez une assurance et un service client compétent</t>
  </si>
  <si>
    <t>08/08/2019</t>
  </si>
  <si>
    <t>oodzz-53178</t>
  </si>
  <si>
    <t>Eviter absolument cette assurance !!!!!
J'ai actuellement un contrat dans cette assurance depuis plus d'un an. J'ai demander mon relevez d'information, sans suite. 
De plus, j'ai voulut souscrire un autre contrat chez eux il y a deux mois pour un autre véhicule. J'ai donc fait un devis et régler les frais de dossier ainsi que deux mois d'assurance. Premièrement, je n'ai jamais reçu mon attestation provisoire d'assurance. Ensuite, lors ce que j'ai voulut me connecter sur le site afin de transmettre mes document, mon contrat n'existé pas. J'ai donc appeler le service client (surtaxé) a plusieurs reprise. Sans résultat sur mon espace personnel. Enfin, un conseiller me demande de transmettre mes document par courrier comme mon espace client n'existe pas. Ce que j'ai fait. Toujours sans suite. J'ai donc une fois de plus appeler le service client ou l'on m'a affirmé la réception de mon courrier.
Mais toujours sans débloquer mon espace personnel.
Actuellement, je n'ai donc pas d'assurance sur mon véhicule et je ne peux pas récupérer le relevé d'information de mon autre véhicule que je viens de vendre.
Ne souscrivez jamais chez active assurance !!!!</t>
  </si>
  <si>
    <t>11/03/2017</t>
  </si>
  <si>
    <t>gius-133747</t>
  </si>
  <si>
    <t>Contact très bon rapide, résolution des problèmes ok  (en attente de résolution concrete)  malheureusement il faut rappeler plusieurs fois pour clôturer le dossier. Dernier contact très bien il a résolu le problème (j'espère)très vite.</t>
  </si>
  <si>
    <t>21/09/2021</t>
  </si>
  <si>
    <t>jacques-v-130745</t>
  </si>
  <si>
    <t xml:space="preserve">je suis fatifecte du prix et pouvez vous me ravoyer la carte vert par mail et j'espère pas être déçue de votre assurance et si des fois il m arrive que un prélèvement soi pas honora que vous me le dirait </t>
  </si>
  <si>
    <t>serek-m-122745</t>
  </si>
  <si>
    <t>SUPER PRATIQUE ET PRIX ACCESSIBLES, RAISONNABLES ET EN COHERENCES AVEC LES OPTIONS PROPOSEES. RAPIDES, EFFICACES.
LES PERSONNES M EN AYANT PARLER AVAIENT RAISONS.</t>
  </si>
  <si>
    <t>kevinwalerjan1-54072</t>
  </si>
  <si>
    <t>A fuir !!! J'ai souscris une assurance auto pour une megane 3 coupé sport. L'assurance me coûte 130€ par mois. Suite à "un soucis informatique", active assurance me prélève actuellement 130€ PAR JOUR ! J'appelle le service client qui est incapable de me donner des réponses concrètes, on ne sait pas me dire si je vais être remboursé, toujours la même réponse m'ai donnée "nous transmettons votre requête au service comptabilité, nous vous recontactons dans les meilleurs délais", mais aucune nouvelle ! J'appelle tous les jours, j'envoie des mails, et rien n'avance... Actuellement, presque 300€ m'ont été prélevé en trop.. Les autres prélèvements ne passent pas, forcément, je n'ai pas une autorisation de découvert supérieure à ma paie ! Et qui dit rejet de prélèvement, dit agios et frais de rejets ! Nouvel appel ce jour, on ne sait toujours pas m'apporter de réelles réponses.. Très déçu, je vais partir pour la concurrence, qui me propose 75€ par mois (AXA), pour plus de garanties, et surtout un interlocuteur en face de moi ! 
Très déçu, ne souscrivez pas chez active assurance !!</t>
  </si>
  <si>
    <t>13/04/2017</t>
  </si>
  <si>
    <t>sebh2-101138</t>
  </si>
  <si>
    <t>Mutuelle qui laisse des remboursements en souffrance sans apporter la moindre réponse aux différentes sollicitations effectuées. On ne sait donc pas pourquoi, ni comment faire pour qu'ils se préoccupent de nos 15 relances (2 mois sans aucune nouvelle). Ils ont bloqué l'affichage de leur numéro d'appel sur leur site assuré. Cela doit leur éviter d'avoir des appels de clients très mécontents. A fuir pour ce que j'en voit à ce jour (ancienne mutuelle AXA : géniale celle-ci !)</t>
  </si>
  <si>
    <t>08/12/2020</t>
  </si>
  <si>
    <t>helene-117415</t>
  </si>
  <si>
    <t xml:space="preserve">Je me sentais désemparée face à l'incompétence des personnes que j'ai eues de multiples fois au téléphone à la cnp pour obtenir une réponse à mon problème, quand elles ne m'ont pas raccroché au nez! Aucune explication à mon pb de prélèvements indus sur mon assurance vie depuis...octobre 2020!!
A tel point que je me demande s'il n'y a pas détournement d'argent. Ils répondent que le logiciel ne peut pas se tromper mais s'il ne s'est pas  trompé, il a alors été manipulé. Quand je lis tous les commentaires, je me pose vraiment la question et j'invite toutes les personnes mecontentes à contacter un organisme de protection des consommateurs pour engager une action de groupe. </t>
  </si>
  <si>
    <t>17/06/2021</t>
  </si>
  <si>
    <t>polboudard-55338</t>
  </si>
  <si>
    <t>Des prix attractifs mais un service client déplorable.
Je n'ai toujours pas reçu de carte verte définitive malgré plusieurs relances.
Chaque appel renvoie vers un nouveau conseiller.
dossier 1080159063</t>
  </si>
  <si>
    <t>13/06/2017</t>
  </si>
  <si>
    <t>01/06/2017</t>
  </si>
  <si>
    <t>lebowski29-104027</t>
  </si>
  <si>
    <t>catastrophique ! bientôt 2 mois que ça dure et toujours problème de portabilité ! toujours aucune connexion avec la cpam. j'ai beau les appeler 3 fois/semaine tout est toujours ok, "ne vous inquiétez pas ça va être réglé rapidement" ! en attendant entre opération et hospitalisation les factures tombent ! si encore ils remboursaient bien, même pas, dentiste et opticien vous serez de votre poche. mutuelle imposée par l'employeur? à fuir, je comprends mieux leurs notes !</t>
  </si>
  <si>
    <t>jeje42210-71373</t>
  </si>
  <si>
    <t xml:space="preserve">assurance dont les pubs sont clairs mins cher mais quel galère lorsque vous avez un sinistre et qu'il faut remplir leur constat sur internet au lieu de scanner tous simplement celui remplis lors de l'accident. Il le demande mais ça marche pas il peuvent pas le voir..On nous propose une carosserie dans laquelle soit disant au vu de notre contrat nous auront une voiture de pret de ùoins de 3 ans . Resultat une voiture de plus de 10 ans ,sans essence ,sans lave glace.Voyant moteur eclairer et je parle pas de l'etat general de la voiture. 
J'ai eue malheureusement 2 sinistre d'affilé dont 1 non responsable eh bien resilition du contrat..ils peuvent avoir de bon avis si il garde que les clients qui ont 50 %de bonus. </t>
  </si>
  <si>
    <t>17/02/2019</t>
  </si>
  <si>
    <t>bmw-59871</t>
  </si>
  <si>
    <t>Le 12/10/2016, j'ai été victime d'un accident corporel de la circulation routière (non responsable) où j'ai été blessé, si la prise en compte initiale de mon sinistre ne fait l'objet d'aucun commentaire,a suite laisse plus à désirer. Début mars 2017 j'ai vu le médecin expert de l'assurance et reçu une provision de 500 euros au titre de mon préjudice corporel. Ce médecin a renvoyé son rapport en mars 2017. Je passe sur le manque total d'informations concernant la récupération de la franchise que j'avais avancée concernant les dégâts sur ma machine. Entre février et décembre 2017 j'ai été obligé de contacter AXA règlement corporel à six reprises pour finalement recevoir un procès-verbal de transaction le 10 novembre 2017 que j'ai retourné immédiatement. Depuis aucune nouvelles et impossible de contacter la responsable de ce service qui malgré mes messages ne me rappelle pas..
Combien faut-il de temps à un groupe comme AXA pour indemniser ses clients ? 
A ce jour, 14 mois après mon accident, neuf mois après avoir vu le médecin expert AXA, plus d'un mois après avoir retourné le procès-verbal de transaction j'attends toujours d'être indemnisé alors que je n'ai émis aucune remarque et fait preuve d'une grande patience.</t>
  </si>
  <si>
    <t>21/12/2017</t>
  </si>
  <si>
    <t>brun-d-109231</t>
  </si>
  <si>
    <t xml:space="preserve">on n'est jamais satisfait des pris on aimerai qu'ils soient encore plus bas mais le service est très bien, l'accueil agréable, site internet facile d'utilisation       </t>
  </si>
  <si>
    <t>06/04/2021</t>
  </si>
  <si>
    <t>abdel-raman-s-111588</t>
  </si>
  <si>
    <t xml:space="preserve">Je suis satisfait mais je souhaiterais aussi pouvoir effectuer des paiements mensuels mais je n'y arrive pas. Je sollicite donc une aide au plus vite
</t>
  </si>
  <si>
    <t>25/04/2021</t>
  </si>
  <si>
    <t>coco13800-55163</t>
  </si>
  <si>
    <t>Service clients injoignable.....très désagréable....je vais résilier en fin de contrat.....je ne recommande surtout pas....</t>
  </si>
  <si>
    <t>06/06/2017</t>
  </si>
  <si>
    <t>melody62-55915</t>
  </si>
  <si>
    <t xml:space="preserve">Une bonne assurance jusqu'au moment où un accident est à déclarer et la on se rend compte que les conseillers au téléphone se rejettent la balle et ne sont pas d'accord entre eux ... la macif ou quand on nous promet monts et merveilles... </t>
  </si>
  <si>
    <t>10/07/2017</t>
  </si>
  <si>
    <t>ajnur-z-129708</t>
  </si>
  <si>
    <t xml:space="preserve">
Super agréable et efficace personnes à l'écoute lors de ma demande c'est pour cela que je reste avec eu et en plus prix super abordable. Donc continuer comme cela ne changez pas </t>
  </si>
  <si>
    <t>marie5-78241</t>
  </si>
  <si>
    <t xml:space="preserve">voila mon locataire a eut un dégat des eaux, il a fait une déclaration a la matmut son assureur qui a fait un devis de réparation sans venir sur place pour constater les dégats ! de ce fait celui ci ne correspond pas au montant des réparations (plancher, plafond); malgré plusieurs tentatives, aucune réponse ! </t>
  </si>
  <si>
    <t>25/10/2020</t>
  </si>
  <si>
    <t>fern-56917</t>
  </si>
  <si>
    <t>J’attends indemnités depuis 2015! Ai reçu via mon conseil un courrier d’excuses pourtant me certifiant que le situation serait réglée au plus vite! Mais rien sur mon compte! Envoi de mails de rappel avec mes coordonnées bancaires et toujours en attente....</t>
  </si>
  <si>
    <t>09/10/2017</t>
  </si>
  <si>
    <t>laetitia-101409</t>
  </si>
  <si>
    <t>Impossible de se faire rembourser malgré de multiples relances. Ils sont difficilement joignables au téléphone et quand vous avez réussi à les avoir, ils vous demandent la date du mail envoyé pour aller vérifier. Suivi client déplorable. A proscrire absolument!</t>
  </si>
  <si>
    <t>lydia-85596</t>
  </si>
  <si>
    <t>Ils m'ont comptabilisés un accident corporel au lieu de matériel. Impossible de les avoir au téléphone après avoir réussi à en parler....au mauvais service.
Il y a quand même une différence entre "accident corporel" et "accident matériel" non??
De plus, une autre compagnie m'a expliqué que cet accident aurait du m'être compter à 50% et non 100% responsable</t>
  </si>
  <si>
    <t>07/01/2020</t>
  </si>
  <si>
    <t>01/01/2020</t>
  </si>
  <si>
    <t>jeff-donne-71192</t>
  </si>
  <si>
    <t>Pas objectif...trop superficiel ne cherche pas à connaître les clients et blessants dans leurs propos sans donner aucune information en cas de refus par rapport à une pathologie pas si importante mais à cause d'eux sans prendre de diplomatie vous persuade que votre vie ne tient qu'à un fil et que vous allez mourir demain.... A éviter vraiment si vous ne voulez pas vous suicider après leur réponse.....</t>
  </si>
  <si>
    <t>APRIL</t>
  </si>
  <si>
    <t>12/02/2019</t>
  </si>
  <si>
    <t>gce-106765</t>
  </si>
  <si>
    <t>Bonjour,
Surtout de grâce! quitter cette assurance qui frôle une procédure judiciaire aucun serieux! aucune réponse seulement capable d'encaisser les cotisations!! 
Je viens de lancer un avis de recherche via QUE CHOISIR... et suis en procédure judiciaire via une plainte auprès d'un Procureur de la République procédure en cours....
S'il vous plait quitter cette assurance et surtout ne pas souscrire !!!!!
Bien à vous</t>
  </si>
  <si>
    <t>05/04/2021</t>
  </si>
  <si>
    <t>mounir-a-114239</t>
  </si>
  <si>
    <t>je trouve ma cotisation un peu chère par rapport à mon historique je veux bien que ma cotisation soit revue, je n'ai jamais reçu une offre commercial de votre part</t>
  </si>
  <si>
    <t>19/05/2021</t>
  </si>
  <si>
    <t>alexandre-g-127759</t>
  </si>
  <si>
    <t>Ça me semble correct pour le moment, je viens juste de souscrire à ma première assurance chez vous donc impossible de juger. Les formulaires remplis sont correct, pas hyper esthétique...</t>
  </si>
  <si>
    <t>12/08/2021</t>
  </si>
  <si>
    <t>le-grand-100082</t>
  </si>
  <si>
    <t xml:space="preserve">Mutuelle totalement désorganiser
Standard téléphonique catastrophique musique d'attente interminable 
A éviter absolument
Service client catastrophique 
Visiblement les gestionnaire ne font pas grand chose </t>
  </si>
  <si>
    <t>13/11/2020</t>
  </si>
  <si>
    <t>hssnmnn-96112</t>
  </si>
  <si>
    <t>La pire mutuelle qui soit !!! Apres une dizaine d appel et de réclamation  le problème de télétransmission n est toujours pas réglé !  Met des mois pour traiter une demande...Manque de professionnalisme ! Je paie une mutuelle qui finalement n honore pas sa part du contrat !</t>
  </si>
  <si>
    <t>10/08/2020</t>
  </si>
  <si>
    <t>phat-80399</t>
  </si>
  <si>
    <t>J'ai souscrit un contrat d'assurance habitat suite à la publicité vu à la télé et content des services de ma banque ainsi que ma banquière même avec un prix plus élevé que mon ancien assurance parce qu'on me proposait plus de garanties.
Suite à un cambriolage, je contacte l'assurance qui traite mon dossier très rapidement, au début très content, interlocuteur agréable au téléphone qui m'explique toutes les démarches à suivre, suite à ça on me dit qu'un expert va se déplacer chez moi, je reçois un appel, en fin de compte l'expert qui me fait un cours de droit, là je commence à comprendre qu'on me prépare pour minimisé l'indemnité.
Quelques semaines après je reçois un remboursement ,je ne comprend pas on me rembourse à peine moins de 15% de la valeur de mes biens, je demande alors le détaille des remboursements on me l'envoie par courrier, là je constate que il n'y a aucune cohérence au niveau des remboursements, on ne me rembourse pas les cadeaux même avec factures (on me dit qu'ils ne sont pas à mon nom, je ne comprend pas c'est des cadeaux acheté par des amis), les biens sur photos remboursement misérable.
Je fais un courrier détaillé à l'assurance qui me répond avec courrier type qui n'a rien n'avoir avec ma demande.
En discutant avec des amis qui se sont fait cambriolés je me rend compte que je suis très mal loti avec mon assurance.
Malheureusement je suis très content de ma banque, mais très déçu de l'assurance souscrit chez eux.
En parlant avec des amis qui sont assurés ailleurs et qui se sont fait cambriolés, 
je me dit que j'ai fais le mauvais choix en choisissant cette assurance surtout pour un premier sinistre que j'ai eu avec eux.
A fuir, surtout avec un prix plus élevé que la concurrence.
Plus de garanties à la signature du contrat pour moins de remboursement en fin de compte.</t>
  </si>
  <si>
    <t>24/10/2019</t>
  </si>
  <si>
    <t>guedouari-f-129066</t>
  </si>
  <si>
    <t>je suis plutot satisfait, site simple a utiliser , informations demandées simple a retrouver , le prix est globalement avantageux par rapport aux autres compagnies</t>
  </si>
  <si>
    <t>benali-s-127286</t>
  </si>
  <si>
    <t xml:space="preserve">Je suis satisfait des prix de la rapidité d hadesion de la qualité des question je souhaite avoir la facilité d avoir mon assurance rapides sinon satisfait </t>
  </si>
  <si>
    <t>09/08/2021</t>
  </si>
  <si>
    <t>maro-133652</t>
  </si>
  <si>
    <t>suite à ma conversation téléphonique de ce jour, j'ai été très satisfait des réponses que mon interlocuteur ma donné. Très professionnel, réactivité , et professionnalisme étaient au rendez-vous.
Merci beaucoup.</t>
  </si>
  <si>
    <t>franck-d-130023</t>
  </si>
  <si>
    <t xml:space="preserve"> A voir à l'usage. Le prix de base augmente très vite dès que l'on ajoute quelques options. De plus, 30 euros supplémentaires juste pour un bris de glace est un peu excessif.</t>
  </si>
  <si>
    <t>29/08/2021</t>
  </si>
  <si>
    <t>cardinet-r-139712</t>
  </si>
  <si>
    <t>Ok prix convenable et service efficace je suis globalement satisfait même si cet assureur connaît les mème défauts que les autres ( complexité générale )</t>
  </si>
  <si>
    <t>16/11/2021</t>
  </si>
  <si>
    <t>01/11/2021</t>
  </si>
  <si>
    <t>mathieu-g-106553</t>
  </si>
  <si>
    <t>La transmission des pièces est laborieuse par smartphone. Les prix sont intéressants mais j'espère qu'il ne m'arrivera rien au regard des franchises appliquées. L'AIPP 10% est abominable. En récapitulatif, une assurance obligatoire mais pas une vraie couverture.</t>
  </si>
  <si>
    <t>lisa-71396</t>
  </si>
  <si>
    <t xml:space="preserve">Cette mutuelle est une véritable CATASTROPHE ! Nous sommes inscrits depuis le 1er janvier 2019. Nous sommes le 18 février 2019 et nous n'avons TOUJOURS PAS RECU nos cartes de mutuelle. J'avais téléphoné pour signaler le problème en date du 31 janvier. On nous avait dit dit (sans excuse aucune) que nous allions recevoir notre carte de mutuelle le 15 février sans faute et qu'en attendant, il fallait FAIRE L'AVANCE DE TOUS LES FRAIS ! 
J'essais de les appeler et PERSONNE NE RÉPOND AU TÉLÉPHONE !  
Je vous déconseille fortement cette mutuelle. On est loin d'être en HARMONIE avec notre santé ! </t>
  </si>
  <si>
    <t>katia-g-107233</t>
  </si>
  <si>
    <t>Les prix sont abordables et les réponses rapides via internet. Le site semble clair 
Assurances que je pourrai conseiller à un proche. 
Juste que parfois le temps d'attente par téléphone est bien trop long</t>
  </si>
  <si>
    <t>19/03/2021</t>
  </si>
  <si>
    <t>julien-l-105006</t>
  </si>
  <si>
    <t>Tarifs corrects la 1ère année puis augmentation de 12% dès le début de la 2nde. Les tarifs sont donc compétitifs uniquement la 1ère année. Donc, à résilier après la 1ère année</t>
  </si>
  <si>
    <t>christopher-b-106005</t>
  </si>
  <si>
    <t xml:space="preserve">1er contact par tel très bien.  A l'écoute des demandes. Prix correct. Souscription simple et rapide. Traitement par mail très pratique. Seul bémol l'envoi des pièces, dans mon cas un élément n'a toujours pas été traité, alors que je l'ai transmis 2 fois et si ce dernier n'ai pas validé avant la fin du mois le contrat est résilié.
</t>
  </si>
  <si>
    <t>09/03/2021</t>
  </si>
  <si>
    <t>fab44-79255</t>
  </si>
  <si>
    <t xml:space="preserve">Suite à une panne de batterie à mon domicile et enceinte de 8 mois 1/2, je demande (pour la 1ere fois) l'assistance. Le conseiller m'explique que je peux, soit prendre la batterie du dépanneur et la lui payer, soit fournir la mienne et ne rien devoir.
Mon conjoint achète donc une batterie. Quand le dépanneur arrive, celui-ci refuse d'installer ma batterie pour cause de garantie si celle-ci ne fonctionnait pas, ce qui parait logique. Il me démarre la voiture, ce qui me permet de la recharger un peu mais ne peut me déplacer très loin car interdite de voiture et surtout pas de RDV au garage de suite....je laisse la voiture tourner jour et nuit ?? Par chance, la voiture redémarre quelques jours!
De nouveau en panne (ce qui devait arriver...), je les rappelle pour l'assistance, on m'explique (et on insiste bien sur le fait) que ce sera la dernière intervention pour l'année en cours ! J'essaye d'expliquer que je n'ai pas été conseillée comme il faut la 1ere fois (on m'aurait dit de prendre la batterie du dépanneur, c'était réglé), que je ne considère pas avoir été assistée correctement mais la personne au téléphone n'entends pas, ne remet jamais en cause le conseiller GMF et surtout me rabâche que ce sera la dernière intervention de l'année ....merci mais pour l'heure je suis en panne et ait besoin d'une voiture car pas envie d'accoucher chez moi.... Rien à faire, aucune écoute, à part me répéter sa phrase : " ce sera la dernière fois " qui devait être écrit sur son protocole téléphonique......"GMF assurément humain" qui disait !!! </t>
  </si>
  <si>
    <t>17/09/2019</t>
  </si>
  <si>
    <t>angelique-t-130457</t>
  </si>
  <si>
    <t>SATISIFAIT DES PRIX - POUR LE RESTE NOUS VERRONS AU MOMENT DE L'UTILISATION - EFFICACITE ET COMPREHENSION DES SOLUTIONS PROPOSES- FACILE D'UTILSATION.</t>
  </si>
  <si>
    <t>david-103878</t>
  </si>
  <si>
    <t>bonjour je viens sur ce site car beaucoup de problèmes avec mon assurance sante Mercer car j'ai demande de rattache mon fils qui est née le 3 septembre 2020 sur l'assurance et on voulais change de formule en maintenant. Alors on dit pour change de formule il faut attendre  le mois de janviers se que nous avons fait. mes a même temp je demande de faire le rattachement avec la sécurité sociale pour qui fasse le rembourse sens problème et la il s arrive des problème des délais attendre sa fait 5 mois la cpam eux on fait sa en 1 semaine. est  le jour aux lendemain bien il sont pris en compte notre change de formule depuis le 3 septembre mes il demande la déférence de septembre a janviers non mes la ses eux qui faut pas le nécessaire et il me demande de paye la différence. Est encore miens on leurs demande depuis 2 ans de prélevé sur un autre compte on envoie le RIB et tout et non pas compris prélevé sur le autre toujours.</t>
  </si>
  <si>
    <t>09/02/2021</t>
  </si>
  <si>
    <t>luc-49619</t>
  </si>
  <si>
    <t>Suite à un sinistre récent (effraction à mon domicile), j'ai eu la mauvaise expérience de me rendre compte à quel point la MAAF tentait d'échapper à son rôle d'assureur...
Malgré que ceux-ci soient dans l'obligation de prendre en charge mes réparations (Code Civil, conditions générales et particulières de mon contrat), la MAAF essaye désespérément de ne pas satisfaire à ces obligations par des méthodes d'intimidation et de mauvaise foi...
Etant juriste, je ne doute pas que j'aurai gain de cause, mais à quel prix!!
Les tarifs sont attrayants, mais je doute de leur bonne foi. 
A éviter.</t>
  </si>
  <si>
    <t>27/11/2016</t>
  </si>
  <si>
    <t>01/11/2016</t>
  </si>
  <si>
    <t>sarah83-79834</t>
  </si>
  <si>
    <t xml:space="preserve">A fuir Traitement des dossiers quand ils sont traités  avec plus de deux mois de délais service client qui vous prend pour des imbéciles mails non traités
Ne prend pas en compte vos demandes ni par mail ni par téléphone
</t>
  </si>
  <si>
    <t>09/10/2019</t>
  </si>
  <si>
    <t>ludo-59446</t>
  </si>
  <si>
    <t>Je suis à la recherche d'une mutuelle pour soins dentaires... J'ai été contacté par téléphone par une personne de SANTIANE, qui a été très agressif, qui me soutenait qu'il existait avec de leur partenaire une formule à 50 Euros par mois sans aucun plafond de remboursement !!!
Lorsque je lui ai dit que de toute façon, je ne souscrirais rien aujourd'hui, car je souhaite comparer avec la concurrence, il est devenu encore plus agressif, et a finit par me raccrocher au nez...
A fuir à grands pas...</t>
  </si>
  <si>
    <t>06/12/2017</t>
  </si>
  <si>
    <t>sandrine50-68237</t>
  </si>
  <si>
    <t>Indigne de confiance. Par principe je vais ouvrir une action en justice car c'est intolérable de laisser une société agir de la sorte. J'ai appris que mon contrat était suspendu pour manque de pièces alors que tous les documents ont été transmis en temps et en heure. Ils perdent les pièces ou ils sont mal organisés ou alors c'est volontaire et dans ce cas c'est délictuel. Après réclamation on vous propose de vous établir un nouveau devis et payer de nouveaux acomptes pour relancer le dossier et on vous réoriente vers un numéro surtaxé à presque 1€ la minute, attention, sans vous le préciser dans le mail. Un moyen bien organisé pour vous ponctionner l'économie supposée du premier devis.J'ai demandé le remboursement car j'ai tout payé, depuis c'est silence radio.
fuyez fuyez fuyez
ce n'est pas une compagnie qui va redorer le blason de la profession. je n'imagine pas la situation en cas de sinistre.</t>
  </si>
  <si>
    <t>31/10/2018</t>
  </si>
  <si>
    <t>01/10/2018</t>
  </si>
  <si>
    <t>dabbl-101237</t>
  </si>
  <si>
    <t xml:space="preserve">Très satisfait des prestations de l’olivier .
Prise en charge rapide des dossiers, explications clair et écoute des personnes au standard.
Par contre pas de protection juridique et n’assure pas certains véhicules tout risque !
Je recommande néanmoins cet assureur .
Sébastien doublet </t>
  </si>
  <si>
    <t>10/12/2020</t>
  </si>
  <si>
    <t>ingrid-98472</t>
  </si>
  <si>
    <t>Je suis très mécontente. Je suis allée il y a plus de 3 semaines pour correction lunettes..refus on ne sait même pas pourquoi.
Le magasin attend juste une validation et je n ai tjrs rien ..juste presque 1 mois ...galère pour les avoir ...j ai envoyé un.mail pour remboursement  pas de nouvelles . Je pense à résilier...bon en tout cas pas de lunettes pas de remboursement..bref ...très decu</t>
  </si>
  <si>
    <t>07/10/2020</t>
  </si>
  <si>
    <t>yathuvamsan-p-106996</t>
  </si>
  <si>
    <t>Bonjour,
Les prix me conviennent, j'aurais aimé un peu moins chère. Mais pour un jeune permis comme moi, ça reste très abordable. Merciii à direct assurance de me soutenir.</t>
  </si>
  <si>
    <t>dalila-55133</t>
  </si>
  <si>
    <t>Bonjour , je viens de m'apercevoir que lors d'un arret maladie de 3 semaines en juin/juillet 2015 mon agence d'interim n'avait pas fait le nécessaire auprès d'AG2R afin d'avoir le complément d'indemnités journalières , comment faire?</t>
  </si>
  <si>
    <t>Ag2r La Mondiale</t>
  </si>
  <si>
    <t>04/06/2017</t>
  </si>
  <si>
    <t>dumbo53-81552</t>
  </si>
  <si>
    <t>AFER ne répond plus: impossible depuis deux mois de joindre qui que ce soit au siège de Paris.</t>
  </si>
  <si>
    <t>03/12/2019</t>
  </si>
  <si>
    <t>01/12/2019</t>
  </si>
  <si>
    <t>clg83-102281</t>
  </si>
  <si>
    <t xml:space="preserve">Déjà échaudé par Eurofil au niveau de leurs prestations d'assistance en cas de panne cet été au mois d'aout ou à part nous dire ce qu'ils ne prenais pas en charge nous avons été obligés de nous débrouiller par nous même pour trouver et payer un véhicule de location pour rentrer chez nous la veille du 15 Aout. Sur ce nous résilions les assurances de nos 3 véhicules à l'échéance le 31/décembre 2020. Entre temps nous vendons l'un de nos véhicule mi-décembre, nous nous rendons compte que nous n'avons plus accès à notre espace personnel, nous avons résilier nos contrats donc 1 mois avant plus de possibilité de gérer ceux-ci par internet !!!! nous prévenons par email Eurofil by Aviva de la vente et nous recevons la confirmation de la résiliation et le relevé de situation du véhicule, tout à l'air de se passer correctement mais surprise le 23 décembre réception d'un relevé de compte débiteur de 416€ pour l'assurance du véhicule vendu !!!! Appel au "conseiller" qui minimise le problème, c'est juste une erreur informatique. le 29 décembre réception d'un nouveau relevé de compte toujours débiteur de 416€ nouvel appel à une autre "conseiller" qui encore minimise le problème, nous ne devons pas nous inquiéter ca va être régularisé tout de suite. Aujourd'hui 6 Janvier 2021 je viens d'être débiter des 416€ pour l'assurance 2021d'un véhicule que je ne possède plus depuis mi-décembre..... Donc EUROFIL by AVIVA sont très bon pour encaisser les primes d'assurance mais pour pas grand chose de plus. </t>
  </si>
  <si>
    <t>mayo-75073</t>
  </si>
  <si>
    <t xml:space="preserve">Erika a pris le temps de bien écouter notre demande, de rechercher les informations transmises et y a répondu avec professionnalisme. </t>
  </si>
  <si>
    <t>15/04/2019</t>
  </si>
  <si>
    <t>boyrie-s-134076</t>
  </si>
  <si>
    <t xml:space="preserve">Je suis satisfait du service et du tarif. Je recommande vivement l’olivier assurance. Très bon service par téléphone et très bonne explications des options. </t>
  </si>
  <si>
    <t>23/09/2021</t>
  </si>
  <si>
    <t>nicocop-60651</t>
  </si>
  <si>
    <t>assurance a éviter ABSOLUMENT , impossible d'avoir son relevé d'information , on vous envoi balader et on vous ment carrément !  les conseillers font tout pour vous compliquer la tache , c'est une honte vraiment , la Macif est a fuir , de telles pratiques devraient être sanctionnés , l'abus dont il font preuve c'est scandaleux</t>
  </si>
  <si>
    <t>19/01/2018</t>
  </si>
  <si>
    <t>01/01/2018</t>
  </si>
  <si>
    <t>sjsj-60948</t>
  </si>
  <si>
    <t>assurance gérée par une banque qui n'est pas la banque à la quelle je suis cliente, pour résilier on sait jamais vers qui se positionner, je comprend plus leur concept même pour modifier l'adresse du logement on galère pour une simple chose .</t>
  </si>
  <si>
    <t>30/01/2018</t>
  </si>
  <si>
    <t>francoise92-64309</t>
  </si>
  <si>
    <t>6 ans de fidélité.</t>
  </si>
  <si>
    <t>30/05/2018</t>
  </si>
  <si>
    <t>stephanie-m-105302</t>
  </si>
  <si>
    <t xml:space="preserve">Je suis satisfaite de la procédure de changement d'assurance, les garanties sont les même que mon ancienne assurance maos la cotisation est moindre 
 </t>
  </si>
  <si>
    <t>03/03/2021</t>
  </si>
  <si>
    <t>roxane-67612</t>
  </si>
  <si>
    <t>personne a l'ecoute ,garantie exellente , remboursements fait corectement en temps ,pas de problème  j'en suis pleinement satisfait</t>
  </si>
  <si>
    <t>12/10/2018</t>
  </si>
  <si>
    <t>mickael-v-106419</t>
  </si>
  <si>
    <t>le site  est  très  pratique  et  très   rapide   les prix sont   très   correct et  grâce   a  la loi hamon    tous  se fais  correctement .plus   aucun soucis   .</t>
  </si>
  <si>
    <t>12/03/2021</t>
  </si>
  <si>
    <t>abisam-78747</t>
  </si>
  <si>
    <t xml:space="preserve"> Concernant mon expérience,  suite à une perte d'emploi du á un licenciement économique en octobre 2018 ; Cette assureur étant inclu pour un crédit à la consommation Cetelem tarde à engager sa responsabilité quant à l'indemnisation du restant du et ce depuis 10 mois pour cause récurrente de documents manquants, or les éléments relatives à la constitution du dossier ont été envoyés au moins 3 fois dans le délai légal de réponse et les 3 mois de carences du prêt ont bien été payés à l'organisme De prêt. </t>
  </si>
  <si>
    <t>sara-b-106645</t>
  </si>
  <si>
    <t xml:space="preserve">Je suis satisfaite des informations fournies mais pas des prix que je trouve un peu cher 
Je veux bien rester chez vous pour les années avenir mais si vous me faites un prix </t>
  </si>
  <si>
    <t>15/03/2021</t>
  </si>
  <si>
    <t>galibot62-63876</t>
  </si>
  <si>
    <t xml:space="preserve">a fuir totalement, aucune compréhension, si difficultés paiements de suite poursuite &amp; résiliation, donc je déconseille très fortement, j'ai suivi conseil d'un courtier pourtant aimable, je m'en mord les doigts. </t>
  </si>
  <si>
    <t>09/05/2018</t>
  </si>
  <si>
    <t>marie33-87596</t>
  </si>
  <si>
    <t>Presque 6 mois après un sinistre toujours pas indemnisé alors que lolivier assurance a reçu l'argent de la partie advairse depuis plus d'un mois
Pour prélevé tous les mois ils ne sont pas en retard</t>
  </si>
  <si>
    <t>25/02/2020</t>
  </si>
  <si>
    <t>sabine-b-132281</t>
  </si>
  <si>
    <t xml:space="preserve">Je suis satisfaite du services et des prix également site très facilement accessible 
Prise en charge très rapide et simple d'utilisation j'ai l'assurance qui correspond à mes critères 
</t>
  </si>
  <si>
    <t>10/09/2021</t>
  </si>
  <si>
    <t>stephen-r-123163</t>
  </si>
  <si>
    <t>Une des meilleures propositions commerciales qui m'ont été faites du point de vue qualité/prix.
Ecoute de la conseillère sur ma situation, gestion de la résiliation de mon contrat précédent, facilité pour créer son compte, joindre les documents, etc...
A voir dans le temps comment sera gérée la relation client et (mais je ne le souhaite pas) l'efficacité de service en cas accident.</t>
  </si>
  <si>
    <t>12/07/2021</t>
  </si>
  <si>
    <t>gaetan-r-112908</t>
  </si>
  <si>
    <t>J'ai chercher pendant un moment une assurance au meilleur prix je n'ai pas pû trouvé mieux que vous.Le service clientèle est exceptionnelle aussi, vraiment rien a redire.</t>
  </si>
  <si>
    <t>06/05/2021</t>
  </si>
  <si>
    <t>yvon-e-122989</t>
  </si>
  <si>
    <t xml:space="preserve">Je suis satisfaite du service ! Tout est clair et concis. Le service est rapide. Le prix est bien pour ce qui est proposé. Je recommande L’olivier assurance </t>
  </si>
  <si>
    <t>09/07/2021</t>
  </si>
  <si>
    <t>marque-f-131817</t>
  </si>
  <si>
    <t xml:space="preserve">Je suis satisfait du service
Les prix me convienne et sont raisonnable comparer à d'autre assurance
Maintenant a voir si cela tiendra et voir si l'assurance sera la en qu'à de besoin </t>
  </si>
  <si>
    <t>alain-50882</t>
  </si>
  <si>
    <t>Je suis assuré tous risques, j'ai été victime de 3 sinistres non responsable et j'apprends que mon contrat sera résilié à la date anniversaire pour pérenniser l'équilibre des comptes (sic), en bref je suis un mauvais sociétaire (qui n'a pas été informé à la signature du contrat)</t>
  </si>
  <si>
    <t>03/01/2017</t>
  </si>
  <si>
    <t>clem-57884</t>
  </si>
  <si>
    <t xml:space="preserve">Attention chez cet assureur concernant votre reconduction de contrat. Pour ma part même situation et garanties que l’an passé, aucun sinistre avec par conséquent un meilleur coefficient. Pourtant je passe de 340 euros à 364 euros...je fais le simulateur de comparateur d’assurances hier, je remplis mes conditions personnelles à l’identique...on m’indique 320 euros chez l’Olivier assurance. Je les contacte pour leur expliquer cette incohérence on m’explique que les conditions de renouvellement ne sont pas les mêmes que les primo clients...avec par conséquent un tarif différent.
C’est un comble de voir sa cotisation augmenter alors qu’elle ne devrait pas augmenter sans aucun sinistre...
De plus faites attention car pour ma part mon échéance arrive au 8 octobre...problème le courrier date du 8 septembre et je l’ai reçu il y a deux jours dans ma boîte aux lettres. Sachant que le délai pour résilier est de 20j à compter de la date du courrier...plutôt difficile de résilier dans les temps. 
</t>
  </si>
  <si>
    <t>07/10/2017</t>
  </si>
  <si>
    <t>andre59-75995</t>
  </si>
  <si>
    <t xml:space="preserve">Notre véhicule est bloqué dans un garage agréé MAAF depuis 3 semaines, suite à un début d'incendie. Un expert est passé dont le rapport ne satisfait pas la MAAF. Trop cher sans doute ....Malgré les mails les coups de fils rien n'avance. Le garagiste lui même perd patience et envisage de faire payer des frais de gardiennage. Sommes totalement insastisfaits.  Pourtant nous sommes clients depuis plus de 30 ans. Nous faire payer des prix exorbitants ne les dérange pas mais quand il s'agit de prendre en charge c'est une autre affaire....
En attendant nous sommes donc sans véhicule. </t>
  </si>
  <si>
    <t>16/05/2019</t>
  </si>
  <si>
    <t>espinet-d-117648</t>
  </si>
  <si>
    <t xml:space="preserve">Je suis satisfait des réponses téléphoniques 
Bon contact de mes interlocuteurs et bonne connaissance de leur sujet 
J’espère que tout continuera dans ce sens 
Merci </t>
  </si>
  <si>
    <t>20/06/2021</t>
  </si>
  <si>
    <t>gu-61298</t>
  </si>
  <si>
    <t>Un litige m'oppose à un garage dont l'assurance prend tout en charge, mais l'agence de Toulon Sanna-Vuillaume ne veut rien faire. Je cherche d'autres assurances</t>
  </si>
  <si>
    <t>09/02/2018</t>
  </si>
  <si>
    <t>01/02/2018</t>
  </si>
  <si>
    <t>mickael-g-125420</t>
  </si>
  <si>
    <t>Très bien. A voir dans le temps si le service client est efficace , les garantie que j’ai souscrit également, après avoir fait le comparatif avec plusieurs assurances cela me paraît adéquate</t>
  </si>
  <si>
    <t>w-sakina-67444</t>
  </si>
  <si>
    <t xml:space="preserve">Déception totale. 
Je n'ai eu aucun probléme avec Direct Assurance jusqu'au jour ou je m'installe à l'Etranger et que je dois faire reconnaitre mes années d'assurance en France.... 
C'est la ou les problémes ont commencé ... 
Personne n'a été capable de m'aider chez Direct Assurance.
Lorsque je demande une simple adresse email afin que ma futur assurance les contacte par mail on me répond que Direct Assurance n'a pas d'adresse mail (en 2018...) 
Quand je demande la redaction d'un email bien précis ma demande m'est encore refusé .. 
En résumé aucune de mes demandes n'a été faites. 
Ce sont les premiers à dire oui à notre argent mais personne n'est la pour dire oui aux besoin du client! C'est tout à fait scandaleux et je suis bien contente de ne plus avoir cette compagnie d'assurance. </t>
  </si>
  <si>
    <t>08/10/2018</t>
  </si>
  <si>
    <t>arnaud-d-110095</t>
  </si>
  <si>
    <t>Je suis satisfait de l'accueil téléphonique (Valérie, en Bretagne), des conseils et de la disponibilité.
Facilité de contracté mon assurance.
Prix très attractif.</t>
  </si>
  <si>
    <t>12/04/2021</t>
  </si>
  <si>
    <t>claude-56380</t>
  </si>
  <si>
    <t>pas de remboursement suite a cambriolage avec effraction</t>
  </si>
  <si>
    <t>30/07/2017</t>
  </si>
  <si>
    <t>virginie-t-123791</t>
  </si>
  <si>
    <t xml:space="preserve">Je suis très très insatisfaite. Absence totale de gestion de mon sinistre. Personne ne me rappelle, cela fait 14 jours que j'ai eu un sinistre, ma voiture n'est pas réparée, tout ça pour un problème informatique entre Direct Assurance, l'expert et le garage. C'est une honte. Fuyez ! </t>
  </si>
  <si>
    <t>morgane69-58140</t>
  </si>
  <si>
    <t xml:space="preserve">j ai mis une étoile mais si j’avais pu en mettre aucune je l aurais fait.prix attractifs effectivement , pour prélever ils sont champion! ils ont arrête mon contrat auto de mon nouveau véhicule au lieu d arrêter l ancien j’ai donc roulé avec deux bébés pendant deux mois alors qu’on ma voiture n était plus assuré. erreur de leurs parts. j ai eu un sinistre dérangement ses 2 mois évidement la seule réponse que j’ai eu pour cette énorme erreur c de re souscrit à un nouveau contrat!quelle réponse!! en prime je dois repayer 120€ de frais de dossier !! la blague !! j applaudi à cette magnifique incompetance et ce manque certain de professionnalisme . vaux mieux payer plus cher et avoir à faire à de vrai professionnel. je déconseille fortement </t>
  </si>
  <si>
    <t>17/10/2017</t>
  </si>
  <si>
    <t>jojo-97301</t>
  </si>
  <si>
    <t>Assurance un peu élevé mais tres reactif jamais eu de probleme très à l écoute et toujours dispo  je peu pas donné d avis sur les remboursement je n en est jamais eu besoin</t>
  </si>
  <si>
    <t>11/09/2020</t>
  </si>
  <si>
    <t>anne-france-d-109657</t>
  </si>
  <si>
    <t>BONNE ERGONOMIE DU SITE COMPREHENSION FACILE TARIF ABORDABLE EN ATTENTE DE L'ATTESTATION PROVISOIRE D'ASSURANCE RIEN DE PLUS PAS EVIDENT DE DEVOIR ECRIRE UN AVIS DE 150 CARACTERES A MODIFIER</t>
  </si>
  <si>
    <t>conan-y-112540</t>
  </si>
  <si>
    <t>Je suis satisfait du 1er contact téléphonique, de la mise en place du devis et de la réactivité de mon interlocuteur. Le prix étant un peu plus élevé que la concurrence, j'espère qu'en cas de besoin le service sera à la hauteur.</t>
  </si>
  <si>
    <t>04/05/2021</t>
  </si>
  <si>
    <t>bob-89904</t>
  </si>
  <si>
    <t>Service Client déplorable  dans le cadre d'une succéssion : 2 mois sans nouvelles. Le conseillé indique que c'est Paris qui gère, dit qu'il relance et rien ne se passe, aucune visibilité, déplorable!</t>
  </si>
  <si>
    <t>25/05/2020</t>
  </si>
  <si>
    <t>legion88-70143</t>
  </si>
  <si>
    <t xml:space="preserve">apres une  chute a mon domicile d une personne qui visiter mon habitation pour l acheter  apres assignation de assureur de la victime a moi meme et a axa apres avoir repouser audiance sans que je sois averti et pas de contact avec avocat axa. j ai apris la nouvel date de audience par telephonne de agence axa 3 jours avant et que avocat representer que  axa et que je
 trouve un avocat et que le meme soir qu axa avait mandater un detective qui et passe chez mes voisin pour leur faire  ecrire une declaration sur honneur qui mes farvorable qui na pas etait fournis a audience 3 jours apres que mes voisin on recu par mail l apres midi apres audiance du matin </t>
  </si>
  <si>
    <t>mika83-66815</t>
  </si>
  <si>
    <t>Très déçu d AMV pas d'assistance merci à mon extension de garantie KTM qui m a pris en charge sans discuter de plus une franchise va être appliqué 
Scandaleux, après cette affaire je vais consulter la concurrence et pour finir je dois partir en vacances fin de semaine prochaine à moto mais à ce jour pas de nouvelles je vais devoir trouver une becane</t>
  </si>
  <si>
    <t>12/09/2018</t>
  </si>
  <si>
    <t>01/09/2018</t>
  </si>
  <si>
    <t>gregs-65813</t>
  </si>
  <si>
    <t>Le prix était peu élevé à la souscription comparé à mon ancien assureur (MACIF), j'ai donc sauté le pas il y a quelques années pour Eurofil. Le premier hic est que, chaque année, votre tarif augment plus que si vous étiez "nouveau" client... En 3 à 4 ans, on se retrouve quasiment au tarif d'une assurance normale.
Mais le principal problème que j'ai rencontré concerne la qualité des réparations et les conséquences qui en ont suivi : Victime d'un accident non responsable, j'ai fait réparé mon véhicule chez un garagiste "agréé" Eurofil. De formation carrossier, ce dernier n'a pas détecté un problème sur le véhicule qui, suite à la réparation, s'est mis à "tirer à droite" et à déparer dans les rondes points et virages sous la pluie. Plutôt que d'assumer ses responsabilités, l'assureur s'est réfugié derrière des experts. Tous ont reconnu le problème, aucune des solutions mises en oeuvre ne l'a résolu... Et eurofil a essayé la "guerre d'usure" : Nombreuses immobilisations du véhicule, nombreuses expertises... Mais aucune solution. Ha si, à l'échéance de mon contrat, ils ont tenté de me radier (sans explication, car ils n'y sont pas tenu légalement)... Heureusement, j'avais été plus rapide qu'eux, et avait dénoncé mon contrat juste avant.
Finalement, je suis retourné chez un assureur classique (MAIF) qui est moins cher qu'Eurofil (tarif après quelques années) et qui offre un service sans aucune comparaison avec cet assureur "low cost", mais surtout ""low" tout court.
Si vous êtes assuré chez eux, un conseil : choisissez vous même votre réparateur/garagiste. Vous en avez le droit et ils acceptent dans 80% des cas d'encaisser après que l'assurance vous ait elle-même remboursé.</t>
  </si>
  <si>
    <t>27/07/2018</t>
  </si>
  <si>
    <t>clement-p-111925</t>
  </si>
  <si>
    <t xml:space="preserve">Je suis satisfait du service,  au téléphone c'est toujours très rapide et très clair. Je recommanderais sans problème.                                         </t>
  </si>
  <si>
    <t>28/04/2021</t>
  </si>
  <si>
    <t>marie-c-116538</t>
  </si>
  <si>
    <t>Je suis satisfaite des prix et des services compris. Merci
La rapidité de la prise en charge de ma demande. l'ergonomie du site est également satisfaire.</t>
  </si>
  <si>
    <t>hanoulle-m-111113</t>
  </si>
  <si>
    <t>Rapidité de contact et accompagnement pour l'élaboration de mon dossier d'assurance.
Les tarifs défient largement la concurrence et les explications sont très claires.
Merci à Coralie pour l'élaboration du contrat.</t>
  </si>
  <si>
    <t>21/04/2021</t>
  </si>
  <si>
    <t>onglechic-64331</t>
  </si>
  <si>
    <t xml:space="preserve">je suis adhérente depuis 2013. je suis assez satisfaite que l'on me recontact afin de refaire le point sur mes besoins. </t>
  </si>
  <si>
    <t>31/05/2018</t>
  </si>
  <si>
    <t>annabella-75101</t>
  </si>
  <si>
    <t xml:space="preserve">Bonjour
J'ai été contàctee par santiane pour une mutuelle et j'ai été très bien renseignée  !! Je suis soulagée d'avoir trouvé une mutuelle et surtout celle ci qui m'ont bien conseillée!!! On verra lors de mes soins si le tiers payant fonctionne bien . En tout cas je les remercie </t>
  </si>
  <si>
    <t>boris-52177</t>
  </si>
  <si>
    <t xml:space="preserve">pour signer un contrat rien de plus rapide  !! pour payer  idem pas de problemes   ,!!!!! </t>
  </si>
  <si>
    <t>08/02/2017</t>
  </si>
  <si>
    <t>stanie-62485</t>
  </si>
  <si>
    <t>Tant qu'il n'y a pas de sinistre, tout va bien.</t>
  </si>
  <si>
    <t>19/03/2018</t>
  </si>
  <si>
    <t>gerald-p-128115</t>
  </si>
  <si>
    <t>Il manque l'option sans franchise 
Le prix tous risques est un peu chère en vu du prix de mon véhicule et de mes années bonus...
Je vous fais remarquer que j'étais chez vous avant et que j'ai quitté car vous ne vouliez pas assurer une voiture puissante... c'est vraiment dommage.</t>
  </si>
  <si>
    <t>16/08/2021</t>
  </si>
  <si>
    <t>dkoc-102003</t>
  </si>
  <si>
    <t>IMPOSSIBLE de les contacter mail pas de réponse et par téléphone s  'ils veulent bien décrocher jusqu' 25 mm d'attente s'ils veulent bien nous répondre une HONTE quand aux prises en charge hospitalières très très difficile de les avoir les hôpitaux sont mécontents et menaçent de vous faire payer Cette mutuelle est vraiment à éviter et cher en plus.</t>
  </si>
  <si>
    <t>30/12/2020</t>
  </si>
  <si>
    <t>emmanuelle--91473</t>
  </si>
  <si>
    <t>Je trouve que le devis est très élevé pour le type de ce véhicule nous allons effectuer plusieurs devis à la concurrence pour pouvoir prendre notre décision</t>
  </si>
  <si>
    <t>18/06/2020</t>
  </si>
  <si>
    <t>gruntz-g-63007</t>
  </si>
  <si>
    <t>Assureur à éviter à tout prix. Me relance régulièrement avec injonction de payer pour une assurance que je n'ai même pas souscrite . il s'agit de forcer au paiement . et après deux recommandés et une réclamation sur le site internet, toujours des menaces de recouvrement et aucune réponse de l'assureur Allianz. C'est inadmissible. à éviter absolument</t>
  </si>
  <si>
    <t>06/04/2018</t>
  </si>
  <si>
    <t>leroux-71212</t>
  </si>
  <si>
    <t>Assureur v-l--r. Même contrat renoncé la société prélève une dime de 50 euros pour frais...!!!!                                                                               c'est la première fois que je j'essaye une assurance en ligne et ce sera la dernière fois avis aux nouveaux bêtatesteurs....</t>
  </si>
  <si>
    <t>rocky-81609</t>
  </si>
  <si>
    <t>assurance furtive ! ils nous prennent tous les mois de l'argent pour des couvertures précises, et le jour ou vous avez des problèmes de santé et pensant être couvert pour votre pathologie ,vous vous rendez conte qu'ils feront tout pour ne pas honorer leur prestations en jouant sur les mots et en faisant trainer au maximum pour vous décourager et que vous abandonniez !je pense qu'ils sont incompétent dans ce métier d'assurance!
je les déconseille fortement si on veut être bien couvert!</t>
  </si>
  <si>
    <t>04/12/2019</t>
  </si>
  <si>
    <t>marcello-r-115084</t>
  </si>
  <si>
    <t>A adopter rapidement !
Simple et facile !
Outil super intuitif !
Souscrivez car c'est l'Assurance moto au Meilleur Rapport Qualité Prix pour économiser au maximum.</t>
  </si>
  <si>
    <t>oswald-l-111256</t>
  </si>
  <si>
    <t xml:space="preserve">Bonjour 
Je suis tres satisfait  de ce service .il est rapide et efficace je conseille vivement cette assurance . Merci beaucoup.ca m a énormément aide
</t>
  </si>
  <si>
    <t>younes-b-125764</t>
  </si>
  <si>
    <t>Prix compara râble à celui de la concurrence, voire légèrement plus cher.
La conseillère à du répondre à ma demande même si elle a tout essayé pour ne pas m'accorder la remise des deux mois supplémentaires alors que je suis déjà client historique Direct assurance et que c'est pour un véhicule supplémentaire. La raison évoquée était que j'avais un contrat en cours de résiliation.
D'autant plus que nul part dans les conditions générales de l'offre des 2 mois gratuits, cette mention n'est renseignée.</t>
  </si>
  <si>
    <t>isma-70425</t>
  </si>
  <si>
    <t>J'ai déclaré un sinistre (non responsable) le 2/01/2019, et ça traîne jusqu'à aujourd'hui pour élaborer le dossier d'expertise... Je suis assuré à tout risque avec l'option "Sérénité" mais on n'est pas serein malheureusement. Direct Assurance ne donne des voitures de remplacement que pendant la réparation. Ceci veut dire qu'on me laisse attendre au moins 20 jours sans voiture le temps que l'expert fasse son passage, la chose que je trouve inadmissible et non professionnelle !! (un expert a maximum 48 h pour répondre à un ordre de passage!). c'est une assurance que je ne recommande absolument pas!</t>
  </si>
  <si>
    <t>21/01/2019</t>
  </si>
  <si>
    <t>zr7-123148</t>
  </si>
  <si>
    <t>bon prix bon accueille téléphonique et simplicité pour ajouter ou modifier un contrat . rien de plus à ajouter merci ou peut etre prendre plus en compte les années de permis que d°assurance pour le tarif</t>
  </si>
  <si>
    <t>khad-72196</t>
  </si>
  <si>
    <t>Assurance à fuir absolument.Suite à un sinistre la personne nous a dit enregistrer notre sinistre ce qu'elle n'a pas fait...!Nous avons appeller un plombier à nos frais et plus de réponses de la soit disant gestionnaire du dossier, impossible de la joindre non plus!!Apparemment il y a 1 gestionnaire par dossier et si elle n'est pas la bein personne ne reprend le dossier!! Tout simplement ABERRANT!!!Personne inefficace,pas qualifié, et très désagréable!!! Au final dégâts des eaux avec aucune aide alors que l'on paye une assurance depuis des années, et la seule fois ou il y a un soucis personne pour répondre!!!!</t>
  </si>
  <si>
    <t>15/03/2019</t>
  </si>
  <si>
    <t>01/03/2019</t>
  </si>
  <si>
    <t>karini-s-114931</t>
  </si>
  <si>
    <t xml:space="preserve">Je suis satisfaite d'avoir souscrit à l'olivier qui me fait réaliser de belles économies, mon porte feuille ne s'en portera que mieux, un grand merci à mon frère, mon parrain. </t>
  </si>
  <si>
    <t>26/05/2021</t>
  </si>
  <si>
    <t>78mino-50858</t>
  </si>
  <si>
    <t xml:space="preserve">ancien de la matmut plus de 30 ans!! ou  j allais dans mon agence et tous  étais résolu en sortant .Maintenant tous internet (le progrès) quatre mails pas de réponse. Demain assurance en ligne. </t>
  </si>
  <si>
    <t>02/01/2017</t>
  </si>
  <si>
    <t>totomy26-67874</t>
  </si>
  <si>
    <t>J'ai souscrit pour ma première voiture chez eux en tout risque. J'ai souhaité souscrire pour mon deuxième véhicule avec l'offre -10% MultiAuto avec les mêmes garanties.
Sauf que c'est une publicité mensongère. Il me proposait qu'une réduction de 2 euros.
La conseillère m'a expliqué que le prix était déjà intéressant mais n'a pas su m'expliquer pourquoi je n'avais pas -10 %.
Offre mensongère !!!!!!
Il ne respecte même pas leur propre condition d'offres promotionnelles.</t>
  </si>
  <si>
    <t>19/10/2018</t>
  </si>
  <si>
    <t>lacata-63838</t>
  </si>
  <si>
    <t>Bonjour,
Ayant été assuré auprès de ce courtier, je vous déconseille fortement de souscrire à leurs services, qui certes ont des tarifs très abordables. Ne vous laissez pas amadouer par leurs réponses efficaces lors de la souscription. Ayant été accidenté il y a maintenant 2 ans, je n'ai toujours pas été remboursé de mes dommages matériels. Vous tomberai systématiquement sur le standard qui vous dira que toutes les lignes "Service Sinistre" sont occupées. Je préfère payer le double du tarif et obtenir de vrais informations et conseils. A vous de voir ;)</t>
  </si>
  <si>
    <t>Assur Bon Plan</t>
  </si>
  <si>
    <t>07/05/2018</t>
  </si>
  <si>
    <t>mcs-101271</t>
  </si>
  <si>
    <t>Nous avons souscrits  une assurance  emprunteur avec intermédiaire  multi impact. Suite au décès  de mon conjoint en septembre 2020  multi impact m'a bien confirmé  le 9 novembre  que generali prenait bien en charge le prêt   que les fonds seraient  versés  dans les jours,aujourd'hui  1 mois après  toujours rien.
En sachant que ma première  demande date du 23 septembre. 
Pour payer  pas de problème  mais pour être  remboursé  c'est  autre chose.
Le fait de perdre  un conjoint engendre  des frais onéreux  .
Après plusieurs réclamations  rien avance et je continue  de payer mes échéances. 
En plus pas de coordonnées  pour joindre generali car il faut passer par multi impact.
Je ferai  pas de pub  bien au contraire</t>
  </si>
  <si>
    <t>11/12/2020</t>
  </si>
  <si>
    <t>andrzej-s-130925</t>
  </si>
  <si>
    <t>Nous sommes satisfait du service simple et rapide. 
Prix juste. 
L'assurance nous a été recommandé par des amis qui ont également assuré leur voiture chez direct assurance et ils en sont satisfait également.</t>
  </si>
  <si>
    <t>midudo-78098</t>
  </si>
  <si>
    <t>Low coast à tout niveaux..... Mépris  du client.  A eviter ...Priez afin de ne pas avoir de sinistre</t>
  </si>
  <si>
    <t>09/12/2019</t>
  </si>
  <si>
    <t>cecile-60386</t>
  </si>
  <si>
    <t>Je suis satisfaite de mon contrat chez SantéVet pour mon chat. Les remboursements se font dans les délais indiqués. Il faut bien lire à quoi on s'engage avant de signer comme pour toute assurance</t>
  </si>
  <si>
    <t>SantéVet</t>
  </si>
  <si>
    <t>11/01/2018</t>
  </si>
  <si>
    <t>alan-55680</t>
  </si>
  <si>
    <t>impossible de les joindre en cas de sinistre. 36heures d'appel et personne ne decroche.
la lettre recommandée suite au sinistre est arrivée chez eux depuis 8 jours et rien. Nul. le vide astral</t>
  </si>
  <si>
    <t>28/06/2017</t>
  </si>
  <si>
    <t>phil-103909</t>
  </si>
  <si>
    <t>décès de mon papa qui avait une assurance vie. J'ai fournit les documents par internet. Quelques jours après le virement était fait sur mon compte. Très bien. Clair rapide et sérieux.</t>
  </si>
  <si>
    <t>ml-31-111267</t>
  </si>
  <si>
    <t>Excellent assureur. Conseiller au top et gestionnaire de sinistre aussi. 
Ils font les avances de fonds sans facture. Ils sont très réactifs! 
Ils ne font pas partie des moins cher du marché mais la qualité de mon contrat est vraiment très bonne.</t>
  </si>
  <si>
    <t>stephane--h-114829</t>
  </si>
  <si>
    <t>navigation sur votre site ou sur l'appli pas du tous souple. Plante souvent. On ne peut pas re télécharger une carte grise malgré son changement. et lorsque l'on appel vos service, impossible?</t>
  </si>
  <si>
    <t>assurbj-57347</t>
  </si>
  <si>
    <t xml:space="preserve">Bonjour,
Je suis affiliée à la MAIF depuis 50 ans et je dois dire que je suis sans voix devant la façon dont mon dossier a été géré ce dernier mois.
Petit rappel des faits rapide:
Vol de ma voiture le 4 juillet 2017, la MAIF réagit rapidement et je bénéficie du prêt d'une voiture à partir de la mi juillet (je la rendrai en août). La voiture est retrouvée le 31 juillet par la gendarmerie avec de fausses plaques.  La MAIF nomme un expert. Il faudra attendre la 12 septembre pour que le rapport d'expertise soit pris en compte par la MAIF.
Le 14 septembre, je reçois un mail de la MAIF me disant qu'il n'y a pas d'infraction mécanique et électronique et donc le vol n'est pas matérialisé !!  ce mail rajoute que le véhicule "porte une immatriculation différente"
Je trouve cela hallucinant de la part d'un assureur à qui j'ai donné ma confiance pendant 50 ans. Les constructeurs et les assureurs savent très bien qu’il est possible de voler une voiture (notamment une Renault comme la mienne) par piratage électronique comme c'est décrit dans la video tournée par Auto Plus:
https://youtu.be/pYfrZ4HUF_c
Je ne comprends pas comment un assureur peut me dire que ma voiture qui a disparu quand je suis venu la reprendre et qui est retrouvé 26 jours plus tard avec des plaques différentes n'a pas été volée !!
C'est un manque de respect et de professionnalisme absolu !
Je déconseille très vivement de choisir la MAIF pour assurer votre voiture
</t>
  </si>
  <si>
    <t>15/09/2017</t>
  </si>
  <si>
    <t>01/09/2017</t>
  </si>
  <si>
    <t>coucou-50029</t>
  </si>
  <si>
    <t>pris qui augment chaque annee tres dur pour vous rejoindre au telephone</t>
  </si>
  <si>
    <t>07/12/2016</t>
  </si>
  <si>
    <t>christine-87358</t>
  </si>
  <si>
    <t xml:space="preserve">J'ai contacté la Maif en novembre suite à un problème de dégâts des eaux qui a révélé une malfaçon sur la toiture. La Maif a été très réactive pour le dégâts des eaux mais en revanche fait la sourde oreille pour m'apporter une aide à résoudre le problème de malfaçon et m'aider à faire valoir la garantie décennale. Il y a eu une erreur de leur part sur l'adhésion à un contrat de protection juridique et malgré mes relances régulières je n'ai pas  de réponse. Je suis profondément choquée, aucune reconnaissance de la fidélité ( je suis à la MAIF depuis 45 ans) </t>
  </si>
  <si>
    <t>aurore89-89772</t>
  </si>
  <si>
    <t>J'ai quitté la mutuelle depuis longtemps car très très chère et peu couvrante mais je suis obligé de rester à la MGEN en tant que sécurité sociale.
Avec mon époux nous avons perdu nos cartes vitales . Mr est a la cpam.La demande de carte a été faite en ligne avec scan de la photo. La cpam l'a envoyé 1 semaine après . Nickel rien a redire : facile , rapide et efficace .
Maintenant la MGEN ..... au bout d'1/4 heure sur le site je trouve un formulaire papier à imprimer, remplir et renvoyer à la mgen .... 
Au bout de 15 jours, ne voyant rien arrivé je suis passé à ma section et aucune trace de ma demande . Je remplis un nouvel imprimé et depuis 2 mois rien de bouge ( confinement sans doute ) 
Ça fait 3 mois que j'ai pas de carte vitale ( heureusement j'ai une attestation papier ) 
Pourquoi une démarche aussi simple est si complexe à la mgen .
Je me pose une question : puis je aller me faire inscrire en sécu à la cpam et quitter définitivement la MGEN car j'en peux plus de ces incompétents .
Si la MGEN peut me répondre ou si quelqu'un sait si on peut quitter la sécu mgen cela m'intéresse.</t>
  </si>
  <si>
    <t>19/05/2020</t>
  </si>
  <si>
    <t>thea-m-134360</t>
  </si>
  <si>
    <t xml:space="preserve">Le rapport qualité  prix  est satisfaisant pour une jeune conductrice  mais il est difficile de vous joindre par téléphone et d’avoir le même interlocuteur 
</t>
  </si>
  <si>
    <t>24/09/2021</t>
  </si>
  <si>
    <t>nono62-68130</t>
  </si>
  <si>
    <t>40 ans de cotisations pour quel bénéfice? Aucune valeur et beaucoup de dépenses inutiles. La MGEN s'est fourvoyée dans les habits du CAC40 et fait payer chèrement ses adhérents. On favorise les jeunes et on plume les anciens. On rembourse à minima, on invente des maladies nouvelles et on oublie l'essentiel. Dialogues de sourds, contacts difficiles, RTT et congés sacralisés. FUYEZ. Vous n'êtes pas mariés avec eux...!</t>
  </si>
  <si>
    <t>27/10/2018</t>
  </si>
  <si>
    <t>hyzer--104659</t>
  </si>
  <si>
    <t>Si nous pouvions mettre 0 étoile je pense que cette assurance le mériterait.
J’ai payé pour une prestation de recherche de fuite car mon voisin avait de l’eau qui coulait dans son appartement. Pensant que je serai remboursé et comme le problème venait bien de chez moi je ne me suis pas posé de question.
Après plusieurs semaines sans nouvelles je décide de contacter Sogessur pour savoir où en est mon dossier. Et finalement on me répond que je ne serai pas remboursé car il n’y a eu aucun dégât matériel chez moi ni chez mon voisin ! 
C’est une honte de payer une assurance qui joue sur les mots pour ne pas vous rembourser !</t>
  </si>
  <si>
    <t>23/02/2021</t>
  </si>
  <si>
    <t>david-j-111434</t>
  </si>
  <si>
    <t>Simple et pratique, accès en ligne rapide
Ancien client Direct assurance partie par obligation et retour aujourd'hui.
Accès facile devis compétitif
Merci</t>
  </si>
  <si>
    <t>23/04/2021</t>
  </si>
  <si>
    <t>abdel-74705</t>
  </si>
  <si>
    <t xml:space="preserve">Je ne vous conseil pas la maaf complètement déçu 25 ans chez eux et pour un sinistre on vous fais passer pour un fou on souhaité le rapatriement du notre véhicule ce qui as déjà était fais il y a 10ans on me dit que ça n'existe pas et que ça n'a jamais existé.. 
Ce véhicule on y tient vraiment c'est vrai son argus a a beaucoup baissé.
25 ans que l'on est chez eux pour toute nos assurances 3 voitures et habitation. 
Nous vraiment très déçu nous allons résilier </t>
  </si>
  <si>
    <t>03/04/2019</t>
  </si>
  <si>
    <t>kraus-m-131026</t>
  </si>
  <si>
    <t>je suis satisfait même si j'ai eu des problèmes  pour payer en ligne (j'ai du souscrire par téléphone...) 
la  je  sais  pas  quoi dire donc je  brode</t>
  </si>
  <si>
    <t>03/09/2021</t>
  </si>
  <si>
    <t>tanit-102001</t>
  </si>
  <si>
    <t>Un service client désastreux. Aucun suivi des dossiers. Service informatique qui ne marche pas. Attentes au téléphone pour contacter le service client interminables et infructueuses et facturées à un prix rédhibitoire... Aucun rappel d'un responsable malgré de nombreuses relances téléphoniques et écrites. Lettre avec AR envoyée au responsable du service client sans aucune réponse depuis plus d'un mois. Plus de 7 000 euros de soins bloqués et non remboursés sans la moindre explication. Un vrai scandale. Si vous cherchez une mutuelle passez votre chemin. Cette société est la pire avec laquelle vous puissiez avoir à faire.</t>
  </si>
  <si>
    <t>lesptitesblouses-60639</t>
  </si>
  <si>
    <t>Surprise..ancienne cliente de la gmf ou on ne meux pas choisir une date de prelevement...ancienne chez assu 2000 extremement cher et depannage pas moins de 50kms maison...l'onivier ma sauver niveau tarif..et date de prelevement..jai eu un pneu crever..ils mont envoyer la depanneuse car je narrivais pas a debloquer ma roue de secours..le depanneur a fait sur place...et je viens de peter mon pare brise..ilq mont depanner..preter un vehicule et fournis le taxi pour mes deplacements..je suis heureuse davoir trouver mon assureur</t>
  </si>
  <si>
    <t>schmitt-f-139189</t>
  </si>
  <si>
    <t xml:space="preserve">Je suis très satisfait les prix l'amabilité le service et l'accueil excellent très professionnel toujours à notre écoute cordialement monsieur Schmitt </t>
  </si>
  <si>
    <t>08/11/2021</t>
  </si>
  <si>
    <t>francois06-71746</t>
  </si>
  <si>
    <t>D'en invalidité catégorie 2 depuis le 01 novembre 2018, j'ai averti l'ag2r de cet état de fait le 16 octobre, depuis après 5 ou 6 courriers plus une dizaine de communications téléphoniques mon dossier était à l'arrêt, a noter que quelques jours après un appel ou l'on me dit que mon dossier est complet, je reçois systématiquement par courrier une nouvelle demande d'autres documents. Summum hier ou l'on m'annonce une fin de non recevoir de mon dossier, cependant le service client de l'ag2r n'est pas apte à me fournir une notification de refus qui me permettrait de saisir le conciliateur. Cerise sur le gâteau ils ne répondent pas aux mails laissés sur leur plateforme dans le menu réclamation.</t>
  </si>
  <si>
    <t>28/02/2019</t>
  </si>
  <si>
    <t>philippe-96057</t>
  </si>
  <si>
    <t>Très prompt à faire un devis et faire signer le contrat mais plus personne quand il s’agit de traiter une réclamation et surtout un art à faire traîner les choses.
Je déconseille fortement April</t>
  </si>
  <si>
    <t>16/09/2020</t>
  </si>
  <si>
    <t>bozzz-94143</t>
  </si>
  <si>
    <t>quand il s'agit de souscrire un contrat, eAllianz vous rappelle dans les 3min qui suivent votre demande de devis, par contre dès que vous avez payé, y a plus personne au service client... la validation de mon 1er contrat auto chez eux a quand même pris 5 semaines car ils n'étaient pas capables d'éditer un contrat avec les garanties que j'avais choisi sur leur site internet... au final, j'ai renoncé à mon choix initial pour pouvoir enfin être assuré car au bout de 4 échanges de mails avec 4 "conseillers" (stagiaires ??) différents, j'en avais plus que marre.... et je ne parle pas des mails restés sans réponses...</t>
  </si>
  <si>
    <t>15/07/2020</t>
  </si>
  <si>
    <t>eva-farfalle-102614</t>
  </si>
  <si>
    <t>Bonjour
La GMF est TOPISSIME !  Je la recommande vivement.
Suite à une recherche de fuite à cause d'un dégât des eaux dans mon appartement, le plombier m'a laissé une facture de 400 euros. GMF m'a remboursée intégralement de la recherche de fuite, sans même retenir une franchise sur la somme que j'avais déboursée.
Et ceci, dans des délais rapides (un peu plus d'un mois). GMF m'a ainsi récompensée de ma fidélité et comme je n'avais jamais eu de sinistres, cela a dû aider au remboursement intégral.
C'est mon assureur pour la multirisques habitation depuis des années et, au moment du sinistre, je peux compter sur lui. Je resterai donc fidèle à GMF, étant donné que tout se passe bien en cas de pépin. Rien ne vaut donc un assureur mutualiste comme la GMF.</t>
  </si>
  <si>
    <t>13/01/2021</t>
  </si>
  <si>
    <t>lounir-51271</t>
  </si>
  <si>
    <t xml:space="preserve">Assurance auto compétitive au niveau des prix et des garanties très réactive en cas de sinistre ou en cas de modification de contrat c'est pour cela que je la recommande </t>
  </si>
  <si>
    <t>13/01/2017</t>
  </si>
  <si>
    <t>stoparnak-80638</t>
  </si>
  <si>
    <t>Des marchands de tapis... On vous pousse au tout risque avec des arguments qui tombent dès le moindre sinistre (y compris non responsable )</t>
  </si>
  <si>
    <t>02/11/2019</t>
  </si>
  <si>
    <t>noreason-89222</t>
  </si>
  <si>
    <t xml:space="preserve">Non je ne recommande décidément pas la Maif à des personnes potentiellement intéressées même si c'est une grosse compagnie, grosse compagnie ne veut pas dire service excellent. Justement des dossiers ils en ont à la pelle, donc ce n'est pas un problème pour eux de se débarrasser de vous s'il le faut. Ils font en sorte de payer le moins possible lors des sinistres, tout en se dédouanant, délais dépassé, pas de témoin. Je pense que la plupart des assurances sont comme eux, voir pires malheureusement. J'ai été résilié abusivement de chez eux, ils ne m'ont jamais contacté pour savoir s'ils pouvaient prélever ou s'arranger à ce que mes contrats ne prennent pas fin. Vous avez droit à deux essais après c'est la porte s'ils jugent que vous avez été trop long sans pour autant vous appeler au préalable, vous expliquer ce qu'ils peuvent faire pour remettre votre dossier de non paiement à jour. Au bout de deux fois, vous n'avez plus le droit aux mensualités et il vous faudra vous acquitter de la somme restante entièrement chaque année, se référer au code des assurances, le fameux code, quoi de plus banal, non ? J'étais chez eux depuis 2011. Depuis avril je n'ai plus d'assurance grâce à leur résiliation, en plus ils sont souvent injoignables en période de crise comme maintenant. Ils ne prennent pas en compte les ressources, il n'y a pas non plus de bilan établi avec eux à chaque fin d'anniversaire de contrat afin de voir si tout va bien dans leurs contrats, si on est satisfait ou pas. Il faut les appeler sinon ils considèrent que tout se passe bien et vous pouvez passer plusieurs années sans que rien ne se passe tout en cotisant bien sûr, ça ils ne vont pas oublier. Tous les détails des rendez-vous téléphoniques et physiques sont écrits dans leur base de données, je pense qu'ils doivent établir des statistiques sur votre taux de rentabilité, il y a de fortes chances. Ce qui me laisse perplexe c'est le réel intérêt à les payer pour des contrats qui ne servent qu'à les enrichir, nous sommes juste des dossiers. Forme de déshumanisation de la personne. Pas de suivis réel, quand nous faisons une demande d'appel par rapport à un dossier ou un désaccord avec eux, pas de réponse. Juste, on nous fait comprendre en gros, qu'aucune réclamation ne sera accordée et pas de recours possible. A part leur faire un procès on va dire. Mais les tribunaux français, c'est pas ça non plus. On peut leur faire de la mauvaise pub ? Oh bien sûr. J'ai payé, je peux donner mon avis sur eux. C'est ce qu'il me reste à faire.  </t>
  </si>
  <si>
    <t>28/04/2020</t>
  </si>
  <si>
    <t>01/04/2020</t>
  </si>
  <si>
    <t>raul-louis-maifort--m-128452</t>
  </si>
  <si>
    <t xml:space="preserve">Je suis totalement satisfait du service Direct Assurance. La rapidité, la fiabilité et le professionnalisme sont les maîtres mots de ce service. et je le recommande </t>
  </si>
  <si>
    <t>18/08/2021</t>
  </si>
  <si>
    <t>gabin55--92789</t>
  </si>
  <si>
    <t>Aucun avis pour le moment. Car je suis pas encore assuré chez vous je veux bien admettre que les prix sont très intéressants.. selon votre devis je verrai j’aurais une vue d’ensemble de mon choix.merci
Cordialement.</t>
  </si>
  <si>
    <t>30/06/2020</t>
  </si>
  <si>
    <t>amimarc-76855</t>
  </si>
  <si>
    <t>Personnels aimables, compétents et très disponibles, réponses cohérentes et rapides</t>
  </si>
  <si>
    <t>17/06/2019</t>
  </si>
  <si>
    <t>barissa-69643</t>
  </si>
  <si>
    <t xml:space="preserve">COMPAGNIE A FUIR, JE SUIS ASSURE DEPUIS PLUS DE 10 ANS CHEZ EUX 2 VEHICULES + HABITATION UN DEGAT DES EAUX QUI DURE DEPUIS OCTOBRE 2018 ET QUI N'EST TOUJOURS PAS RESOLU;
EXPERTISE EFFECTUE EN 10 MINUTES. J AI DU ME BATTRE POUR QUE TOUS LES DEGATS  SOIENT PRIS EN COMPTE.
LA SOCIETE PARTENAIRE POUR LA REMISE EN TRAVAUX PAS SERIEUSE NE RESPECTE AUCUN DE LEUR ENGAGEMENT.
UN SEUL CONSEIL FUYEZ   </t>
  </si>
  <si>
    <t>22/07/2019</t>
  </si>
  <si>
    <t>levy-p-111275</t>
  </si>
  <si>
    <t>La souscription est simple et et le tarif intéressant sur un véhicule classé "luxe" dans d'autres compagnies. Gain de près de 30 % à couverture équivalente. Reste à voir en cas de sinistre si cet assureur tient ses promesses. Je croise les doigts !</t>
  </si>
  <si>
    <t>myki27-75701</t>
  </si>
  <si>
    <t xml:space="preserve">Comme commentaire et je n'est aucune action chez l'olivier à part ma propre expérience et ce qui me gène parfois est de voir certain commentaire sur les réseaux qui dénigre tel ou tel assurance tout le monde c'est ce plaindre quand il ne sont pas satisfait mais trop peut donne leurs avis quand il sont satisfait ! Je recommande l'olivier et rempile pour une deuxieme année ! </t>
  </si>
  <si>
    <t>07/05/2019</t>
  </si>
  <si>
    <t>matthieu-j-131679</t>
  </si>
  <si>
    <t>Pafait! Facile et rapide, très satisfait du service. Rien à dire si ce n’est que je reste fidèle à cette assurance qui fait le job. Continuez comme ça !</t>
  </si>
  <si>
    <t>07/09/2021</t>
  </si>
  <si>
    <t>jeremy-v-116489</t>
  </si>
  <si>
    <t>Cela fais maintenant la 3iem fois que je fais la démarche pour résilier ce contrat. Je viens d'apprendre qu'il est toujours actif alors que j'ai quitté cet appartement en aout 2018 . Donc non, je ne suis pas du tout satisfait d'avoir la mauvaise surprise par deux fois de payer pour rien et que mes demandes de résiliation ne sont pas prisent en compte.</t>
  </si>
  <si>
    <t>armando76450-76288</t>
  </si>
  <si>
    <t>J'ai eu un accident de moto le 7 mai 2019, tout à été très vite au début , prise en charge de la moto par une dépanneuse, emmener dans le garage de mon choix , l'expert est passer une semaine après ça, j'ai reçu un dossier de sinistre et les papiers de cession de la moto à ICARE ICV car la moto est rsv, j'ai tout renvoyé aussitôt , seulement depuis , aucune nouvelle d'ICARE ICV et amv me dit qu'il non pas de retour de leur part non plus , la moto est toujours chez mon garagiste et je ne sais pas quand je vais être remboursé, je commence à trouver le temps long !! Je comptait assurer ma voiture également chez eux , ont peut dire que pour l'instant c'est mal partie !!</t>
  </si>
  <si>
    <t>28/05/2019</t>
  </si>
  <si>
    <t>david-55907</t>
  </si>
  <si>
    <t>Je demande un devis. Je suis contacté par téléphone, on me vente les qualités de cette assurance, on me dit que je suis totalement assuré, bref... jusqu'au moment où je leur dit que je n'ai jamais été assuré en France mais dans un autre pays européen. On m'a raccroché au nez!</t>
  </si>
  <si>
    <t>chago-133177</t>
  </si>
  <si>
    <t>Rawane a parfaitement répondu à mes questions. Je l en remercie.
Je suis satisfaite des services de santiane qui me fait changer de mutuelle en fonction de mes besoins.</t>
  </si>
  <si>
    <t>dubeau-61755</t>
  </si>
  <si>
    <t xml:space="preserve">en 2004 j'ai eu n accident du travail en 2006 j'ai été reconnu inapte au travail mon employeur n'a pas déclaré mon accident du travail axa a refusé de faire complément de salaire après 10 ans de procédure axa vient d'être condamné  le jugement indique que le contrat est en vigueur mais axa refuse de payer voila la réalité axa savait que le contrat était en vigueur mais attends que l'ont baisse les bras pour pas payé 
a ce jour axa ne verse pas le complément mensuel ni le du
</t>
  </si>
  <si>
    <t>26/02/2018</t>
  </si>
  <si>
    <t>meresse-a-124251</t>
  </si>
  <si>
    <t xml:space="preserve">je suis satisfaite du prix de l'assurance. conseillé poli et clair. A voir dans le temps, si je serais autant satisfaite.                                   </t>
  </si>
  <si>
    <t>laetitia-p-131144</t>
  </si>
  <si>
    <t xml:space="preserve">Je suis satisfaite merci beaucoup les prix sont abordables .merci beaucoup merci beaucoup merci beaucoup merci  beaucoup merci beaucoup merci beaucoup </t>
  </si>
  <si>
    <t>guirande-103838</t>
  </si>
  <si>
    <t>Ayant 2 rachats partiel importants a effectuer, j'avoue que j'avais des craintes au vu des nombreux commentaires. Et bien non, tout a été impeccable, je suis passé par le GIE AFER et quelques jours après qu'ils aient reçu (en recommandé) mes demandes j'avais les virements sur mon compte bancaire.
Voilà, je tenais à donner mon avis.</t>
  </si>
  <si>
    <t>08/02/2021</t>
  </si>
  <si>
    <t>bellarej-a-112799</t>
  </si>
  <si>
    <t xml:space="preserve">le prix me convient 
satisfaite du faite que les démarches soient en ligne même la signature du contrat ça rend la souscription plus facile et efficace </t>
  </si>
  <si>
    <t>05/05/2021</t>
  </si>
  <si>
    <t>corinne-delr-104765</t>
  </si>
  <si>
    <t xml:space="preserve"> je ne conseil pas, prix élevé pour des garanties pas très intéressantes, par la suite j`ai contacter un courtier en assurance Emii big service qui sont à l`écoute et propose vraiment une formule adapté à vos besoins, Melissa Leblanc une conseillère très opérationnelle qui me suit encore même après la souscription de mon contrat, son numéro est le 04 65 84 99 03 si quelqu`un est intéressé </t>
  </si>
  <si>
    <t>25/02/2021</t>
  </si>
  <si>
    <t>mehdnight-71445</t>
  </si>
  <si>
    <t xml:space="preserve">
Je n ai pas eu vraiment besoin de les sollicité, juste quand il ont repris m'ont contrat auto il non pas résilié la totalité auprès de la macif.
Du coup faite très attention a supprimer tous les contrats lie a votre assurance auto, surtout que au début il s occupe de tout et finalement,je me suis retrouvé mon assurance plus les mois qui n étais pas résilié a la macif.
Le Prix reste élevé mais avec les deux mois gratuit qu'il proposais c était intéressant.
Malheureusement aucun alignement n'est possible vivement la fin d'année afin que je change d'assurance.
</t>
  </si>
  <si>
    <t>19/02/2019</t>
  </si>
  <si>
    <t>the-elec-97236</t>
  </si>
  <si>
    <t>Je ne recommande pas cette mutuelle. Mais alors PAS DU TOUT.
Mon compte a été suspendu depuis avril pour cause documents non reçus. 
Après plusieurs mois, je découvre finalement qu'il manque deux documents à leur transmettre, ce que je fais aussitôt. Seulement, après appels auprès du service client, ces derniers me disent qu'ils ont bien reçus mes documents mais que le traitement (entendez par là : la réactivation de mon compte) prendra 1 mois !!!! 1 mois… oui… juste pour appuyer sur un bouton et me repasser en statut "actif" et je ne parle que du délai pour réactiver mon compte !!!  À cela s'ajoute le délai de remboursement des montures et lunettes (par exemple).  On marche sur la tête avec cette mutuelle. Je déteste ce prestataire. Définitivement.</t>
  </si>
  <si>
    <t>10/09/2020</t>
  </si>
  <si>
    <t>david-c-117153</t>
  </si>
  <si>
    <t>je suis tres satisfait  de cette assurance  ZEN /UP que me propose ma banque tres bon rapport prix  qualité  ! je suis ravi que l'on me l'est proposé 
En vous remerciant 
cordialement à vous</t>
  </si>
  <si>
    <t>15/06/2021</t>
  </si>
  <si>
    <t>patoche-80395</t>
  </si>
  <si>
    <t>j'ai fait une demande de rachat partiel pour financer en partie un achat immobilier il y a un mois. Pas de versement à la date, pas de moyen de contacter le GIE (prétexte de migration informatique) ni par téléphone ni par courriel. Je risque de perdre la vente et payer des indemnités au vendeur</t>
  </si>
  <si>
    <t>nabil-b-127679</t>
  </si>
  <si>
    <t xml:space="preserve">Rien a dire niveau rapport qualité prix c’est le top du top et l’accueil téléphonique est super je recommande fortement cette assurance spécialisée dans la moto </t>
  </si>
  <si>
    <t>emilie-75303</t>
  </si>
  <si>
    <t xml:space="preserve">C'set dommage nous sommes obligés de mettre au moins une étoile !!!
J'ai été assurée pendant un moment , avec aucun accident responsable , mais pour eux tout est considérer comme responsable (remorquages , accident non responsable,...) 
aucun suivit des clients, aucun traitement des documents envoyé Obligés de les relancer sans cesses 
Délai d'attente est juste énorme !
Et tou pour couronnée le tout , il m'ont pas voulu assurer mon nouveau véhicule , le coup de sang m'as pris , JE PART DE CETTE ASSURANCE !!
</t>
  </si>
  <si>
    <t>23/04/2019</t>
  </si>
  <si>
    <t>pascaldd-72077</t>
  </si>
  <si>
    <t>assuré depuis le 6/2/19 je suis nouuveau client mais très decu en restant poli.
ils n ont pas fait le necessaire aupres de l ancienne assurance pour la résiliation en se trompant d adresse.
ils repoussent l assurance de 1 mois jusqu a avril au lien de mars et me prévienne par mail et me retrouve a payer 150 euros aupres de l ancienne assurance et ne me font aucun geste commerciale.
j ai voulu donc annuler car je suis pas encore assuré sachant que j ai payé 3 mois d un coup le 6/3/19, et me dise qu il faut une demande de resiliation par courrier alors que tout a été par mail pour la souscription, sachant que je ne suis meme pas encore assurer. ils ont envoyé la nouvelle demande aujourd,hui.
comment faire pour qu il me rembourse ces escros...
pas etonnant que certains deviennent fou et se rende justice eux meme........</t>
  </si>
  <si>
    <t>12/03/2019</t>
  </si>
  <si>
    <t>carine-l-129978</t>
  </si>
  <si>
    <t>Bons prix. Réactivité au top (démarche téléphonique et les salariés répondent aux questions de manière claire et précise). 
J’espère que le code promo inscrit fonctionnera car deux véhicules de mon foyer sont assurés par vos soins</t>
  </si>
  <si>
    <t>28/08/2021</t>
  </si>
  <si>
    <t>eylo-59810</t>
  </si>
  <si>
    <t xml:space="preserve">Assurance catastrophique. Avec le prêt immo du CA nous avons fait confiance à la banque et n avons pas fait attention des prises en charges. Nous payons 40€ par mois pour une maison qu'à moitié assurée. Nous partons donc pour la maaf et la, facture de Pacifica 35€ pour qu ils vérifient que la maaf assure bien contre l incendie. Et quand j appele pour dire ,et si je suis mal assurée ?  He bien tant pis pour vous !  Vous devrez vous débrouiller pour garantir le remboursement du prêt. je répond donc que les 35€ de  verif ne servent a rien puisque assuré ou non je peux résilier avec vous grâce à la loi !  la réponse de ma conseillère.. Oui Madame mais c'est comme ça..  
Ben oui tiens faites ce que vous voulez. On est la que pour tout payer de toute facon  </t>
  </si>
  <si>
    <t>19/12/2017</t>
  </si>
  <si>
    <t>leslie-a-106462</t>
  </si>
  <si>
    <t>Collaborateurs très aimables, qui prennent le temps de bien expliquer.
J'espère que cela sera aussi simple s'il m'arrive un sinistre.
Tarif très avantageux par rapport à la concurrence.</t>
  </si>
  <si>
    <t>13/03/2021</t>
  </si>
  <si>
    <t>hugo-p-126515</t>
  </si>
  <si>
    <t xml:space="preserve">Une démarche claire et efficace. En quelques minutes, on obtient une estimation et un devis avantageux. Seul assureur à proposer une solution pour ce type de véhicule pour un jeune conducteur et à un prix raisonnable. </t>
  </si>
  <si>
    <t>04/08/2021</t>
  </si>
  <si>
    <t>gbodineau-54566</t>
  </si>
  <si>
    <t>Allianz nous résilie le contrat sous prétexte de "sinistre et/ou fréquence de sinistres" après 10 ans d'assurance. Nous avons eu uniquement deux petits accrochages responsables à deux ans d'intervalle. Nous avions pourtant 0.5 de coefficient depuis le début du contrat.</t>
  </si>
  <si>
    <t>10/05/2017</t>
  </si>
  <si>
    <t>lolo--103589</t>
  </si>
  <si>
    <t xml:space="preserve">merdique trop avec une hausse tarifaire horrible et cher .... aucun interlocuteur, retards de remboursements ... j attends la fin de ma 1ere annee pour resilier et quitter cet enfer  </t>
  </si>
  <si>
    <t>03/02/2021</t>
  </si>
  <si>
    <t>el-amrani-a-124645</t>
  </si>
  <si>
    <t>Satisfaits à recommander
Facilité prix en bon rapport avec les garantis proposer je vous le conseil pour votre assurance auto sauf pour l'habitation un peu élever pour moi</t>
  </si>
  <si>
    <t>sengdewane-g-117898</t>
  </si>
  <si>
    <t>La souscription est rapide et efficace avec des points précis . Lecture simple du contrat et Bonne synthèse pour une bonne compréhension . Moyen de paiement aussi .</t>
  </si>
  <si>
    <t>22/06/2021</t>
  </si>
  <si>
    <t>arthis7-76945</t>
  </si>
  <si>
    <t>Agent axa à Darnétal totalement dépassé depuis le départ de son père, plus aucune gestion des contrats, se lance dans la banque et gestion de patrimoine. Ils savent prendre de l'argent mais sans contrepartie. Les conseillers quittent l'agence les uns après les autres... c'est très mauvais signe !!</t>
  </si>
  <si>
    <t>19/06/2019</t>
  </si>
  <si>
    <t>mougel-l-111000</t>
  </si>
  <si>
    <t>je suis satisfaite du prix et de l'accueil ,par rapport à mon assurance actuelle qui est beaucoup trop chère et pour les mêmes garanties . je ne regrette pas d'avoir changé .</t>
  </si>
  <si>
    <t>20/04/2021</t>
  </si>
  <si>
    <t>flodu-98510</t>
  </si>
  <si>
    <t xml:space="preserve">Je suis très satisfait de ma mutuelle santé qui répond efficacement et rapidement à mes questions et problèmes. Rien d’autre à signaler en dehors de ces points. </t>
  </si>
  <si>
    <t>08/10/2020</t>
  </si>
  <si>
    <t>deflandre-j-126068</t>
  </si>
  <si>
    <t xml:space="preserve">Je suis satisfait du service, 
Le est Prix plutôt abordable comparé au autre, 
Je suis juste un peu déçus de pas pouvoir me parrainez à ma conjointe. </t>
  </si>
  <si>
    <t>kelly51530-51170</t>
  </si>
  <si>
    <t xml:space="preserve">Assurance trop chère lors d'un seul sinistre. Le rapport qualité prix n'est pas valable. Je suis partie 1 fois. Revenue pour avoir toutes mes assurances chez le même assureur.  Je pense arrêter mon contrat auto.déçu </t>
  </si>
  <si>
    <t>10/01/2017</t>
  </si>
  <si>
    <t>di-celmo-f-125078</t>
  </si>
  <si>
    <t xml:space="preserve">je suis satisfaite 
facile l'espace client et tres comprensible
le prix c'est bien avec tous les garanties prevues et  que je considere indispensables
</t>
  </si>
  <si>
    <t>27/07/2021</t>
  </si>
  <si>
    <t>sensoo-57378</t>
  </si>
  <si>
    <t>Axa Agence Crocombette Paris 19. Très bien ! Accueil, service, disponibilités. Le site internet AXA est une blague inutile et pas drôle.</t>
  </si>
  <si>
    <t>lidier-s-134235</t>
  </si>
  <si>
    <t>bien rien à dire je verrai dans le temps si j'ai bien choisi. pour le moment c'est trop tôt pour me donner une avis. les premiers contacts sont satisfaisant</t>
  </si>
  <si>
    <t>gilles-d-123377</t>
  </si>
  <si>
    <t xml:space="preserve">Tarif dorénavant trop élevé par rapport à d'autres compagnies à garanties équivalentes y compris avec dépannage 0 km. J'envisage donc de résilier mon contrat, </t>
  </si>
  <si>
    <t>etienneviegas-104370</t>
  </si>
  <si>
    <t xml:space="preserve">Bon renseignement acceuil rapide intervention clair et rapide pas beaucoup d'attente demande d'amélioration de mon contrat dans un avenir proche concernant les remboursements de soins </t>
  </si>
  <si>
    <t>17/02/2021</t>
  </si>
  <si>
    <t>nester-71854</t>
  </si>
  <si>
    <t xml:space="preserve">Ils m'ont indiqué qu'il n'était pas nécessaire que mon Furet soit pucé au moment de prendre l'assurance et lorsqu'il a fallu rembourser des frais il a été exigé que je prouve que mon animal était pucé. Résultats aucun frais remboursé. </t>
  </si>
  <si>
    <t>04/03/2019</t>
  </si>
  <si>
    <t>dragonne59-78309</t>
  </si>
  <si>
    <t xml:space="preserve">bonjour je suis a l arrêt depuis avril vous prenez le relais pour les paiement mes ces tres long je n ai toujours rien alors que je vais avoir des paiement a effectuer et on me dit pas de paiement prévu peut êtres semaine prochaine mes il y a le 15/08 alors on c pas pas grave si les gens sont dans la précarité c pas votre problème sa </t>
  </si>
  <si>
    <t>09/08/2019</t>
  </si>
  <si>
    <t>bruno-70838</t>
  </si>
  <si>
    <t>Fuyez, fuyez !!! Je suis assuré depuis toujours à la GMF sans aucun incident. L'été dernier, fissures suite Etat de catastrophe naturelle pour mouvement des sols. L'expert est passé, et toujours aucune nouvelle de la GMF. Aprés plusieurs mois d'appel (ils sont pratiquement injoignables), on me répond que mon dossier est clôturé, alors que je n'ai aucun rapport d'expertise... C'est honteux ! Voyant leur erreur, la GMF me répond qu'il n'y a aucun mouvement de sol alors que les fissures courent partout du sol au plafond et nous sommes reconnus en catastrophe naturelle !!! J'explique que toutes les maisons du voisinages sont indemnisées sauf la mienne. Et là, la cerise sur le gâteau, on me demande si la maison à des pieux au sol ? Ma maison date de 1870 c'est un corps de ferme tout en pierre... 
Bref, l'état de catastrophe naturelle ne veut rien dire pour la GMF.
Le mot mutualité ne veut plus rien dire pour la GMF.
Pour dépenser des millions en sponsoring pour un XV de France qui ne vaut plus rien, là, ils sont fort....</t>
  </si>
  <si>
    <t>valentin-m-112196</t>
  </si>
  <si>
    <t xml:space="preserve">C'est parfait ! Merci April car pour je ne sais quelle raison RUN de chez direct assurance duquel je suis client a refuser de m'assurer alors que je n'ai jamais eu le moindre sinistre de toute ma vie ! </t>
  </si>
  <si>
    <t>30/04/2021</t>
  </si>
  <si>
    <t>goubelle-l-127072</t>
  </si>
  <si>
    <t>Service rapide, je suis satisfaite de l'ensemble de la manoeuvre du devis jusqu'à la finalisation du contrat. Je recommande cette assurance a tout le monde.</t>
  </si>
  <si>
    <t>08/08/2021</t>
  </si>
  <si>
    <t>teddy-p-128680</t>
  </si>
  <si>
    <t>Je ne peux pas donné mon avis puisque je ne suis pas encore chez vous,mais je pense et j'espère faire des économies. Je donnerai un avis favorable ou défavorable dans un an.</t>
  </si>
  <si>
    <t>tarik-81484</t>
  </si>
  <si>
    <t>bonjour,
client Maaf depuis plus de 15ans, cette aprem je reçois un appel soit j'accepte que ma franchise augmente a 500€ soit je résilier mon assurance. 
sur le c...., je demande la raison,..... donc c'est par apport a la fréquence des sinistres, soit: 4 sinistres dont 1 responsable, 1 brise-glace, et 2 non responsable. pour 2 véhicules assurer tous risque.
si c'etais les 4 responsables je peux comprendre mais la ils abusent vraiment.
donc je préfére  mille fois résilier même s'il faut payé plus cher ailleurs que rester avec eux. question de respect et confiance.
résumer: tant que vous avez pas de problème tout va bien.</t>
  </si>
  <si>
    <t>18/06/2021</t>
  </si>
  <si>
    <t>moktar-b-125392</t>
  </si>
  <si>
    <t xml:space="preserve">je suis satisfait ma voiture est bien assurée auprès de votre compagnie je suis en sécurité lors de mes déplacements 
je conseille vivement votre compagnie  </t>
  </si>
  <si>
    <t>jean-yves-c-131256</t>
  </si>
  <si>
    <t>super rapide en attendant l envoi des pieces alors que cela bloquait avec d'autres, je voulais juste récuperer ma moto pour un trajet de 5 km seulement donc parfait</t>
  </si>
  <si>
    <t>04/09/2021</t>
  </si>
  <si>
    <t>pion-51514</t>
  </si>
  <si>
    <t>La plus mauvaise mutuelle de groupe que j'ai jamais connu!!!
Services RH: fuyez!!</t>
  </si>
  <si>
    <t>20/01/2017</t>
  </si>
  <si>
    <t>joseph46-96061</t>
  </si>
  <si>
    <t>Suite à un dégâts des eaux causé par un tiers non identifié dans un cellier d'un appartement locatif en copropriété, je prends contact avec mon assurance. (je suis le propriétaire)
Conseiller très disponible, à l'écoute. Après une brève explication un dossier est ouvert et dans un premier temps, une somme de 200€ (évaluation approximative par mes soins) vas m'être versée. L'argent sur mon compte 3 jours après, on ne peut pas être plus rapide !!!
La confiance est là...c'est comme ça que je conçoit une assurance...Merci PACIFICA, je recommande.</t>
  </si>
  <si>
    <t>07/08/2020</t>
  </si>
  <si>
    <t>davsons82-104491</t>
  </si>
  <si>
    <t>depuis le 1er janvier j'ai choisi cegema mutuelle. je suis en galère pour ls remboursements, cette mutuelle n'a toujours pas pris contact avec ma cpam , je suis obligée de demander des décomptes cpam pour ensuite les envoyer à cegema en espérant des remboursements qui ne viennent pas . Je suis âgée, malade, a mobilité réduite, je commence a déprimer et je regrette d'avoir abandonné mon ancienne mutuelle que j'avais depuis 20 ans. un démarcheur m'avait convaincu  de prendre cegema. il faut que j'attende un an pour changer de mutuelle. dans quelle galère je me suis mise</t>
  </si>
  <si>
    <t>19/02/2021</t>
  </si>
  <si>
    <t>hefde40-104553</t>
  </si>
  <si>
    <t>Les tarifs sont très élevés et le service rendu est déplorable. Impossible de les joindre quand on a besoin de mettre en œuvre le contrat d'assurance souscrit (malgré des courriers, de multiples appels, des messages laissés sur le répondeur...). Lorsque par miracle on réussit à les joindre, ils font délibérément trainer et demandent une multitude de pièces justificatives dans le seul but de retarder le versement des prestations dues. J'ai dû saisir le médiateur de l'assurance pour obtenir gain de cause !</t>
  </si>
  <si>
    <t>Malakoff Humanis</t>
  </si>
  <si>
    <t>titidenis-138733</t>
  </si>
  <si>
    <t xml:space="preserve">satisfaction entre le client et l'assurance rapidité confiance, suite a une catastrophe naturelle survenue le 20 octobre 2021 et bonne relation prise en charge rapidement avec mon interlocuteur par téléphone </t>
  </si>
  <si>
    <t>02/11/2021</t>
  </si>
  <si>
    <t>cathyswb-97085</t>
  </si>
  <si>
    <t xml:space="preserve">Bonjour, je suis assurée depuis 16 ans à Gan prévoyance et cette année , plus moyen d'avoir en ligne mon contrat santé, plus de remboursement de la part mutuelle que j'avance chez certains médecins, pas de remboursement d'une séance ostéo en Juin alors que c'est compris dans mon contrat et en plus refus du devis de mon dentiste , devis représenté trois fois avec toujours la même réponse négative et alors que mon dentiste pratique dans une clinique mutualiste.
Moralité: je change de mutuelle.
</t>
  </si>
  <si>
    <t>Gan</t>
  </si>
  <si>
    <t>29/09/2020</t>
  </si>
  <si>
    <t>ivan-w-131086</t>
  </si>
  <si>
    <t>Simple et rapide, à voir dans le temps car s'inscrire est une chose, profiter du service en est une autre. Mais cela semble plus simple que chez beaucoup d'autres assureurs.</t>
  </si>
  <si>
    <t>johanlou-50827</t>
  </si>
  <si>
    <t>Tres bonne prestation mais meme en assurance tour risques, il pratique une augmentation des tarifs trop
Importante annuel!!!!</t>
  </si>
  <si>
    <t>paul56-64871</t>
  </si>
  <si>
    <t>Je n'ai pas l'habitude de noter sur internet mais la gestion de mon sinistre s'est très bien passée j'ai été bien guidé et remboursé en une semaine</t>
  </si>
  <si>
    <t>18/06/2018</t>
  </si>
  <si>
    <t>armin-b-106772</t>
  </si>
  <si>
    <t>J'ai souscrit ma nouvelle voiture en 5 minutes. c'est simple et la transaction a ete tres rapide. Le prix n'est pas le plus bas que j'ai trouve. neanmois je suis tres content</t>
  </si>
  <si>
    <t>16/03/2021</t>
  </si>
  <si>
    <t>slh-j-100264</t>
  </si>
  <si>
    <t xml:space="preserve">Une catastrophe! 
Une assurance qui vous mène en bateau mais qui est incapable de vous défendre correctement... une gestionnaire sinistre incompétente et désagréable  qui appelle sans meme avoir pris la peine d’étudier votre avant et ne sait pas de quoi elle parle, on se demande qui est le client? 
Pour finir par vous dire on ne peut pas vous couvrir il faut payer! 
Une honte ... </t>
  </si>
  <si>
    <t>18/11/2020</t>
  </si>
  <si>
    <t>ron-56739</t>
  </si>
  <si>
    <t>L'assurance "Cardif Direct" est une tromperie : 
- frais de dossier rajoutés au moment de la signature
- risques exclus sur questions non posées (déplacements professionnels à l'international)
- ce n'est pas si direct, car on découvre en cours de route qu'on parle des fois à un courtier sans savoir ce qu'il y fait ...
A éviter à tout prix !</t>
  </si>
  <si>
    <t>18/08/2017</t>
  </si>
  <si>
    <t>lisbeth70-67420</t>
  </si>
  <si>
    <t>En invalidité 2 catégorie suite à une maladie et l'assurance ne me prend pas en considération car il est estimé que je ne rentre pas dans leur pourcentage accordé  alors que j'avais pris 100% par tête.</t>
  </si>
  <si>
    <t>07/10/2018</t>
  </si>
  <si>
    <t>lechauve51--106953</t>
  </si>
  <si>
    <t>Beaucoup tp d erreur. Vs ne dites Jamais les meme chose lors des appels téléphoniques. Je trouve aussi l augmentation de mon contrat d assurance auto inapproprié vu le contexte actuel.</t>
  </si>
  <si>
    <t>17/03/2021</t>
  </si>
  <si>
    <t>leclaire-y-112722</t>
  </si>
  <si>
    <t>Brie de glace à 125€ en remplacement c'est un peu cher, 70€ aurait été plus acceptable 
Et une option assistance juridique aurait été bien aussi.
Sinon c'est très bien.</t>
  </si>
  <si>
    <t>breizh56-65510</t>
  </si>
  <si>
    <t xml:space="preserve">D'abord leur outil de reconnaissance vocale est nul )tout simplement)! 
Ensuite à chaque fois que je veux les contacter, j'ai au moins 10 minutes d'attente au minimum !. 
Enfin, j'avais une assurance juridique et suite a un problème de nounou, j'appelle pour avoir des renseignements. La on m'explique que c'est une autre assurance "emploies familiaux". 
On me la propose en me disant bien que je pourrai l'utiliser (en plus avec la revue de mes contrats, je paie légèrement moins cher qu'avant pour plus de couverture !!! (maintenant j'ai l'assistance emplois familiaux incluses pour moins cher). 
Ensuite, j'appelle pour mes problèmes de nounou et là on me dit que comme je leur en ai parlé avant, la protection employé à domicile ne marche pas !! 
Donc faite bien attention quand vous appelez la MAIF, il traque tout ce que vous dites. 
J'ai écrit à leur PDG (Lettre recommandée), aucune réponse. 
Mais dois -je m'en étonner ? 
Quand on est mauvais, on l'est jusqu'au bout. </t>
  </si>
  <si>
    <t>16/07/2018</t>
  </si>
  <si>
    <t>laurence-b-121834</t>
  </si>
  <si>
    <t>Je vous remercie de votre aide précieuse, de votre patience et du bon accueil au téléphone. Je vous recommanderai avec plaisir. Simplicité et efficacité ont été les maîtres mots.</t>
  </si>
  <si>
    <t>30/06/2021</t>
  </si>
  <si>
    <t>xavier-100866</t>
  </si>
  <si>
    <t xml:space="preserve">Si vous chercher juste une carte verte, allez y ! Pour le reste je déconseille !
2 contrats auto chez eux et meme pas la remise de 10% sur le second contrat ??
Bye Bye l'Olivier ?? 
1 etoile juste pour la forme ??
</t>
  </si>
  <si>
    <t>02/12/2020</t>
  </si>
  <si>
    <t>paul-m-107283</t>
  </si>
  <si>
    <t>Je ne suis pas satisfait du prix car j'ai des devis beaucoup moins cher quand je fais une simulation sur internet, y compris de Direct Assurance et les conseillers ne me considèrent pas;</t>
  </si>
  <si>
    <t>20/03/2021</t>
  </si>
  <si>
    <t>ahmed-c-128737</t>
  </si>
  <si>
    <t xml:space="preserve">satisfait du service rapide
prix trop élevée pour jeune conducteur ( 3ans de travail CDI en livreur chauffeur)
je souhaite être contacter svp pour plus d'infos
</t>
  </si>
  <si>
    <t>20/08/2021</t>
  </si>
  <si>
    <t>anny-104420</t>
  </si>
  <si>
    <t>C'est un assureur automobile réactif, très arrangeant et dont les tarifs sont corrects et compétitifs. Je le recommande.
Après la destruction de mon véhicule lors d'un accident il y a quelques années, alors que ma responsabilité n'était pas engagée, l'indemnisation dont j'ai été dotée a été très très satisfaisante.
Reste à connaitre les conséquences en cas de sinistres particuliers sans preuve de responsabilité comme l'endommagement du véhicule sur un parking sans que l'auteur laisse des coordonnées. Ce domaine est aujourd'hui la source de bien des tracas pour des assurés qui uniquement par malchance ont à changer d'assureur et doivent alors payer un prix très fort pour continuer d'être couverts par une société d'assurance.
Si les garanties classiques sont connues, les modalités relatives à la problématique de la survenue de plus d'un évènement pour lequel la responsabilité de l'assuré n'est pas engagée est une nébuleuse.</t>
  </si>
  <si>
    <t>alexandr-52439</t>
  </si>
  <si>
    <t>je suis toujours en attente de règlement des 1300 euros suite a l'accident non responsable du mois de novembre 2016. Les appels vers le service client sont complètement inutiles parce que ils ont pas d'information sur les sinistres, et la dernière réponse de service sinistre à ma lettre est la suivante:
Madame, Monsieur,     
Nous revenons vers vous dans le cadre du sinistre du 28/10/2016, dans lequel votre véhicule ********* immatriculé ******** est impliqué, suite à votre dernier courrier.
AXA (assureur de votre véhicule pour Active Assurances) nous a informé le 9 février rester dans l’attente des fonds de la compagnie adverse afin de pouvoir vous rembourser.
Nous reviendrons vers vous lorsque AXA nous aura précisé avoir reçu les fonds.
Nous vous prions de recevoir, Madame, Monsieur, nos salutations respectueuses.</t>
  </si>
  <si>
    <t>15/02/2017</t>
  </si>
  <si>
    <t>yaniss-96246</t>
  </si>
  <si>
    <t xml:space="preserve">Assurance a fouir conseiller ne gère pas les dossier attentes d’un sinistre des eau du voisin lui son assureur a vite géré son dossier avec l’expert alors que moi le sinistré rien na foutre il me demande des devis après pour me dire ces trop cher à croire qu’il fond des arrangements avec l’autre assurance on axa me propose 1000e alors que les devis étais de 3500e quand tu demande pourquoi l’expert n’est pas passer chez moi pour savoir le coup des travaux il vous sorte une histoire enfin à fouiiiire il y’a mieux comme assureur </t>
  </si>
  <si>
    <t>12/08/2020</t>
  </si>
  <si>
    <t>francky-57210</t>
  </si>
  <si>
    <t>Je suis assuré pour ma 2eme voiture chez direct assurance depuis plusieurs années et je n'ai jamais eu de soucis. 
Le service client est joignable rapidement et les dossiers de sinistre sont traités rapidement. Les prix sont raisonnables.
Je recommande +++</t>
  </si>
  <si>
    <t>09/09/2017</t>
  </si>
  <si>
    <t>robert-g-114387</t>
  </si>
  <si>
    <t>Service satisfaisant, faciliter de souscription depuis le site
Possibilité d'inclure ou non des options, contrat modulable.
Rapport prix/protection bon</t>
  </si>
  <si>
    <t>20/05/2021</t>
  </si>
  <si>
    <t>guills06-93963</t>
  </si>
  <si>
    <t>Bonne Mutuelle dans l'ensemble, bien rembourser et dans des délais corrects (1 semaine) Quelques soucies avec la gestion du contrat au début, mais après ça va ! Site vraiment bien fait au niveau des détails des remboursements (4 conteurs, FRAIS Santé- REMBOUSEMENT SECU - VIREMENT SUR VOTRE COMPTE - VIREMENT AU PROFESSIONNEL SANTE) et en dessous la liste des remboursements détaillés ! Seul défaut gênant du site c'est de retrouver votre formule dans le contrat, il faut vous en souvenir, sinon le PDF donne toutes les formules.
Gros défaut qui me pousse à changer, c'est le prix. Au départ très correct vu les remboursements pris en charges, mais chaque année au premier janvier la cotisation augmente beaucoup, après 2 ans j'en suis à environ passer de 170€ pour 4 (2 enfants 2 adultes) à maintenant environ 210€. dommage...</t>
  </si>
  <si>
    <t>13/07/2020</t>
  </si>
  <si>
    <t>thierry-g-127101</t>
  </si>
  <si>
    <t xml:space="preserve">Comme toujours très satisfait , je recommande assurance moto verte , depuis plusieurs années client, et ne changerai pour rien au monde 
Cordialement 
Thierry Garcia </t>
  </si>
  <si>
    <t>lorene-b-116140</t>
  </si>
  <si>
    <t>Satisfaite du service.
La souscription en ligne est simple et pratique.
Il est facile d'imprimer des documents importants à tout moment.
L'application mobile est bien faite.</t>
  </si>
  <si>
    <t>06/06/2021</t>
  </si>
  <si>
    <t>francis-c-110278</t>
  </si>
  <si>
    <t>je suis satisfais de cette assurance et je la conseille. pas de papier tous par internet , le prix et au plus juste rien a dire de plus que ça continu .</t>
  </si>
  <si>
    <t>taormina1200-65631</t>
  </si>
  <si>
    <t>Facilité à conclure un contrat personnalisé sur internet en confiance réciproque. Contact téléphonique facile et compétent.</t>
  </si>
  <si>
    <t>19/07/2018</t>
  </si>
  <si>
    <t>christine-b-131359</t>
  </si>
  <si>
    <t xml:space="preserve">très satisfais de notre assurance grande confiance depuis très  nombreuses année j aimais un seul souci très a l écoute trouve toujours une solution.je vous conseille cette assurance </t>
  </si>
  <si>
    <t>05/09/2021</t>
  </si>
  <si>
    <t>aline-a-137265</t>
  </si>
  <si>
    <t xml:space="preserve">Vos explications , détails et propositions sont simples et compréhensibles. J'ai trouvé dans cette formule une possibilité adaptée à mon cas . Je vous remercie pour le détails de votre procédure .  
</t>
  </si>
  <si>
    <t>13/10/2021</t>
  </si>
  <si>
    <t>isabelle-68458</t>
  </si>
  <si>
    <t>Service client déplorable. façon de traiter le client en dessous de tout</t>
  </si>
  <si>
    <t>crocrinelle-56439</t>
  </si>
  <si>
    <t>le côté humain doit être une option pour cet assureur. En panne à l'étranger au matin du retour en France, je ne me suis pas sentie soutenue du tout par mon conseillé. Aucun appel de leur part pour me tenir informé de l'évolution de mon dossier. Apres 2 heures d'attente pour la dépanneuse j'ai du relancé deux fois l'assurance pour avoir des nouvelles. 
La réparation s'est terminé vers 21h et là je contacte de nouveau l'assurance puisqu'il ne s'en donne pas la peine pour savoir comment gérer car il est trop tard pour reprendre la route. Et là, on me dit de me débrouiller, la voiture est réparée pour eux plus de problème. Trouver un endroit où dormir pour mes quatre enfants et moi même, le cadet de leur soucis. 21h à l'étranger: débrouillez vous   !!! 
Encore merci pour le côté humain de cette assurance</t>
  </si>
  <si>
    <t>02/08/2017</t>
  </si>
  <si>
    <t>yol-96143</t>
  </si>
  <si>
    <t xml:space="preserve">Impensable . Pas joignable ni pas téléphone, ni par mail, pas davantage par fax . Devis dentaire envoyé depuis 2 mois sans réponse. Par fax, réponse sensée être sous 48h toujours rien au bout de 15 jours..  Facile de prélever tous les mois une somme conséquente pour ne rien assumer derrière, pas même des renseignements...  Cegema Villeneuve Loubet 06272  Adhérent 31402479  N° AMC 98534803  </t>
  </si>
  <si>
    <t>pierre-pons-117825</t>
  </si>
  <si>
    <t>victime d'une déchirure de liner de piscine( vieux d'une grosse année) par un tiers  assuré à la MAAF je suis sidéré par la tournure des choses, en effet je m'explique:  j'apprend  que pour pouvoir faire intervenir un remboursement  de mon préjudice qui s'élève à 380€(prix du liner neuf) la MAAF à demandé l'avis d'un expert   et qu'un expert de mon assurance  devait  aussi se déplacer. j'habite à 60 km de bordeaux et je vais donc pour avoir demandé cette prise en charge de préjudice déclencher des frais d'expertise d'une valeur certainement bien supérieure à la pièce endommagée. Mais heureusement que des experts bien formés vont pouvoir justifier que c'est bien une déchirure car la déclaration sur l'honneur faite par les deux parties pourraient être remise en cause. Dans quel monde on vit? messieurs les gens de la MAAF faites moi vite un petit calcul du bilan Carbon de cette opération et du coût non négligeable de ce manque de confiance envers vos assurés pour lesquels  Je suis désolé, car ils vont devoir payer cette mascarade ! si la MAAF a de  l'argent à dépenser de cette manière c'est qu'elle pourrait plus sérieusement baisser ses mensualités vous ne croyez pas?</t>
  </si>
  <si>
    <t>georgy-f-128123</t>
  </si>
  <si>
    <t xml:space="preserve">Je suis très satisfaite du prix, et des prestations, ainsi que le personnel, je recommencerai cette assureur à mes connaissances. Papiers facile à remplir et signer en ligne. 
</t>
  </si>
  <si>
    <t>cecile-68981</t>
  </si>
  <si>
    <t>Mon acte de biologie ne m'a été remboursée car montant trop élevé pour eux malgré d'autres remboursement du même type. Nul.</t>
  </si>
  <si>
    <t>28/11/2018</t>
  </si>
  <si>
    <t>stephanie-50589</t>
  </si>
  <si>
    <t>les tarifs sont top mais dès que vous avez des sinistres, la MAAF résilie votre contrat, je suis dans ce cas en ce moment</t>
  </si>
  <si>
    <t>22/12/2016</t>
  </si>
  <si>
    <t>termote-l-113181</t>
  </si>
  <si>
    <t>satisfait de mon assureur. Prix compétitif. Site facile à utiliser. Rapidité pour les documents. traitement des contrats facilités. Réponse rapides des conseillers.</t>
  </si>
  <si>
    <t>09/05/2021</t>
  </si>
  <si>
    <t>darkou73-93574</t>
  </si>
  <si>
    <t>contact du service client via messenger, une gentillesse exceptionnelle et une écoute professionnelle ! merci beaucoup à Maeva ??</t>
  </si>
  <si>
    <t>09/07/2020</t>
  </si>
  <si>
    <t>claudecom-50673</t>
  </si>
  <si>
    <t>Bonjour. Je viens de recevoir la décision de l'assurance Cardif de mettre fin, à la prise en charge de mon "DOSSIER", Suite à une nouvelle étude au vu des conclusions du rapport d'expertise, de leur médecin-conseil. Celui-ci a constaté que je ne suis plus en arrêt de travail au sens de l'assurance à laquelle j'ai adhéré.
Conformément aux clauses définissant le cadre de leur garantie, mon taux contractuel d'incapacité est inférieur à 66%?
Ma réponse à cela, un courrier recommandé contestant leur décision.
J'ai du mal à comprendre que le médecin de la Sécurité Sociale, trouve que mes capacités sont réduites aux 2/3 au moins, ma capacité de travail ou plus de gain justifiant mon classement en catégorie 2.
Si je suis en incapacité aux 2/3, si je compte bien, cela donne environ 66.6666666666....%, à moins que je ne sache pas faire un calcul simple de fraction, donc plus de 66%.
Il est bien entendu que ma pension d'invalidité représente 50% de mon ancien salaire, pour la caisse de Sécurité Sociale, ce n'est pas vraiment mon taux d'invalidité.
Etant donné que je ne peux plus exercer mon métier, pour plusieurs points, la position assise, debout, le travail qu'il m'aurais été possible de faire, selon le médecin de la médecine du travail et du télé-travail une heure par semaine, puisque j'ai du mal à me concentrer.
Je pense qu'il a de nombreuses personnes dans mon cas.
Vous pouvez êtres rassurés, je vais faire du bruit, ici et ailleurs.
Cordialement à tous et bon courage dans vos démarches.</t>
  </si>
  <si>
    <t>27/12/2016</t>
  </si>
  <si>
    <t>jeanjak--107264</t>
  </si>
  <si>
    <t xml:space="preserve">Cafouillage complet durant des mois lors de la création de l'A.S.S. d'Etat créée par E. MACRON
LETTRES-CHEQUES de quelques euros envoyées sans explications autre qu'un simple numéro de dossier, alors que j'avais la CMU
Sans réponse a plusieurs lettres de ma part demandant explications, voire une entrevue au Siège Parisien 75015 Paris bd de Vaugirard
Mauvaises notes en général, de la part d'autres assurés 
Pour conclure, esprit totalement bancaire et non d'un assureur. Pas étonnant, PACIFICA est la filiale du Crédit Agricole
</t>
  </si>
  <si>
    <t>kokou-v-130706</t>
  </si>
  <si>
    <t>Je suis satisfait mais un peu chère.le prix de la franchise est un peu trop pour un premier contrat.veuiller revoir cela dans l'avenir pour les nouveaux clients.merci</t>
  </si>
  <si>
    <t>laulau5475-99841</t>
  </si>
  <si>
    <t xml:space="preserve">Démarchage téléphonique. On vous promet une superbe couverture. Tout se fait très très très vite. Il faut signer. Puis, au moment où l'on a besoin de faire soigner son animal bah ! Comme c'est drôle ! Petit paragraphe dans le contrat dont on vous parle absolument pas. Toutes les exclusions ! Je paye plus de 28e par mois pour rien au final. Je suis obligée d'attendre encore 8 mois pour résilier. J'aurais payé pendant trois ans pour rien ! C'est une honte. Ne souscrivez rien dans la précipitation par démarchage téléphonique ! </t>
  </si>
  <si>
    <t>08/11/2020</t>
  </si>
  <si>
    <t>gael-l-124635</t>
  </si>
  <si>
    <t xml:space="preserve">Je suis content du service et des prix par rapport à mon dernier assureur. Je ne savais pas quel assureur prendre, avoir dans le temps et en cas de problème. </t>
  </si>
  <si>
    <t>ju-109215</t>
  </si>
  <si>
    <t>Satisfaction équivalente au niveau des prix. Financièrement très intéressants mais je vous déconseille vivement de tomber en panne!! Je déconseille vivement!!!</t>
  </si>
  <si>
    <t>duplouis-g-130985</t>
  </si>
  <si>
    <t xml:space="preserve">Très bons conseils, écoute,  Renseignements, tarif intéressant par rapport à la concurrence. 
conseiller sympathique et disponibie. A voir sur le long terme </t>
  </si>
  <si>
    <t>thierry--100173</t>
  </si>
  <si>
    <t>Tres satisfait de l'accueil que j'ai eu à l'agence de sisteron 04 , prix correct,  très bonnes explications , après 20 ans chez eurofil , je me sens bien assurer et pour moins cher.</t>
  </si>
  <si>
    <t>16/11/2020</t>
  </si>
  <si>
    <t>stella-71410</t>
  </si>
  <si>
    <t xml:space="preserve">Je suis choquée de l'incompétence des équipes. 
c'est simple , tout se passe très bien quand on a besoin de rien mais dès que nous faisons appel à eux, plus rien ne va.
pour eux il est logique d'augmenter les tarifs d'une année à l'autre sans négociation possible et sans même prévenir. j'ai essayé plusieurs fois de les joindre et sur mon compte personnel mais aucun tarif pour l'année 2019 n'est affiché et que je n'ai pas reçu de courrier. Et au vu du prix je leur demande cette fois de mensualisé l'assurance mais là IMPOSSIBLE selon l'interlocutrice. Nous sommes à 15 jours du prélèvement mais la seule solution qu'on me propose est de faire opposition.
je compte bien résilier mes 2 contrats </t>
  </si>
  <si>
    <t>20/02/2019</t>
  </si>
  <si>
    <t>laurie-b-135380</t>
  </si>
  <si>
    <t>Très bien
Simple et rapide
Et beaucoup moins cher que mon ancienne assurance de voiture
Je recommande vraiment
Je suis très satisfaite
Inscription en 5 min</t>
  </si>
  <si>
    <t>keymar7-64075</t>
  </si>
  <si>
    <t>Au moment de la souscription, J’ai du remplir et leur renvoyer 3 fois une déclaration sur l’honneur pour dire que entre la vente de mon ancien véhicule et l’achat du nouveau je n’ai pas été assuré. (2 semaines d’intervalle). Pour me rappeler 3 semaines après pour me dire que j’ai menti, je n’ai pas été assuré plus de 3 ans consécutifs parce que j’ai attendu 2 semaines pour acheter ma voiture, du coup le tarif passait de 80€/mois à 120€/mois. J’ai résilié ! Mais ils ont garder mais 2 premiers mois avancés! À fuiiiiiiiiiire!</t>
  </si>
  <si>
    <t>18/05/2018</t>
  </si>
  <si>
    <t>philux-107937</t>
  </si>
  <si>
    <t xml:space="preserve">Je suis satisfait de la mgp.
Disponibilité des conseillers et démarches par internet.
Peut être une application pour smartphone serait la bienvenue.
Les nouveaux tarifs sont intéressants.
</t>
  </si>
  <si>
    <t>dos-santos-a-131729</t>
  </si>
  <si>
    <t>Je suis Satisfait de l’accueil téléphonique et du prix 
Rapide et efficace 
J’espère ne pas avoir de problème de paiement ainsi de problème avec l’assurance .</t>
  </si>
  <si>
    <t>dylin-49458</t>
  </si>
  <si>
    <t>Depuis un moment je m'obstine à envoyer mes papiers manquants par mail (carte grise et relevé d'information), toujours les mêmes mails de relance. Mon assurance provisoire s'arrête le 25 et toujours pareil, la seule fois où j'ai eu un conseiller il m'a dis de pas m'inquiéter mais je ne peux pas rouler sans assurance. Logique.</t>
  </si>
  <si>
    <t>23/11/2016</t>
  </si>
  <si>
    <t>nicolas-m-111453</t>
  </si>
  <si>
    <t xml:space="preserve">je suis satisfait du service lors du sinistre bris de glace intervenu il y a quelques semaines.
tout c'est bien passé.
je recommande votre intervention rapide et efficace.
merci </t>
  </si>
  <si>
    <t>francois-d-112604</t>
  </si>
  <si>
    <t>injoignable pour un rmboursement  très compliqué de suivre mon sinistre  bien dommage de cz type d'échange  bien désolé de cette prise en charge 
j'attends leur retour</t>
  </si>
  <si>
    <t>didou-115004</t>
  </si>
  <si>
    <t xml:space="preserve">J'ai eu ce jour une conversation téléphonique avec Soukaina. Cette dame est très aimable et a su régler ma demande efficacement. Je suis très satisfaite. </t>
  </si>
  <si>
    <t>caroline-m-124790</t>
  </si>
  <si>
    <t>Equipe à l'écoute et aimable. Réactivité et rapidité de traitement. Rien à redire sur vos services nous en sommes très satisfaits. Côté commercial, je trouve regrettable de n'avoir pu bénéficier de l'offre des 2 mois gratuits (annoncée sur votre message d'accueil jusqu'au 31/08 sans date de début) parce que celle-ci débute au 1er juillet et que j'ai souscris un contrat au 30 Juin..?!?</t>
  </si>
  <si>
    <t>26/07/2021</t>
  </si>
  <si>
    <t>theu-54102</t>
  </si>
  <si>
    <t xml:space="preserve">J'apprends par courrier simple ce samedi 15/4 week-end Pascal (absent la semaine pour déplacement pro) la résiliation de l'un de mes 2 contrats auto pour défaut de paiement. J'ai roulé 5 j sans assurances sans le savoir... Pas de courrier recommandé, sms ou email de rappel comme le disent les télé-conseillers, qui de plus ne permettent pas de régulariser comme je le demande ! De plus je dois malgré tout régler la cotisation annuelle alors que je ne suis plus assuré... Il y a là un véritable couac et pour un moi un très important préjudice. Le seul SMS reçu de DA date de 9 jours en arrière, il s'agit d'une publicité ! J'étais certain d'avoir réglé, en toute bonne foi. Un simple appel téléphonique et j'aurai régularisé. Je règle mes échéances en une seule fois, aucun problème de solvabilité...  Ma voiture est immobilisée, je ne peux pas m'en servir notamment pour aller travailler mardi... J'espère un règlement amiable du litige très rapide. </t>
  </si>
  <si>
    <t>15/04/2017</t>
  </si>
  <si>
    <t>margo-80844</t>
  </si>
  <si>
    <t>Révoltée : adhérente depuis 24 ans, j'ai effectué un rachat partiel en ligne le 18/10/2019, à ce jour toujours rien sur mon compte. De plus aucun moyen de savoir quand votre argent sera viré sur votre compte, tant par votre propre conseiller qui se heure au même problème de communication avec eux.
Pour ma part je me suis engagée auprès de plusieurs fournisseurs que je ne peux régler du fait de l'incompétence de l'AFER.  Je compte leur envoyer les factures dont celle de l'ehpad de ma maman qu'il faut régler tous les mois.</t>
  </si>
  <si>
    <t>08/11/2019</t>
  </si>
  <si>
    <t>bouba-57284</t>
  </si>
  <si>
    <t>J'ai eut un accident de moto avec constat de gendarmerie, comme souvent quand on est blèssé.
April moto ne paye pas la moto avant 4 à 5 mois après l'accident , ils donnent l'excuse qu'il n'ont pas le constat alors que la gendaremerie la envoyer 15 jours apres l'accident. Et s'est vrai que s'est compliqué de passé un coup de tel au gendarme.
En plus il laisse courir l'assurance de la moto alors qu'ils l'ont déclaré épave et donne le prétexte qu'il attende le papier de vente de l'épave .
J'étais auparavent avec un autre assureur, je suis allé chez eux car ils se dissent spécialiste des deux roues, A vous les motards, sauvez vous vite si vous etes assuré chez eux</t>
  </si>
  <si>
    <t>12/09/2017</t>
  </si>
  <si>
    <t>tigan31-88379</t>
  </si>
  <si>
    <t>la pire assurance qui se trouve.
je regrette vraiment que j'ai pris cette direct truc, 
Je déconseille vraiment cette assurance. Si vous voulez prendre le risque d'être jamais indemnisés, ben si ce qu'il yade mieux</t>
  </si>
  <si>
    <t>15/04/2020</t>
  </si>
  <si>
    <t>sunny-81796</t>
  </si>
  <si>
    <t xml:space="preserve">J'ai attendu plus de deux heures pour une dépanneuse. Le pire c'est qu'à chaque fois ils me demandaient d'attendre encore 24 min. A aucun moment il m'a été demande si je voulais faire appelle à une autre dépanneuse.  </t>
  </si>
  <si>
    <t>24/10/2020</t>
  </si>
  <si>
    <t>stephane-f-114285</t>
  </si>
  <si>
    <t xml:space="preserve">les prix sont très correctes et la demande sur internet et très faciles, les conseiller très disponible 
on verra dans le temps si le service et toujours aussi facile </t>
  </si>
  <si>
    <t>cedric-m-132449</t>
  </si>
  <si>
    <t>Je suis satisfait du tarif de l assurance et c est une superbe assurance a des prix attractifs et surtout que je connais bien depuis plusieurs années.</t>
  </si>
  <si>
    <t>11/09/2021</t>
  </si>
  <si>
    <t>aime-de-dieu-m-105376</t>
  </si>
  <si>
    <t>Je suis certainement satisfait du service et le prix me paraît tout à fait abordable.... En général, le service me semble simple et très pratique.....</t>
  </si>
  <si>
    <t>pignoux-d-126975</t>
  </si>
  <si>
    <t xml:space="preserve">Je suis satisfait du service car il rapide , simple et efficace.les tarifs sont très satisfaisant pour les offres proposées d'ainsi que les options proposées. </t>
  </si>
  <si>
    <t>07/08/2021</t>
  </si>
  <si>
    <t>antonny69-101465</t>
  </si>
  <si>
    <t>Totalement satisfait de la MGP qui a été là suite à un accident suivi d’une chirurgie complexe.. très humains et compétents je ne regrette pas mon choix. De plus j’apprécie le soutien aux forces de sécurité par le biais de nombreuses actions.</t>
  </si>
  <si>
    <t>15/12/2020</t>
  </si>
  <si>
    <t>retraite-93151</t>
  </si>
  <si>
    <t xml:space="preserve">contrat art 83, capital acquis 21000 Euros à 62 ans. rente viagère proposée (espérance de vie 24 ans pour un homme de 62 ans en France) : 700 Euros par an. faites le calcul : rentabilité - 1.7 % par an...
très peu réactifs pour transférer le contrat chez un autre assureur (mise en demeure nécessaire)
intervention du médiateur des assurances nécessaire pour qu'ils paient les intérêts de retard prévus au code des assurances.
</t>
  </si>
  <si>
    <t>03/07/2020</t>
  </si>
  <si>
    <t>cara-59894</t>
  </si>
  <si>
    <t>je contacte l'assistance maif car j'ai du faire appel à un serrurier pour ouvrir ma porte .Je veux me renseigner sur mes garanties</t>
  </si>
  <si>
    <t>benedicte-78647</t>
  </si>
  <si>
    <t xml:space="preserve">L'assistance macif n'est pas respectueuse ne respecte pas le contrat de départ pour lequel on paye tous les mois. Suite a une demande de raptriement on se retrouve avec un véhicule beaucoup plus petit que celui pour lequel on paye une assurance et l'assistance ricane au téléphone ... Très professionnel !!!! </t>
  </si>
  <si>
    <t>23/08/2019</t>
  </si>
  <si>
    <t>monique-96885</t>
  </si>
  <si>
    <t xml:space="preserve">A fuir !!! Assurée depuis plus de 20 ans, bonus maximum, je reçois un AR qui m'avertit de la résiliation de mon assurance. Aucune réponse à mes demandes d'explications. Je leur aurait coûter trop cher en réparation!!! Je n'ai eu aucun sinistre depuis plus de 3 ans !!! </t>
  </si>
  <si>
    <t>31/08/2020</t>
  </si>
  <si>
    <t>gilbert-f-127357</t>
  </si>
  <si>
    <t>le site est très facile d'accès, le déroulement est simplicime, ont est bien guidé, et surtout c'est instantané, expérience positive, je recommande vivement</t>
  </si>
  <si>
    <t>katia-r-109112</t>
  </si>
  <si>
    <t xml:space="preserve">Je ne suis pas très satisfaite âpre avoir fait plusieurs tentatives pour envoyer les photo de mon permis qui et toujours en cour et ci elle passe toujours pas sa sera annulé </t>
  </si>
  <si>
    <t>04/04/2021</t>
  </si>
  <si>
    <t>nicolas-l-116404</t>
  </si>
  <si>
    <t xml:space="preserve">Parfait bon tarif et rapidité va à l'essentiel, la transaction est facile assez simple je la recommande pour un quad c'est une bonne assurance au niveau le plus </t>
  </si>
  <si>
    <t>08/06/2021</t>
  </si>
  <si>
    <t>angie-94764</t>
  </si>
  <si>
    <t xml:space="preserve">Etant en arret maladie depuis le 14 decembre j attends depuis fin mai que mon dossier qui  est complet tout les documents ont ete envoyer par l employeur ce que me confirme les conseillers que j arrive a joindre sur le hotline depuis 2 mois on me prend pour une andouille et le mot est bien faible a chaque appel on me confirme que mon dossier est complet que la date de delai de paiement est depasser depuis un moment dans un premier temps on me demander debut juin 3 semaines de delai apres les 3 semaines toujours rien la on m annonce 10 jours de delai encore rien et ce matin on me confirme que mon dossier st bien complet mais qu il faille encore attendre.Mais comment paie t on les factures chaque mois  leur reponse " je comprends madame;c est honteux je decide donc ce jour de m adresser a des autorités competente comme 30 millions de consomateurs c est honteux de laisser les gens dans cette situation sans ne rien faire a part me dire j envoie ENCORE une relance au service gestion </t>
  </si>
  <si>
    <t>21/07/2020</t>
  </si>
  <si>
    <t>annick30-70129</t>
  </si>
  <si>
    <t xml:space="preserve">Adhérente depuis plus de 30 ans je n'ai jamais eu de problème particulier avec la MGP... jusqu'à aujourd'hui ! J'ai fait un courrier de résiliation de mon ayant droit (ma fille) le 15/11/17, et je me rends compte un an plus tard que l'on me prélève une année de cotisation pour elle alors qu'elle n'a pas utilisé sa mutuelle pendant cette période (forcément, elle pensait ne plus y être adhérente). Je précise que la somme prélevée est considérable. Afin de me faire rembourser cette somme, j'envoie tous les justificatifs par AR de tous les soins et hospitalisations pour l'année écoulée de ma fille, preuves qu'ils ont bien été remboursés par sa nouvelle mutuelle. On m'accuse réception (au plus tard possible) et depuis plus rien... on nous endort à coups de "on étudie votre demande on vous rappelle", mais rien ! Quoique, à la réflexion, ce n'est pas pire que les téléconseillères qui vous traitent de menteuse au téléphone et vous hurlent dessus. Je suis effarée je n'ai jamais vu ça ! Ce n'est vraiment plus ce que c'était. Comment ne peut-on pas prendre en compte la bonne foi d'une adhérente de plus de 30 ans ? Où est l'humain dans tout cela ? </t>
  </si>
  <si>
    <t>melanie-t-58981</t>
  </si>
  <si>
    <t>6 mois qu'on me trimballe d'un service à un autre avec des informations contradictoire. A propos de l'affiliation mutuelle santé obligatoire! J'ai rempli une demande d'affiliation qui n'a toujours pas été traité. D'un côté on me dis que mon dossier a été rompu par mon employeur en janvier 2016 alors que j'étais toujours salariée de mon entreprise ( j'ai fait une rupture conventionnelle au mois d'août 2017) et que par conséquent ils ne pourront rien faire pour moi alors même que les cotisations sont inscrites sur mes fiches de paies chaque mois. D'un autre côté, on me dis que mon dossier est créée, que suite à ma rupture je dois envoyer le bia de portabilité avec plusieurs autres documents justificatifs. Or lorsque je demande mon numéro de mutuelle pour pouvoir me faire rembourser de mes frais de santé on me répond qu'ils ne le trouvent pas et on me demande de contacter le service affiliation et qui me répond de nouveau que mon contrat mutuelle a été résilié et on me demande de patienter jusqu'à l'appel d'un conseiller. 2 ans que j'attends mon affiliation . Aucune réponse.</t>
  </si>
  <si>
    <t>carette-a-123047</t>
  </si>
  <si>
    <t>SIMPLE ET RAPIDE 
LA GESTION TOUT EN LIGNE FAIT GAGNE UN TEMPS PRECIEUX
LA SIGNATURE ELECTRONIQUE DU CONTRAT EST PRATIQUE ET INSTANTANEE ! 
PAS BESOIN D4ATTENDRE POUR AVOIR SA CARTE D' ASSURANCE ;</t>
  </si>
  <si>
    <t>10/07/2021</t>
  </si>
  <si>
    <t>tatiana-t-104383</t>
  </si>
  <si>
    <t>MERCI BEAUCOUP. Je suis tres content de conversation... tout est bien passe... j'espère la banque va accepter cette contrat d'assurence 
Merci beaucoup encore</t>
  </si>
  <si>
    <t>jean-francois-r-105536</t>
  </si>
  <si>
    <t>De moins en moins compétitif niveau tarifs, je vais sérieusement songer à d'autres solutions si les prix continent de grimper comme cela, surtout après une année covid ou l"on a peu roulé donc moins de risque pour les assurances.</t>
  </si>
  <si>
    <t>tazette-134830</t>
  </si>
  <si>
    <t>Ayant eu un sinistre NON RESPONSABLE en août j'ai eu l'obligation d'avancer la franchise de 399€ pour je ne sais combien de temps car mon agent doit me rappeler depuis 5 jours et le service client me raccroche au nez quand vous leur demander combien de temps cela va prendre.... Déplorable.</t>
  </si>
  <si>
    <t>28/09/2021</t>
  </si>
  <si>
    <t>metais-c-124070</t>
  </si>
  <si>
    <t>Pour le moment tout va bien 
Je suis nouvelle cliente chez vous, et pour le moment tout va bien. J’espère avoir le même niveau de satisfaction si jamais j’ai un soucis</t>
  </si>
  <si>
    <t>21/07/2021</t>
  </si>
  <si>
    <t>leo-l-136782</t>
  </si>
  <si>
    <t xml:space="preserve">Prix raisonnable à voir si en cas de sinistre tout ce passe bien.
Devis rapide, je n'ai encore eu personne au téléphone mais selon les autres commentaires le service a l'air rapide. A voir
</t>
  </si>
  <si>
    <t>09/10/2021</t>
  </si>
  <si>
    <t>georges-105507</t>
  </si>
  <si>
    <t>Très bon agence, assureur à l'écoute des clients ont cas de litiges,ou pour tout autre renseignement comme assurances habitation.  continuer comme ça.cdl Georges</t>
  </si>
  <si>
    <t>04/03/2021</t>
  </si>
  <si>
    <t>nlamti-116337</t>
  </si>
  <si>
    <t>Je n'ai rien à dire que de les fuire, quitte ce qu'il n'en reste qu'eux comme assurance, je ne vous raconte pas le non professionnalisme de cet assurance, bon courage à tous ceux qui sont convaincus</t>
  </si>
  <si>
    <t>fabrice-g-101541</t>
  </si>
  <si>
    <t>Prix attractif, rapidité et facilité de la procédure jusqu'à la signature.
J'attends de voir les prochaines étapes en relation avec la banque prêteuse.</t>
  </si>
  <si>
    <t>hugues-d-111338</t>
  </si>
  <si>
    <t xml:space="preserve">Bonjour,
Je suis globalement satisfait du service, très accessible par internet. Les prises de RDV demeurent difficiles, dans des délais raisonnables.
Hugues DESORMEAUX
 </t>
  </si>
  <si>
    <t>oli-88100-96894</t>
  </si>
  <si>
    <t>Trés pro. Je suis rassurée d'être suivis par cette assurance. La communication est trés facile par le chat MSN. Le prix est très compétitif, pour le reste je n'est pas encore a utilisé leur service .</t>
  </si>
  <si>
    <t>gardian-87320</t>
  </si>
  <si>
    <t>Incompréhensible,trois mois et plusieurs courriers sans réponse, suite à ma demande de versement de l'assurance-vie de mon épouse.Adhérent de l'association: UFC QUE CHOISIR j'ai demandé son intervention et comme par hasard les fonds ont été debloqués huit jours plus tard.D'autre part depuis le 19/12/2019 je  suis en attente du décompte des ptélèvements sociaux???</t>
  </si>
  <si>
    <t>18/02/2020</t>
  </si>
  <si>
    <t>titi-54875</t>
  </si>
  <si>
    <t>bonjour,les prix sont attractif sur le tarif annuel,mais pas sur les franchises accident,c est pour cela que j envisage prochainement de partir chez groupama car meme tarif et garantie et cela sans franchise en cas d accident eventuel....je ne trouve pas cela normal,et prochainement je vais leur retirer 3 contrat automobile...a moins qu il me propose des contrat sans franchise en cas d accident,ce que groupama propose au quasi meme tarif et garantie....</t>
  </si>
  <si>
    <t>23/05/2017</t>
  </si>
  <si>
    <t>rien-de-rien-128646</t>
  </si>
  <si>
    <t>Bonjour il mon traitée de menteur je sort de chez eux le mois prochain il ont perdu un sociétaire de 45 ans je tourne la page avec la maif non je la déchire 
 cette page de 45 ans une étoile ces trop pour eux dommage il sont 0 pour moi</t>
  </si>
  <si>
    <t>chris-101918</t>
  </si>
  <si>
    <t>Bonjour je suit en colère voila 2 mois que j'ai signalé par lettre recommandé avec A.R la vente de mon véhicule impossible de joindre qui que se soient ras le bol je suit pas prés de revenir chez vous .</t>
  </si>
  <si>
    <t>28/12/2020</t>
  </si>
  <si>
    <t>christophe--s-105052</t>
  </si>
  <si>
    <t xml:space="preserve">j'ai pu trouver rapidement des réponses à mes questions et de faite ai pu m'engager. Je vais pouvoir souscrire un contrat pour mon véhicule afin de regrouper toutes mes assurances dans la même société.
</t>
  </si>
  <si>
    <t>laffond-t-115854</t>
  </si>
  <si>
    <t>je suis satisfait du service, conseiller concis et serviable. Le prix est correct. Reste à voir ce qui se passera si un accident m'arrive et si le suivi client est aussi qualitatif</t>
  </si>
  <si>
    <t>03/06/2021</t>
  </si>
  <si>
    <t>sebastien-n-133598</t>
  </si>
  <si>
    <t xml:space="preserve">Ok nikel rapide pas cher, j’espère que ce sera pareil au cas où il arrive un problème.
Merci j’attends les documents et la carte verte dans les meilleurs délais </t>
  </si>
  <si>
    <t>ben13-55067</t>
  </si>
  <si>
    <t xml:space="preserve">ASSURBONPLAN (AXA) a fuir absolument. Cotisations qui montent de 100 euros après 1 année (sinistre non resp.) des heures pour les joindre pour ensuite se faire raccrocher au nez au moment de l'envoi des relevés d'informations pour changer d'assurance! DES SEMAINES DE GALÈRE FUYEZ ASSURBONPLAN. PASSEZ LE MOT. en attente de résiliation pour assurance 240 euros moins cher sur ma moto. </t>
  </si>
  <si>
    <t>cathy-a-106408</t>
  </si>
  <si>
    <t>Je suis satisfaite par la simplicité et la rapidité du traitement de ma demande. Seul bémol, je ne retrouve pas dans votre contrat la garantie valeur à neuf fournie dans mon contrat actuel, une option non négligeable.</t>
  </si>
  <si>
    <t>baou06-101114</t>
  </si>
  <si>
    <t xml:space="preserve">Oh! combien je plains les malheureux sinistrés de la région des Alpes Maritimes ayant subit un simple cambriolage, sans parler de ceux qui ont été touchés dans la vallée de la Vésubie ou de la Roya ! Il va leur falloir avoir une immense patience…
En ce qui me concerne, j'ai été cambriolé fin octobre alors que j'étais en vacances en Corse et après avoir communiqué tous les documents réclamés par le service sinistre qui a bien cherché à reculer le plus possible le moment de l'indemnisation en réclamant des informations qui n'étaient pas forcément nécessaires comme le numéro d'immatriculation des véhicules dont les doubles de clés avaient été dérobées (pas les véhicules qu'ils assurent et dont ils ont les immatriculations, non juste des clés !!! ) . Cela fait donc déjà bientôt 2 mois et malgré mes messages sur le site via la messagerie interne, je n'ai, à ce jour, toujours aucunes nouvelles !!! J'ai demandé un rendez-vous avec le Directeur de mon agence et en fonction du résultat de cette rencontre, j'actionnerais la voie judiciaire ou pas… ! Je vous tiendrais informés…
</t>
  </si>
  <si>
    <t>philou-93930</t>
  </si>
  <si>
    <t>Je tente désespérément de les joindre afin d'obtenir ma carte de tiers payant. J'ai laissé 4 mails sans réponse aucune, ils sont injoignables au téléphone. Aucune réactivité.</t>
  </si>
  <si>
    <t>sofiane-65427</t>
  </si>
  <si>
    <t>Mon employeur à envoyer a plusieurs reprise les documents. Ils disent n'avoir rien reçu.  Document envoyer 5 fois. On me dis que je ne suis pas dans leur base de donné.  Il nous mettent dans une situation très complexe. Sachant qu'il y a prélèvement sur ma fiche de paie depuis 1 ans. Je me demande que font il avec les courriers??  Des courrier envoyer il y a plusieurs mois et aucune trace dans les données informatique? Voici a quoi on me repond à chaque appel!!! Maintenant nous somme dans une situation compliquer avec ma famille</t>
  </si>
  <si>
    <t>11/07/2018</t>
  </si>
  <si>
    <t>regine-m-108996</t>
  </si>
  <si>
    <t>Les prix sont convenables et je suis très satisfaite du service..
Très facile et rapide pour souscrire une assurance, le personnel est à l'écoute de nos besoins</t>
  </si>
  <si>
    <t>02/04/2021</t>
  </si>
  <si>
    <t>ticounie33-100843</t>
  </si>
  <si>
    <t xml:space="preserve">après  plusieurs années  de fidélité  il vienne de me résilier  car en 3 ans j ai eu 3 sinistre avec 2 voiture différente voilà le remerciement  tant que vous payer et qu ils ont rien a débourser cela leur convient  si on fait le calcul de la somme que j ai versé durant  toute ses années il sont largement  gagnants par rapport ala somme  qu ils ont du payer  .... no comment  enfin bref </t>
  </si>
  <si>
    <t>rui-91155</t>
  </si>
  <si>
    <t xml:space="preserve">Je suis satisfait du service simple et pratique merci beaucoup
Je recommande également à tout le monde foncer
Mon Audi sera bien protèger grace a vous  </t>
  </si>
  <si>
    <t>16/06/2020</t>
  </si>
  <si>
    <t>zineb-m-125986</t>
  </si>
  <si>
    <t xml:space="preserve">Je suis satisfait de ce service excellent service rien a dire sur la fiabilité et la rapidité du site merci de votre organisme qui est bien facile à y accéder </t>
  </si>
  <si>
    <t>david-t-130092</t>
  </si>
  <si>
    <t xml:space="preserve">Très réactif et des prix vraiment intéressant je vous recommande à beaucoup de personne les conseiller sont très accueillant et nous aides beaucoup merci </t>
  </si>
  <si>
    <t>claude--101772</t>
  </si>
  <si>
    <t>Un temps infini pour être enfin en contact avec quelqu'un 
Une demande importante non prise en compte une demande d assurance  par email que j attend toujours car je pars demain pour 500 km 
Êtes vous en mesure d assurer cette prestation ?
Ou alors je m adresserai ailleurs 
Merci</t>
  </si>
  <si>
    <t>22/12/2020</t>
  </si>
  <si>
    <t>valerie-65121</t>
  </si>
  <si>
    <t xml:space="preserve">Nous sommes assurés depuis plus de 30 ans chez AXA, nous avons changé d'agence il y a quelques années car notre assureur AXA est parti en retraite, puis les cotisations ont augmentée sans raison. Le responsable de l’agence est alors parti du jour au lendemain, nous n’arrivons plus a  joindre quelqu’un et nous avons l'impression de n'être la que pour payer les cotisations (nous avons une quinzaine de contrats). 
Nous avons récemment souscrit un contrat moto pour notre fils, lorsque nous avons reçu le contrat a signer nous nous sommes aperçu que le bonus n’était pas correct, nous avons appelé notre agence qui nous a dit qu'on nous rappellerai et qu'on nous enverrai un nouveau contrat. Après plusieurs appels (de notre part car notre agence AXA ne nous rappelle jamais !!!), on nous dit que le bonus ne change rien a la cotisation, et depuis le 13 mai 2018 nous n'avons toujours pas de contrat signé (car même si il ne change rien a la cotisation si il existe, il doit bien servir a quelque chose).
Notre deuxième fils est assuré également chez AXA pour un scooter, il a eu 2 accrochages ou il n'était pas en tort, (sur le 2ème il n'a même pas été indemnisé), et on reçoit sa nouvelle cotisation avec une augmentation de 400 euros par an (il est passé de 1263 a 1662 euros, j’ose même pas imaginer le montant de la cotisation si il avait été en tort !!!). Après plusieurs appels car on ne me rappelle toujours pas, on m'explique que c'est normal car même si il n'est pas en tort, ça engendre des frais, et qu'on ne peut pas modifier la cotisation. Nous attendons encore quelques jours et si la situation ne se rétablie pas, nous serons dans l’obligation de résilier tous nos contrats de chez AXA.
</t>
  </si>
  <si>
    <t>28/06/2018</t>
  </si>
  <si>
    <t>lamauvaiseassurancecestlamaaf-98858</t>
  </si>
  <si>
    <t>En tort, ils ne se remettent pas en question et obligent les assurés à avancer les frais de réparation.
Très mauvaise assurance.
Le service des sinistres, prend les clients de haut et ne cherche pas à résoudre les problèmes qu’ils ont occasionnés.
Je dois saisir la justice par le biais des associations de consommateurs pour faire avancer mon dossier et m’éviter des problèmes financiers.</t>
  </si>
  <si>
    <t>16/10/2020</t>
  </si>
  <si>
    <t>julie-m-130736</t>
  </si>
  <si>
    <t>Contrat fait très rapidement, je suis contente. Fait en lign,e en quelques minutes, extrêmement pratique et facile. Je recommande
Merci beaucoup., Cordialement.</t>
  </si>
  <si>
    <t>stephanie-r-111745</t>
  </si>
  <si>
    <t>je suis satisfaite du service 
Satisfaite des prix
Conseillère agréable et très gentille
Je recommanderais à mon entourage votre cabinet d assurances.</t>
  </si>
  <si>
    <t>clemasase-87967</t>
  </si>
  <si>
    <t>Des contrats prohibitifs à la tête du client, un service client inexistant, un suivi au radar, une réactivité à crier de désespoir ! 
Des temps d'attente interminables au téléphone en raison d'une saturation des services, des explications paradoxales et sans suivi !
Nous sommes susceptibles de résilier pour faute le contrat.</t>
  </si>
  <si>
    <t>04/03/2020</t>
  </si>
  <si>
    <t>timmy-130389</t>
  </si>
  <si>
    <t xml:space="preserve">Une énorme bande de branquignols, pour rester polis. Des conseillers joignables mais qui ne servent A RIEN, et ne respectent absolument JAMAIS leur engagement. Incapables d'honorer notre contrat, cela fait 3 ans que je n'ai jamais reçu ma carte de tiers payant, m'empêchant ainsi de bénéficier des droits qui me sont dus. Le service n'est même pas exécrable, il est inexistant, imaginaire. J'envisage de porter plainte </t>
  </si>
  <si>
    <t>330da-56182</t>
  </si>
  <si>
    <t xml:space="preserve">Quand il s’agit de souscrire un contrat rien a dire ils sont tres serviable, mais pour la suite ce n’est pas la meme chose. J’ai souscrit un contrat qui au final me plaisait pas en terme de tarif puisque rien a voir avec le devis reçu par mail, le lendemain il me propose de l’annuler et ils me font une nouvelle proposition  1 mois après il me font parvenir un avenant car la date de mon permis n’était pas bon et sur le relève d’infirmation de ma femme a un bris de glace que je ne savais résultat sur l’avenant augmentation du tarif que je refuse. donc remboursement sur le premier le versement de 173€ remboursé 135 et sur le contrat dont je n’ai pas accepté l’avenant versé 641€ remboursé 490 , j’appelle ça du vol le refus de l’avenant a été fait au bout d’un mois 641/12=53€  et non 150€ </t>
  </si>
  <si>
    <t>22/07/2017</t>
  </si>
  <si>
    <t>loicfanny-53278</t>
  </si>
  <si>
    <t xml:space="preserve">bonjour ; 
bénéficiaire d'une assurance vie suite au décès de mes grand parents en novembre 2016 aujourd'hui nous somme le 14 mars 2017 est toujour mené  en bateau par cardif , le 16 fevrier 2016 un certain Mr Na....ro  me contacte pour me dire que ma part du contrat vient d'etre viré sur mon compte et qu'il a aussi fait le paiement de l'impots concernant le contrat  mais a ce jour le 14 mars 2017 rien absolument rien  , cardif ce moque de nous je les appel , je leur ecris mais rien je tourne en rond , et cardif me fais tourné en bourrique , il trouve toujour des excuse , mais sur le mail de Mr NA...RO  du 16 fevrier et bien tout est ben precisé et il dit bien que le dossier est complet donc a jour je fait contacté l'APCR , mon avocats , et je vais demander un controle au service des controle des assurance car d'apres mon avocats il ont un mois a compté de la date ou mon dossier est complet soit le 30 Janvier donc je pense pas que cardif est etait aussi long pour prendre l'argent de mes grand parents  
S'il vous plais cardif regler ce contrat pour je puisse enfin fermer cette page de ma vie ci triste </t>
  </si>
  <si>
    <t>14/03/2017</t>
  </si>
  <si>
    <t>chaumont-d-131070</t>
  </si>
  <si>
    <t>TRES SERIEUX ET RAPIDE pour la mise en service ... 
tarifs très intéressant . 
envoi instantané de la carte verte provisoir . 
je recommande olivier assurance .</t>
  </si>
  <si>
    <t>isis3478-104303</t>
  </si>
  <si>
    <t>J'étais assez contente d'eux jusqu'il y a qq mois où ma banque me prévient que la mensualité a doublé ! aucune info de leur part ! et leur explications : mon chien a consommé l'intégralité des soins ! mais n'est-ce pas le BaBa de l'assurance ?!!!! je ne vous raconte même pas la publicité faite auprès de mon entourage !je suis très en colère car ils ne prennent même pas la peine de répondre a mes mails. Du coup je suis en contentieux. Merci Assuro Poil de vous montrer sous votre vrai jour... 
Sandrine SABATIER</t>
  </si>
  <si>
    <t>Assur O'Poil</t>
  </si>
  <si>
    <t>alexandre-b-123284</t>
  </si>
  <si>
    <t>Je suis satisfait de l'assurance que j'ai souscrit je le recommande à mon entourage possèdent un deux roues
J'attends juste de recevoir là vignette définitive</t>
  </si>
  <si>
    <t>melanie-c-126619</t>
  </si>
  <si>
    <t xml:space="preserve">Se service en ligne est  vraiment Simple , en plus c'est très rapide et efficace il s'occupe de tout auprès de notre ancienne assurance je suis vraiment satisfaite pour le moment
</t>
  </si>
  <si>
    <t>ben28-51311</t>
  </si>
  <si>
    <t>Vraiment déçu, et me sens dupée et abandonné, ma famille et moi ! Victime d un incendie dû à un voisin négligeant, aucun retour de leur part ni même un appel ou même un service client fidèle au souci du suivi de notre dossier! Pourtant les campagne de publicité nous montre le contraire! Alors que cela fait  plus d'une quinzaine d année de fidélité, on va décider de se séparer d'eux avec beaucoup de regret!!! Déçu dupée alors que nous sommes victimes! Plateforme Maghreb et personne n a su estimé la valeur de notre contrat au mérite d'une Assitance ou non meilleur contrat que nous avions souscrit nous avons gardé toutes les factures depuis plus d'une dizaine d'années ! 
Tout nos bien ont été revu à la baisse, nos factures négligées, et les nouvelles jamais prise en compte... Qu elle tristesse...</t>
  </si>
  <si>
    <t>tartuff01-93891</t>
  </si>
  <si>
    <t>Il vous rembourse votre franchise pendant le confinement en tant que soignant et vous annoncent qu'il vous vire en fin de contrat car 2 sinistre c'est trop ironique</t>
  </si>
  <si>
    <t>12/07/2020</t>
  </si>
  <si>
    <t>franck-c-131829</t>
  </si>
  <si>
    <t>Rapide et simple à mettre en place., je suis vraiment satisfait du service.
En espèrent que tout le reste se passe aussi bien.
Recommande à tous ce qui n'aime pas les démarches administratives interminables!!!</t>
  </si>
  <si>
    <t>sicard-g-117902</t>
  </si>
  <si>
    <t>Facile et rapide mais encore cher pour assurer une voiture d'occasion de 8 ans au tiers pour un étudiant qui débute une alternance avec des moyens limités</t>
  </si>
  <si>
    <t>kevin--d-133713</t>
  </si>
  <si>
    <t xml:space="preserve">Super intéressant prix très bas
Très rapide pour être assuré
Je le conseil fortement
Un ami m'a conseillé votre site d'assurance moto. Vous êtes imbattables </t>
  </si>
  <si>
    <t>kisa-61995</t>
  </si>
  <si>
    <t>plusieurs mois pour obtenir des remboursement, et etant donné qu'ils ne prennent pas en charge les hospitalisations, il faut avancer. bref priez pour n'en avoir jamais besoin, cette mutuelle est juste la pour encaisser vos cotisations.</t>
  </si>
  <si>
    <t>05/03/2018</t>
  </si>
  <si>
    <t>prjolivet-63737</t>
  </si>
  <si>
    <t>Mauvaise expérience</t>
  </si>
  <si>
    <t>03/05/2018</t>
  </si>
  <si>
    <t>fatal1s-75165</t>
  </si>
  <si>
    <t>Bonjour à tous, 
Suite à un problème rencontré ce jour lors d'une souscription d'un contrat passée pour une mise à jour de mon dossier via un courtier (Marchand Alain) , un peu en colère je contacte Néoliane (les vrais) et je tombe sur une interlocutrice, Erika (si si,elle existe vraiment) qui après un agréable échange téléphonique à su désamorcer la bombe, d'ailleur merci à elle. 
Je reviendrais modifier mon commentaire pour vous faire part de l'issue du dossier.</t>
  </si>
  <si>
    <t>17/04/2019</t>
  </si>
  <si>
    <t>tonioio-62559</t>
  </si>
  <si>
    <t>Tant qu'on est un bon élève on vous assure, par contre dès qu'on commence à avoir des sinistres, il ne faut surtout pas les appeler sinon il se pourrait qu'ils aient des boutons qui poussent.</t>
  </si>
  <si>
    <t>21/03/2018</t>
  </si>
  <si>
    <t>claire-b-114901</t>
  </si>
  <si>
    <t>Bonne communication, informations claires et precises sans parler du prix interressant voir tres..
Petit bemol, mail recu alors que dossier complet, je ne comprend pas.</t>
  </si>
  <si>
    <t>boub-77149</t>
  </si>
  <si>
    <t>Plus de 7 mois que ma maison a brulé, les travaux n'ont toujours pas commencé. Cause de l'incendie électricité. Pour établir le contrat, j'ai fourni le compromis de vente avec le DPE où il est précisé que la bâtisse a une cheminée, le conseiller ne l'a pas signalé dans le contrat et ils veulent me retenir 5% sur le dédommagement, soit l'équivalent de 15 années d'assurances alors que ça fait 4 ans que je suis assurés chez eux. J'ai perdu tout ce que je possédais, ils profitent de mon désarroi pour vouloir m'achever.</t>
  </si>
  <si>
    <t>26/06/2019</t>
  </si>
  <si>
    <t>dub-75753</t>
  </si>
  <si>
    <t>Service client injoignable pour déclarer un sinistre. Le numéro coupe automatiquement car "tous les conseillers sont occupés"... Alors que la durée pour le déclarer est limitée à 5 jours.</t>
  </si>
  <si>
    <t>09/05/2019</t>
  </si>
  <si>
    <t>ponsot-j-121197</t>
  </si>
  <si>
    <t xml:space="preserve">Je suis satisfait du service. Facile d'utilisation compréhensif. On verra le futur. Les avis sur internet dise qu'il augmente. J'espère pas pour moi. </t>
  </si>
  <si>
    <t>filrou-88991</t>
  </si>
  <si>
    <t>Sans aucune réponse ni accusé de réception pour liquider une assurance vie après le décès de mon père.
Injoignable. Compagnie catastrophique.A éviter d'urgence.Injoignable. Compagnie catastrophique.A éviter d'urgence.Injoignable. Compagnie catastrophique.A éviter d'urgence.Injoignable. Compagnie catastrophique.A éviter d'urgence.</t>
  </si>
  <si>
    <t>19/04/2020</t>
  </si>
  <si>
    <t>didoch-60294</t>
  </si>
  <si>
    <t>Impressionnant de mauvaise foi Résiliation loi Chatel dans un premier temps ils évoquent que la poste ne fait pas son boulot notamment sur un recommandé puis l'agent me lis le courrier qu'il a finalement reçu redemande une confirmation par mail pour gagner du temps puis encore un appel pour me dire que je vais être remboursé sous 15 jours puis toujours rien Non réellement c'est abuser des gens me reste 1 contrat chez eux que je vais m'empresser de solder Plus jamais ... Alors je croise les doigts pour qu'il ne m'arrive rien§</t>
  </si>
  <si>
    <t>08/01/2018</t>
  </si>
  <si>
    <t>lolo-62444</t>
  </si>
  <si>
    <t>Client fidèle je suis dans le regret de quitter direct assurance suite à mon appel téléphonique .</t>
  </si>
  <si>
    <t>17/03/2018</t>
  </si>
  <si>
    <t>mamerco-137988</t>
  </si>
  <si>
    <t xml:space="preserve">Avec mon contrat assistance panne 0 km, j'ai eu malheureusement besoin de ce service , lorsque ma moto n'a pas voulu redémarrer , j'ai eu 3 interlocuteurs différents qui doivent à chaque fois se renseigner avec un temps d'attente minimum de 15mn avant d'obtenir un semblant de réponse et pour m'envoyer dans un garage qui d'office ne réparera pas ma moto, au lieu de m'envoyer dans le garage de la marque(bien sur celui ci se situe à 60km), ce qui à fini par être fait ,mais non sans discuter avec le 3em interlocuteur qui ne comprenait rien ,(20 secondes avant chaque réponse , je pense qu'il devait regarder son traducteur) . Finalement au bout de 2 heures de négociations, je suis parti avec le dépanneur au garage de la marque, qui à réparé aussitôt la moto , et j'ai pu repartir, sans que l'assurance me rapatrie à mon domicile . Conclusion, extrémement difficile de se faire "entendre"auprès de mes interlocuteurs qui ne sont pas à la hauteur de leurs tâches </t>
  </si>
  <si>
    <t>29/10/2021</t>
  </si>
  <si>
    <t>tiph771-105966</t>
  </si>
  <si>
    <t xml:space="preserve">Toujours satisfaite de leur service personnel très réactif et joviale. Leurs tarifs sont corrects par rapport à la couverture proposée et l’option primo permet d’être toujours couvert. </t>
  </si>
  <si>
    <t>isa84000-51966</t>
  </si>
  <si>
    <t>Et bien voilà, je change d' assurance Auto. Je viens de recevoir mon avis d' échéance et surprise, cette année, j' ai une augmentation de 100 euros !!! Pourquoi ? Aucun sinistre et je viens de passer au bonus 50. Je suis en pleine recherche pour trouver une autre assurance et je remarque qu' il existe beaucoup d' autres assurances bien moins chers pour plus de service ! (Chaque année, j' ai eu une importante augmentation des tarifs mais là, c' est trop !!!)</t>
  </si>
  <si>
    <t>02/02/2017</t>
  </si>
  <si>
    <t>martial25-89413</t>
  </si>
  <si>
    <t xml:space="preserve">Bonjour à tous, ne faites pas confiance à cette assurance ! En procédure judiciaire pendant 10ans 60000 € de dépenser en frais de procédure perdu et des travaux qui ne sera jamais refait. Tout cela pour un artisan qui a mal fait des travaux d'agrandissement d'habitation et qui était assuré dans cette compagnie. Résultat cette compagnie ne garantit rien pour cette artisan qui à payé ces cotisations. Cette compagnie a tout fait et à trouver tout les moyens pour ne pas intervenir en décennale. Résultat l'artisan c'est mis en liquidation judiciaire, j'ai perdu 60000 € de frais de procédure et les travaux ne seront jamais refait, en gros je n'ai plu rien. Mais mon combat ne s'arrête pas là. Ma seule consolations c'est que j'ai réussi à obtenir un reportage médiatique au journal de 13h sur TF1 pour dénoncer les pratiques des assurances et montrer dans quel situation que je suis. J'ai également réussi à obtenir un article qui va paraître dans le Parisien. Croyez moi j'ai perdu une bataille judiciaire de 10ans, mais je ne vais pas prendre celle que je suis entrain de mettre en place. Cette compagnie va perdre bien plus en termes de publicité de ce qu'elle aurait dû verser pour cette affaire. Rappeler vous bien de ce que je viens d'écrire car ont va encore en entendre parler. Faite remonter l'information au plus haut de votre direction ont connais bien mon dossier dans votre compagnie. </t>
  </si>
  <si>
    <t>06/05/2020</t>
  </si>
  <si>
    <t>patrick-c-137513</t>
  </si>
  <si>
    <t>SATISFAIT DE VOTRE PROPOSITION  :
- souscription très aisée
- tarif concurentiel
- choix options clair.
Sans tenter le diable, j'espére que les règlements de sinistres soient aussi aisés ...</t>
  </si>
  <si>
    <t>15/10/2021</t>
  </si>
  <si>
    <t>loic-j-133210</t>
  </si>
  <si>
    <t>Les prix me conviennent car je ne n'ai jamais eu de soucis particuliers avec cette assurance et c'est pour cette raison que j'assure mon 2ème véhicule.</t>
  </si>
  <si>
    <t>columbo-65338</t>
  </si>
  <si>
    <t>C'est hallucinant !...La MGEN , trouve le moyen de cumuler deux échéanciers différents  ( le second proposé le 13 juin 2018, plus raisonnable à hauteur de 94,57 euros de juillet à décembre 2018 était gérable)... Mais , voilà...C'est la catastrophe...Ce montant prélevé en juillet 2018 qui devait annuler le premier échéancier s'ajoute au montant de l'ancien échéancier proposé soit 305,12 euros en juillet et en aôut...de rattrapage de cotisation, alors que j'ai des soucis financiers suite à des problèmes de santé.En cumulant en ce mois de juillet le prélèvement l'ancien échéancier et du nouveau, la MGEN me fait à nouveau une  mauvaise surprise  : celle de prélever 399, 69 euros ce mois-ci...Sans concertation aucune. Et dire que je croyais que le second échéancier serait appliqué...Ce fut naïf de ma part de le croire...Les deux ont cumulés...</t>
  </si>
  <si>
    <t>08/07/2018</t>
  </si>
  <si>
    <t>maximilio31-132618</t>
  </si>
  <si>
    <t>Très satisfait de cette prévoyance jusqu'à il y a peu, je me retrouve à ne plus recevoir mes indemnités prévoyance subitement stoppées sans réelle raison.
En effet, mes indemnités journalière de la CPAM sont bien envoyées comme me le confirme les personnes au téléphone mais elles ont du mal à m'expliquer ce retard de paiement de chez eux.
N'ayant pas beaucoup de ressources, je me retrouve dans une situation délicate depuis.
De plus, je vais passer en invalidité d'ici à 2 mois et j'ai besoin de ma prévoyance pour m'assurer un minimum de revenu vital donc je vous transmets les coordonnées de mon dossier ci dessous pour que je puisse revenir à une situation normale. Merci de votre aide.</t>
  </si>
  <si>
    <t>nikos-13500-125689</t>
  </si>
  <si>
    <t>Franchement c'est une honte, Mercer c'est même pas descriptible tellement c'est la catastrophe avec eux.
Difficilement joignable, quand on a une réponse, il faut sortir de polytechnique pour decripter (on prend a chargé 300% du pmss, dans la limite de 150 du machin, diviser par notre commission de courtier en assurance).
Ben ouai, derrière Mercer, il y a une assurance, un coup Generali, un coup le Gan. Mais toi t'es la et tu trim pour te faire rembourser.
A fuir !</t>
  </si>
  <si>
    <t>delphine-b-122330</t>
  </si>
  <si>
    <t>Je vais tester cette nouvelle assurance pour moi, j'étais chez un concurrent pour ma 1 ère moto donc c'est une découverte et une nouvelle aventure.
A suivre</t>
  </si>
  <si>
    <t>04/07/2021</t>
  </si>
  <si>
    <t>ziane-i-113321</t>
  </si>
  <si>
    <t xml:space="preserve">Le devis est Rapide , efficace et le prix est attractif.
J’espère que le service client par téléphone sera aussi clair, vif d’esprit et rigoureux. 
</t>
  </si>
  <si>
    <t>laura13-123898</t>
  </si>
  <si>
    <t xml:space="preserve">Un conducteur a percuté notre voiture dans notre rue et a pris la fuite le 14 juillet au matin. On s’en rend compte que l’après-midi. La voiture est inutilisable et l’expert l’a interdit de rouler. On a porté plainte et ouf un voisin à recupere la plaque du chauffeur. Assurés depuis des lustres et en tous risques chez gmf sans sinistres ils nous refusent le prêt d’un véhicule. Nous nous retrouvons à une seule voiture moins fiable que celle accidentée une BMW récente en très bon état. GMF est fautif de lors de la souscription du contrat de ne pas avoir prévenu qu’il n’y aurait pas de prêt de vehicule. Resultat : nous allons changer d’assureur face a leurs clauses et non prise en charge. </t>
  </si>
  <si>
    <t>20/07/2021</t>
  </si>
  <si>
    <t>antoinev-59807</t>
  </si>
  <si>
    <t xml:space="preserve">ATTENTION : Si vous avez déjà une mutuelle, N'adhérez jamais à une mutuelle durant les mois de préavis, novembre et décembre ! 
Il y a presque 2 ans, j'avais pris une mutuelle pour ma mère. J'étais passé par les furets.com. J'avais reçu  des  propositions  d'une multitude de courtiers, à ne plus rien y comprendre.
Depuis  quelques semaines, nous recevions d'incessants appels téléphoniques du cabinet de courtage SFA. La conseillère me demandait de revoir notre mutuelle prise 2 ans plutôt. Elle nous  proposait des devis de mutuelle concurrentes pour 2018. Mais comme il était trop tard pour résilier à cause du préavis, elle s'était proposait de négocier elle-même avec notre mutuelle actuelle pour que celle-ci accepte notre demande de résiliation.  Elle m'a envoyé une lettre de résiliation et m'a dit que c'était arrangé avec ma mutuelle. J'ai donc adhéré à Néoliane malgré des prix élevés  et j'ai envoyé sous recommandé une lettre de résiliation à ma mutuelle. 
Mais voilà ; quand j'ai reçu une réponse négative de ma mutuelle, je l'ai de suite rappelé mais elle  m'a répondu qu'il était impossible qu'ils aient répondu le contraire à un quelconque courtier. J'ai essayé de joindre la conseillère de SFA (qui prétendait être ma conseillère privilégiée durant la durée de notre adhésion chez Néoliane), mais les mails que j'adressai auparavant à contact@golden-assurance.fr me revenaient et plus personne ne répondait  au 05 35 00 40 36 et au 05 35 00 40 59. J'ai contacté Néoliane pour ANNULER ma nouvelle adhésion en leur expliquant tout, mais ils n'ont rien voulu savoir, me rétorquant  que j'avais dépassé le délai de rétractation. Je me retrouve donc avec 2 mutuelles pour 2018. Néoliane m'a proposé de reporter la date de début d'adhésion d'un an. Ils ont visiblement l'habitude de procéder ainsi (sans doute pour forcer les adhésions !).
Je suis arrivé à joindre SFA au 04 67 39 18 17 (numéro trouvé sur le net) qui me propose un avenant pour reporter  mon adhésion à Néoliane d'un an.
En fait je me suis bel et bien fait avoir. La mutuelle Néoliane s'est assuré un client pour 2019 et le courtier SFA  s'assure une commission. Je ne sais pas dans quelle mesure il y a connivence mais question déontologie, on repassera !  (je plains les personnes vulnérables).
</t>
  </si>
  <si>
    <t>26/12/2017</t>
  </si>
  <si>
    <t>elpadre44-79491</t>
  </si>
  <si>
    <t xml:space="preserve">La casse d'un miroir n'est pas couvert par "bris de glace" avec l'option multirisque 
Nous avons plusieurs contrats au CM, dont contrat habitation avec la garantie Bris de glace. Suite casse du miroir de la salle de bain avec découpe et bords polis, le remplacement me coûte 189,84 euros. En appelant la plateforme, attente interminable de plus de 10 minutes au tél, mon interlocutrice, très aimable au demeurant, me dit que les miroirs ne sont couverts ni par la couverture bris de glace, ni biens mobiliers, ni multirisques. Il aurait fallu souscrire une couverture Tous risques .  
Nous avons eu aussi une déconvenue avec notre assurance auto. Lors du transfert de l'assurance à mon nom à celui de notre fille, notre interlocuteur a oublié d'annuler le précédent. Heureusement, je m'en suis rendu compte au bous d'1 an lors de l'appel de cotisations, et le remboursement a été fait </t>
  </si>
  <si>
    <t>26/09/2019</t>
  </si>
  <si>
    <t>sahara-96841</t>
  </si>
  <si>
    <t>Je suis en accident du travaille depuis 11/12/2018 au 30/09/2019 , j ai fait un dossier pour complement salaire le mois decembre 2019,  j ai envoyé les decomptes de l assurance maladie  par email il ma dit no on a rien vu faire une reclamation , maintenant je suis fatigue , en plus j ai des probleme financier , svp svp faire avec moi une solution urgent</t>
  </si>
  <si>
    <t>david-l-122549</t>
  </si>
  <si>
    <t>Plus de neuf mois après ma déclaration de sinistre, mon véhicule n'est toujours pas réparé. L'assistance ne s'est pas déplacée le jour du sinistre, mon gestionnaire est totalement dépassé, le service est inexistant. Aucun prêt de véhicule depuis ke 01/10/2020. HONTEUX ! Je ne vous recommande pas Direct Assurance !</t>
  </si>
  <si>
    <t>martvega-63114</t>
  </si>
  <si>
    <t>Nous sommes assurés depuis 7 ans pour nos deux prêts immobiliers (PTZ + Prêt Principal), à 100 % sur chacune de nos deux têtes. Mon mari vient d'être déclaré en ALD (Affection Longue Durée) suite  à l'annonce d'un cancer colorectal. Nous avons sollicité auprès de la Cardiff l'indemnisation de nos prêts dans le cadre de l'ITT, et ce, après les 90 jours de carence. La Cardiff a été très réactive, professionnelle, sans aucune tracasserie administrative . C'est sans doute à peine croyable quand je lis certains commentaires sur cette assurance, j'avoue qu'en constituant le dossier de demande d'indemnisation je n'étais pas très confiante. Mais maintenant nous sommes rassurés, et indemnisés. Cela nous permet d'avoir un sérieux souci en moins, et de souffler de ce côté là, ce qui n'est pas rien en regard de la situation actuelle...</t>
  </si>
  <si>
    <t>25/04/2018</t>
  </si>
  <si>
    <t>flo59-60406</t>
  </si>
  <si>
    <t>Je suis kiné libérale et cotise à SwissLife depuis un an. Enceinte, mon gynécologue obstétricien m'a prescrit un arrêt de travail dans le cadre d'un risque d'accouchement prématuré en lien à une pathologie (syndrome de Lacomme), couplée à mon activité professionnelle.
J'ai appelé Swisslife qui m'a indiqué que c'était pris en compte et m'ont demandé de leur envoyer mes coordonnées bancaires pour mettre en place les virements. Je n'ai rien vu venir et après plusieurs relances on m'a indiqué qu'il fallait des documents complémentaires. Je leur ai fourni tout ce qu'il fallait, y compris la lettre de mon gynécologue obstétricien indiquant que l'arrêt était nécessaire et qui justifiait pourquoi.
Après plusieurs relances à nouveau, et sans nouvelle, j'ai pu obtenir l'information comme quoi mon dossier était rejeté.
3 choses pour Swisslife donc :
- fausses informations données par téléphone lors de ma première prise de contact avec eux
- manque de communication et d'information (près de 2 mois à attendre mes versements pour qu'on m'annonce finalement qu'il n'y en aura pas).
- une absence de professionnalisme : le médecin (ou soit-disant médecin) de chez Swisslife qui a donné son verdict n'est pas joignable : ni par mail, ni par téléphone, et il ne se déplace pas pour vérifier. Je n'ai aucune information sur le pourquoi du refus, si ce n'est que ça n'entre pas dans leurs critères.</t>
  </si>
  <si>
    <t>jerome-a-116100</t>
  </si>
  <si>
    <t>conseillé par mon frere . souscription en ligne assez rapide . des tres bons tarifs  pour l aquisition d une moto cela se passe rapidement . un site que je recommande</t>
  </si>
  <si>
    <t>05/06/2021</t>
  </si>
  <si>
    <t>mikepero-76493</t>
  </si>
  <si>
    <t>Assuré depuis des années pour 2 véhicules, malgré 4 sinistres (non responsables), pas de problème particulier.</t>
  </si>
  <si>
    <t>05/06/2019</t>
  </si>
  <si>
    <t>lauralyne28-61906</t>
  </si>
  <si>
    <t xml:space="preserve">A Fuire!!! Gros problème quand vous voulez resilier.
J'ai  résilier par lettre rar en temps et en heure.
L'accusé de réception m'est bien revenu signé. Et aujourd'hui on continue de me prélevé. Voici leur  réponse...J'ai cru que c'était une blague...
Nous n'avons pas accepté votre demande car conformément aux articles 20 et 21 des Conditions Générales de votre contrat, vous devez spécifier un motif de résiliation.
Aucun courrier reçu pour me dire que ma demande de résiliation ne prendrai pas effet, bref je ne recommande pas du tout, j'ai quand même le droit de résilier sans donner de motif... Surtout qu'en lisant les articles 20 et 21 j'ai pas vu qu'il fallait donier un motif
</t>
  </si>
  <si>
    <t>nunuche--101410</t>
  </si>
  <si>
    <t xml:space="preserve">Assurée par Internet pour mon habitation, mon i interlocuteur m'a mal répondu. Imbu de sa personne, il m'a dit que si j'étais près de mes sous, alors bien sûr.....sous  entendu j'étais pas à  la hauteur....... Son insistance  a fait que Je paye plus. 
Difficultés à  m'inscrire sur leur espace </t>
  </si>
  <si>
    <t>alex88-123439</t>
  </si>
  <si>
    <t xml:space="preserve">Je suis satisfait du service simple et rapide. Tarif et prise de garantie cohérent. Souscription en ligne rapide à voir dans le temps mai pour le tarif je recommande </t>
  </si>
  <si>
    <t>kenzo-azou-42972</t>
  </si>
  <si>
    <t>Bonjour 
Assurances de MER2 a éviter 
Service client ou par l agence de Nanterre 
Catastrophique a éviter
Pour une Demande d attestation on rentre dans votre vie et chez vous
Il vous questionne afin de mettre votre dossier a jour alors que mon dossier est a jour et quand vous appeler pour mettre a jours votre dossier il vous parle de tel ou tel chose 
Jamais vu sa .. 
Allez chez MMA cest mieux 
Et ne jamais de donner de details ou des mots en plus car il note tout meme si vous declarer que vous avez un slip de trop il le marque en observations 
Et la conseillere de l agence de Nanterre Que des étudiante stagiaire !!!! A fuire.... Sa sent la resiliation !!!</t>
  </si>
  <si>
    <t>12/04/2017</t>
  </si>
  <si>
    <t>anna-l-104078</t>
  </si>
  <si>
    <t>Très satisfaite de l’échange et le professionnalisme de mon interlocuteur.
Merci pour toutes les réponses aux questions et l’accompagnement personnalisé.</t>
  </si>
  <si>
    <t>12/02/2021</t>
  </si>
  <si>
    <t>el06240-54121</t>
  </si>
  <si>
    <t xml:space="preserve">Je vous recommande de ne pas prendre cette assurance (AssurOnLine) ça va vous éviter pas mal de problèmes en cas d'accident!!!
Je vous invite vivement à demander les conditions en cas d'accident responsable et nos responsables avant de prendre un contrat.
</t>
  </si>
  <si>
    <t>18/04/2017</t>
  </si>
  <si>
    <t>le-rhun-h-136636</t>
  </si>
  <si>
    <t>Satisfaite du montant mensuel de mon assurance auto ainsi que des garanties que proposent mon contrat. 
Service clients pratique et rapide, espace fonctionnel.</t>
  </si>
  <si>
    <t>08/10/2021</t>
  </si>
  <si>
    <t>carusaurel69-60416</t>
  </si>
  <si>
    <t>Actuellement en statut polyactif (CPAM/RSI), cela fait maintenant plus de 6 mois que je me bats pour obtenir des sommes dérisoires concernant la grossesse. 
Le livret maternité ne m’a été envoyé qu’en août 2017 (moi d’en mon accouchement). Après de nombreux appels une fois les documents envoyés, soit ils vous disent qu’ils n’ont rien reçu, soit vous n’avez pas là même réponse selon votre interlocuteur. Après de nombreux appels, j’ai reçu ma prime du 7e mois ainsi que ma prime de naissance 4 mois après mon accouchement ! 
Et je me bats encore aujourd’hui, nous sommes en janvier, parce que mon dossier était « incomplet ». Après 4 semaines de renvoie de dossier, on me dit aujourd’hui que rien n’a été reçu...
Après 6 mois de bataille, 3 allers-retours chez mon médecin traitant, je n’ai toujours pas reçu l’intégralité de mes indemnités...
Et on me dit « ce n’est pas de notre faute » ou « mieux vaut tard que jamais »...</t>
  </si>
  <si>
    <t>12/01/2018</t>
  </si>
  <si>
    <t>virginie-m-128882</t>
  </si>
  <si>
    <t>Déjà cliente; mais on ne peut juger une assurance au moment où on en a besoin ; en cas de sinistre. Sincèrement je ne souhaite pas qu'il y ait un sinistre.</t>
  </si>
  <si>
    <t>sebastien-g-117307</t>
  </si>
  <si>
    <t>Très satisfait du service, rapide et efficace...sur internet pas besoin de se déplacer , comparateur de prix et puis l'on fait son choix en fonction de ses besoins...</t>
  </si>
  <si>
    <t>margot-m-99504</t>
  </si>
  <si>
    <t>J''ai fait un devis pour une assurance habitation. 
Le tarif est très raisonnable par rapport aux concurrents. Rien à redire. Je suis pour l'instant très satisfait !</t>
  </si>
  <si>
    <t>luc006-61728</t>
  </si>
  <si>
    <t>L’inscription sans problème avec une personne aimable qui connaissait bien son métier, long mais questionnaire très détaillé (le même partout) donc à la fin on prend même les options les plus chères</t>
  </si>
  <si>
    <t>25/02/2018</t>
  </si>
  <si>
    <t>brisefer42-113033</t>
  </si>
  <si>
    <t xml:space="preserve">Des vendeurs mais pas des conseillers . A déconseiller . Nouvelle définition de la Macif
Partez vite de cette assurance où je n'ai rencontré que des incompétents , des menteurs , un responsable d'agence nul et un service réclamation au siège qui ne doit pas savoir lire car il ne répond jamais aux questions posées , il ne répond qu'à coté .
Les DRH se succèdent , on comprend pourquoi.
J'ai envoyé une lettre recommandée avec AR il y a 2 mois au Directeur général Mr Dogneton , mais j'attends toujours sa réponse .
Les pub à la télé et à la radio de la Macif sont trompeuses .Fuyez , fuyez cette assurance </t>
  </si>
  <si>
    <t>07/05/2021</t>
  </si>
  <si>
    <t>emmanuel-f-114753</t>
  </si>
  <si>
    <t>Excellent service en ligne , précision et réactivité.Je recommande vivement cette société.
Devis/contrat le mieux disant du marché à couverture égale voire supérieure.</t>
  </si>
  <si>
    <t>cece06-99754</t>
  </si>
  <si>
    <t xml:space="preserve">HELP AG2R!!!!!
Bonjour, je travaille dans une pâtisserie depuis le 1 septembre 2020. Mon employeur m'a remis ce jour là un bulletin d'affiliation santé obligatoire à envoyer à AG2R.
Depuis ce jour là, aucune nouvelle d'AG2R. Impossible de les joindre au téléphone. Mon employeur me dit que c'est à moi de les relancer. J'ai 18 ans et je ne sais plus comment faire pour obtenir enfin ma carte mutuelle. Je suis désespérée et ma maman également qui essaye de trouver une solution et surtout un contact humain avec AG2R.
Ma maman a résilié la mutuelle que j'avais avec elle le 1 septembre pour ne pas faire doublon et du coup aujourd'hui je vais devoir avancer la part mutuelle si je dois me faire soigner.
Je précise que ma cotisation mutuelle est prélevée sur mon salaire depuis le mois de septembre. 
Qui serait capable de m'aider. Merci aux bonne volontés.
Célia
 </t>
  </si>
  <si>
    <t>06/11/2020</t>
  </si>
  <si>
    <t>jean-luc-l-114216</t>
  </si>
  <si>
    <t>très satisfait facile pour la déclaration et surtout aimabilité des interlocuteurs merci beaucoup de vos services
je recommande à mes amis de venir chez vous.</t>
  </si>
  <si>
    <t>monique-c-111139</t>
  </si>
  <si>
    <t>Je suis satisfaite de la relation client qui est efficace et des réponses apportées pour régler les questions. les opérateurs ont le soucis de répondre aux attentes client</t>
  </si>
  <si>
    <t>julien-93705</t>
  </si>
  <si>
    <t>Je suis satisfait du service, le site est bien fait, bonne analogie, il est également assez clair. Il serait toutefois intéressant que les conditions de résiliation ainsi que celles de diminution de tarif soient plus explicites.</t>
  </si>
  <si>
    <t>10/07/2020</t>
  </si>
  <si>
    <t>anna-z-110357</t>
  </si>
  <si>
    <t>Bonjour, je suis satisfaite du service. je rajoute juste un commentaire où j'ai du reprendre à trois fois le paiement d'acompte; problème chez vous ou chez le prestataire de paiement par carte bancaire.
Sinon tout est clair.
ANNA</t>
  </si>
  <si>
    <t>14/04/2021</t>
  </si>
  <si>
    <t>david-r-128913</t>
  </si>
  <si>
    <t>je suis satisfait du site internet et de la rapidité pour m'assurer chez vous. Je fournirai rapidement les documents manquants pour la finalisation de mon assurance</t>
  </si>
  <si>
    <t>21/08/2021</t>
  </si>
  <si>
    <t>cutgirl500-86159</t>
  </si>
  <si>
    <t>Mutuelle d'entreprise, j'avais Gras Savoye mutuelle au top.
Mon entreprise à décider de changer, donc Mgen, tout d'abord mon fils né le 30/10/2014 en bénéficiaire l'ont mis en tant que conjoint, alors j'ai appelé au moins 3 fois, car les conseillés ne sont pas très compétent, après le 21 janvier 2020, l'infirmière qui vient en mon domicile me dit elle n'est pas payé de la part mutuelle, j'appelle un conseillé pas très gentil, je lui explique pour l'infirmière et qu'ne suis pas remboursé du médecin du 7 janvier 2020, la part mutuelle est de 7,50 euros, limite il me dit vous n'avez à pelle doit un appelé un numéro spécial, le numéro surtaxé et je lui dis aussi je leurer pour 7,50 euros.
J'estime on paye une mutuelle et elle doit nous mettre en confiance, et pas nous anarquer adhérent et professionnel de santé.</t>
  </si>
  <si>
    <t>23/01/2020</t>
  </si>
  <si>
    <t>pierre-67843</t>
  </si>
  <si>
    <t>Incapables de trouver mon contrat malgré plusieurs appels avec le nom et le numéro de contrat qui est sur l'avis d'échéance ainsi que dans le libellé des prélèvements !! Pourtant les prélèvements marchent très bien et viennent d'augmenter.
Heureusement que je n'ai jamais eu à me faire rembourser...</t>
  </si>
  <si>
    <t>18/10/2018</t>
  </si>
  <si>
    <t>eloise--c-125361</t>
  </si>
  <si>
    <t xml:space="preserve">Les prix correspondent à nos attentes mais le parcours nous pousse toujours à souscrire plus , c est agaçant car comme pour toute assurance, nous n’avons pas d’information quant à la probabilité de survenance des risques évoqués </t>
  </si>
  <si>
    <t>juzy-80438</t>
  </si>
  <si>
    <t xml:space="preserve">cliente depuis plus de 5 ans et le service s'est dégradé en l'espace d'un an </t>
  </si>
  <si>
    <t>26/10/2019</t>
  </si>
  <si>
    <t>julie-d-112919</t>
  </si>
  <si>
    <t>Très satisfait des offres YouDrive !
Le rapport qualité / prix est plus que correct comparé à d'autres devis que j'ai pu voir.
Simplicité également pour l'adhésion 100% numérique.</t>
  </si>
  <si>
    <t>alain--136506</t>
  </si>
  <si>
    <t xml:space="preserve">Adhérent depuis janvier nous ne sommes toujours pas connecté à la télétransmission. 
Des appels répétés auprès du conseillé oxyliane rien n y fait
J ai quitté la MGP ou j été adhérent depuis 1983 pour une question de prix et je regrette mon choix la qualité a un coût apparemment 
Futez cette assurance </t>
  </si>
  <si>
    <t>07/10/2021</t>
  </si>
  <si>
    <t>thierry-96584</t>
  </si>
  <si>
    <t xml:space="preserve">La fidélité ne paye pas 
Des biens une entreprise des véhicules  et au bout de 40 ans et une sécession d’activité pour cause de retraite 
On me vire pour soit disant trop de sinistre  moi je dirais des mises en cause sans forcément être en tord 
</t>
  </si>
  <si>
    <t>delbos-j-130024</t>
  </si>
  <si>
    <t>Je suis satisfait du prix, je ne peux encore parler du service. Le site a buggé plein de fois, pendant le devis jusqu'à la signature, on a perdu une heure...</t>
  </si>
  <si>
    <t>gepadoo77-86787</t>
  </si>
  <si>
    <t xml:space="preserve">Cela fait plus d'un an que je cotise pour une mutuelle santé pour mon chien L'année dernière mon vaccin annuel de 60 euros a été remboursé à hauteur de 25 euros comme le contrat le stipule
Je n'ai eu aucun autre sinistre
cette année j'ai fait mon vaccin il y a un mois et je ne suis tjrs pas remboursé Réclamation faite il y a 9 jours sans réponse de leur part alors qu'un mail automatique est envoyé qui dit qu'on va avoir une réponse sous 72hres
Une conseillère m'a dit par téléphone que sur son ordinateur j'ai été remboursé sur mon compte au bout d'une semaine
mais je n'ai eu aucun crédit de leur part
en revanche il savent ou prélever les cotisations tous les mois
je précise que je suis conseiller bancaire et que je sais lire mes relevés de compte et que je n'ai aucun crédit de leur part
Cela est énervant de devoir se battre pour réclamer 25 euros par an alors  qu' me prélève 23 euros tous les mois
Je ne vois pas ce que cette mutuelle couvre en fait
Apparemment ils ont envie que les clients résilie les contrats
C'est juste inadmissible tout ça 
Quelle déception 
Je veux être remboursé des 25 euros comme le prévoit le contrat </t>
  </si>
  <si>
    <t>06/02/2020</t>
  </si>
  <si>
    <t>ted-98205</t>
  </si>
  <si>
    <t xml:space="preserve">Assurée depuis des années et ayant eu plusieurs litiges pour lesquels j'ai fais jouer mon "l'assurance juridique Matmut", je fais le bilan aujourd'hui que cette assurance juridique ne sert strictement à rien. je n'ai eu à chaque fois que de simples assistants/assistantes incapables de me conseiller juridiquement, allant jusqu'à me proposer des actions à ne surtout pas faire pendant une procédure à l'amiable (comme réaliser des travaux avant passage d'un expert!), ou traiter mes dossiers de façon professionnelle. concrètement ils ne font que des envoies/réceptions de courriers avec en plus strictement aucune réactivité. </t>
  </si>
  <si>
    <t>bouchehboun-f-113529</t>
  </si>
  <si>
    <t xml:space="preserve">Après avoir consulter les avis positifs sur l'olivier, j'ai tenté d'avoir plusieurs devis en ligne rapidement. J'ai pris la décision de me faire assurer par L'olivier.
Validation du devis qui a été effectuée en ligne avec un collaborateur sympa! </t>
  </si>
  <si>
    <t>etienne-59014</t>
  </si>
  <si>
    <t>À fuir ! Je déconseille fortement AMV ce ne sont pas des professionnels ! Il vaut mieux payer 5 ou 10 euros de plus et prendre une assurance avec un vrai service client et une personne en face de vous .. ils continuent à prélever votre compte alors que la lettre de résiliation était signé et envoyé depuis 2 mois !! Plus de deux mois à être rembourser du trop perçu ...</t>
  </si>
  <si>
    <t>22/11/2017</t>
  </si>
  <si>
    <t>xiong-49465</t>
  </si>
  <si>
    <t>je suis déçus de MAAF se n'est pas sérieux le part quant il s'agit de prendre leur responsabilité pour les remboursement ex: sinistré non résponsable la il prenne leur temp,par contre pour réclamer un échéance en retar la  il sont rapide.</t>
  </si>
  <si>
    <t>goncalves-l-114735</t>
  </si>
  <si>
    <t xml:space="preserve">SERVICE AU TOP.
TRES RAPIDE. PROFESSIONNEL.
J ai eu besoin d'une assurance avec une immatriculation provisoire et ai reçu toute l'aide dont j'avais besoin. Service très rapide. </t>
  </si>
  <si>
    <t>ymane-h-117512</t>
  </si>
  <si>
    <t xml:space="preserve">très déçu! je n'ai jamais vu de plus grands charlatant aucune éthique professionnel , ne respecte pas leurs engagements a fuir ! 
même les responsables sont de mauvaises foie </t>
  </si>
  <si>
    <t>agnes-55481</t>
  </si>
  <si>
    <t>ayant souscrit plusieurs contrats auto je me suis apercu pour un de mes vehicules que la carte verte et la vignette ne m'avait pas éte envoyé(retard de 6mois!!!) je contacte donc mon agence qui me certifie l'envoyer le mardi13 juin le vendredi n'ayant tjs rien je rappel et on me reponds qu'il faut 72h pour que le courrier soit acheminé et que si cela ne me vas pas de passer a l'agence! je m'enerve un peu et prends la decision  d'attendre aujourd'hui tjs rien !!! je fais quoi??j'arrete de payer?? je roule sans assurance!!!!!!!!!!!</t>
  </si>
  <si>
    <t>19/06/2017</t>
  </si>
  <si>
    <t>vanhoutte-j-115401</t>
  </si>
  <si>
    <t>satisfait de l'accueil et du conseillé.
prix un peu élevé en fonction de mon ancienneté de permis sans dommages.
pour le type de véhicule à 5 CV.
Cordialement</t>
  </si>
  <si>
    <t>florence1969-78641</t>
  </si>
  <si>
    <t xml:space="preserve">après un accident responsable 1 juillet 2019, sans gravité, suis toujours dans l'attente de mon véhicule réparée chez garage dit agrée. Je suis assurée tous risques mais presque tout est à ma charge. Etrangement après le choc l'expert macif trouve une usure cardan , et refuse la prise en charge alors que le contrôle technique effectué juste avant ne stipulait pas ce problème. Le train arrière est abîmé mais l'essieu et le cardan c'est soit disant de l 'usure.
Alors oui le positionnement prix est bon mais si on est pas soutenu en cas de sinistre je préfère payer plus </t>
  </si>
  <si>
    <t>nanan-m-113697</t>
  </si>
  <si>
    <t xml:space="preserve">Bonjour, 
Je  ne suis pas très satisfaite, car je suis souscrite depuis longtemps chez vous sans aucun geste commercial de votre part, d’où ma demande de résiliation.
Cordialement </t>
  </si>
  <si>
    <t>14/05/2021</t>
  </si>
  <si>
    <t>mye-94597</t>
  </si>
  <si>
    <t>Il m’est proposé plusieurs prix, mais pour l’instant je n’ai pas vu de comparaison sur les offres faites par les assureurs avec un classement par rapport à l’offre  la + couvrante et le classement des compagnies d’assurance par sérieux, 
Je me connecte à partir de mon téléphone portable
J’ai besoin de creuser Un peu + les offres qui me sont faites du coup.
Mais merci tout de même de votre aide</t>
  </si>
  <si>
    <t>19/07/2020</t>
  </si>
  <si>
    <t>legout-y-117729</t>
  </si>
  <si>
    <t xml:space="preserve">Je suis satisfait du service les prix me semblent un petit peu élevé dans l’ensemble je suis assez satisfait des conseiller agréable est qui apporte toujours des réponses satisfaisantes </t>
  </si>
  <si>
    <t>dugard-j-110034</t>
  </si>
  <si>
    <t xml:space="preserve">Je suis satisfait 
Le prix me convient parfaitement 
J'espère que mon dossier va être bien rempli rapidement pour Olivier assurance et recevoir ma carte vert rapidement </t>
  </si>
  <si>
    <t>victoire-95977</t>
  </si>
  <si>
    <t xml:space="preserve">Assureur  incompétent et de mauvaise foi. Aucun respect des personnes vulnérables. Tarif prohibitif. Refus systématique d'appliquer ses propres contrats et aussi les lois qui s'appliquent à elle. La MAIF feint de défendre des " valeurs mutualistes " (solidarité, ouverture d'esprit, etc.) alors qu'elle refuse de prendre ses responsabilités et que certains " militants " sont pires que les salariés. </t>
  </si>
  <si>
    <t>06/08/2020</t>
  </si>
  <si>
    <t>patrick-d-106424</t>
  </si>
  <si>
    <t xml:space="preserve">les prix me convienne les service sont en rapport merci j ai encore des vehicules a assurer
je n esiterais pas a revenir vers vous pour assurer mes vehicule </t>
  </si>
  <si>
    <t>so22-66992</t>
  </si>
  <si>
    <t>L accueil pas serviable. Alors que j ai un contrat avec eux et modifier avec ils ne sont pas capable de me repondre et de m envoyer un devis. Je resilie directe...</t>
  </si>
  <si>
    <t>20/09/2018</t>
  </si>
  <si>
    <t>nad-62656</t>
  </si>
  <si>
    <t>Cela fais 2 mois que j attend l indemnisation degat tempête de l avant toit de ma toiture 2 devis envoyé pour qu a la fin on me dise qu un expert passera fin mai en gros encore 2 mois a attendre en plus du temps d imdemnisation  incroyable pas sérieux du tout au moin une avance pour les travaux de la toiture mais rien decus de cette assurance</t>
  </si>
  <si>
    <t>02/05/2018</t>
  </si>
  <si>
    <t>pitberan-79640</t>
  </si>
  <si>
    <t>Service client très médiocre et délais de traitements inacceptables. 6 mois pour ajouter mes enfants sur ma mutuelle. Informations contradictoires à chaque appel. Emails et documents attachés perdus par AG2R. Demande de prise en charge de soins. 1.5 mois, 3 relances et des informations contradictoires à chaque appel. 3 réponses différentes reçues dont une qui me disait que je n'avais qu'à lire le tableau de mes garanties. Demande de remboursement  sur décompte secu:  1 mois plus tard aucune nouvelle. Service client incapable de me dire si/qd ma demande sera traitée. Le dernier conseiller m'a raccroché au nez</t>
  </si>
  <si>
    <t>ulysse-63984</t>
  </si>
  <si>
    <t xml:space="preserve">Suite à une chute le 13 avril 2018, ayant occasionné une fracture bi-malléolaire et accessoirement, la destruction totale de mon téléphone portable, je me suis tournée vers mon assurance Maif. A ce jour, je viens d'apprendre que mon portable ne sera pas pris en charge pour cause de vétusté (un IPhone 5S acheté neuf en 2014 pour un montant de 675 euros!). Avec de telles conditions, je considère donc qu'en plus de finalement se comporter comme une entreprise plus désireuse d'encaisser les cotisations de ses ''sociétaires'' que de couvrir leurs besoins réels, La Maif participe de la course au gaspillage de nos ressources naturelles en déclarant de valeur nulle un téléphone haut de gamme ''vieux de 4 ans''. Bravo pour votre contribution à la culture de l'obsolescence programmée!!! </t>
  </si>
  <si>
    <t>14/05/2018</t>
  </si>
  <si>
    <t>brice-f-122608</t>
  </si>
  <si>
    <t xml:space="preserve">Le prix me convient surtout en étant jeune conducteur je n ai trouvé aucune autre assurance avec de tels tarifs. Simple et efficace. Je suis satisfait. </t>
  </si>
  <si>
    <t>bbellocq-104490</t>
  </si>
  <si>
    <t>Des frais dentaires non remboursés depuis plus de 2 mois maintenant. J'en ai pour plus de 759€ . Inadmissible !
J'appelle le service client toutes les semaines, rien à faire. Ils se foutent de moi ! 
Devis du mois d'août, rien à payer, factures envoyées 2 fois en décembre et pas de remboursement.
À chaque appel, je recommence tout depuis le début.
Mutuelle incompétente !</t>
  </si>
  <si>
    <t>sandra-63107</t>
  </si>
  <si>
    <t xml:space="preserve">Je suis très déçu de la Maif , de grosses difficultés après mon sinistre auto , aucune communication , aucune réactivité , interlocuteurs désagréables et de mauvaises fois , je pensais qu’une assurance était là pour défendre les intérêts de son assuré .. pour la Maif ce n'est pas le cas . </t>
  </si>
  <si>
    <t>10/04/2018</t>
  </si>
  <si>
    <t>auge-s-116572</t>
  </si>
  <si>
    <t xml:space="preserve">
Pour faire suite à votre demande d'avis, je suis satisfait de l'offre, du contenu et du prix.
Bien cordialement,
Stéphanne Augé 
Mobile 06 03 56 88 79</t>
  </si>
  <si>
    <t>natastien10-76868</t>
  </si>
  <si>
    <t>Les remboursements trainent pendant plusieurs mois sous excuse de problème informatique On le doit trous mille euro depuis deux mois je suis acculé par les dettes à cause d'eux</t>
  </si>
  <si>
    <t>LCL</t>
  </si>
  <si>
    <t>18/06/2019</t>
  </si>
  <si>
    <t>daniel-d-107244</t>
  </si>
  <si>
    <t xml:space="preserve">Bonjour,
Je suis déçu en découvrant une franchise de 25% sur remplacement du pare brise...
Impossible de trouver Attestation d'assurance sur le site!
Idem pour les "Conditions Spéciales" évoquées..
</t>
  </si>
  <si>
    <t>stephdu44760-64366</t>
  </si>
  <si>
    <t xml:space="preserve">Un service rapide - un accueil de qualité et professionnel.  200 caractères cela va être compliqué - mais L'Olivier pour le moment est au top devant bien d'autres - dont une certaine personne qui m'a rassuré et m'a aussi assuré mon véhicule...  je ne vais pas donner de noms ici mais certains sont très long à gérer des sinistres ou à ouvrir des dossier... qu'on se de dise. merci Marion oupsss j'ai donné un prénom. </t>
  </si>
  <si>
    <t>prescilia-b-131023</t>
  </si>
  <si>
    <t xml:space="preserve">Je suis satisfaite du service
Ainsi que de la rapidité du traitement du dossier. 
Je recommanderai fortement vos services auprès de mon entourage.
Cordialement </t>
  </si>
  <si>
    <t>flore-o-122327</t>
  </si>
  <si>
    <t xml:space="preserve">Inscription facile, prix convenable. 
Rapide et pratique lors de l'inscription. La disponibilité et la réactivité sera à évaluer si sinistre déclaré. 
</t>
  </si>
  <si>
    <t>redoules-c-110250</t>
  </si>
  <si>
    <t>Je suis satisfait du service cependant j'aurais voulus modifier mon rib je n'ai pas vu si c'était possible... cela reste malgrès ça une méthode simple et rapide</t>
  </si>
  <si>
    <t>zumae-71073</t>
  </si>
  <si>
    <t xml:space="preserve">Remboursement rapide aucun soucis </t>
  </si>
  <si>
    <t>08/02/2019</t>
  </si>
  <si>
    <t>dalal-o-124493</t>
  </si>
  <si>
    <t xml:space="preserve">Satisfait de cette assurance, je recommande juste pour jeune conducteur les prix sont assez élevée sinon voilà quoi je pourrais être assurer dès mon prélèvement </t>
  </si>
  <si>
    <t>24/07/2021</t>
  </si>
  <si>
    <t>cp-60635</t>
  </si>
  <si>
    <t xml:space="preserve">Je suis chez Allianz depuis environ 3 ans.
Les conseillers de clientèle sont disponibles ou bien s'ils ne le sont pas, ils vous rappellent dans les 2 heures (avec heure de déjeuner). Ca m'est arrivée souvent.
Ils sont de très bon conseille !
Je viens de me renseigner sur les prix des assurances ailleurs (5 assureurs). Allianz est plus avantageux sur : le prix, les franchises et les taux de prise en charge en cas d'accident.
DU COUP MON FILS VA S'Y ASSURER EGALEMENT CETTE SEMAINE.
J'ai vu des avis qui délirent complètement... Avant de passer au kilométrage supérieur, Allianz m'a contacté 4 fois. Et avec mon accord, ils m'ont fait payer 50euros PAR AN... </t>
  </si>
  <si>
    <t>27/10/2020</t>
  </si>
  <si>
    <t>yanki-102465</t>
  </si>
  <si>
    <t>Bonjour j’ai placé 93 000 euros chez Sogecap vers 2006 donc je n’ai plus aucune nouvelle,mon argent a disparu.Procés perdu tous pourri personne ne répond au courrier personne pour m aider.</t>
  </si>
  <si>
    <t>11/01/2021</t>
  </si>
  <si>
    <t>christine-t-134395</t>
  </si>
  <si>
    <t xml:space="preserve">Je suis satisfait de mon contrat , j’ai un énorme gain d’argent comparé à mon ancienne assurance ! 
J’ai trouvé cette assurance grâce à une connaissance qui est satisfait de vos prestations. </t>
  </si>
  <si>
    <t>pepe-135175</t>
  </si>
  <si>
    <t xml:space="preserve">Une bonne assurance si on n a pas de sinistre. Incendie de notre maison en 2020. Tout est mis en œuvre pour indemniser au minimum.... vous n êtes plus le cher sociétaire,  mais le parasite qui va coûter de l'argent à la GMF... Obligé de prendre un avocat pour faire avancer notre dossier. Nous sommes plus traumatisés par la GMF que par l incendie lui-même. Tout bonnement scandaleux!   </t>
  </si>
  <si>
    <t>30/09/2021</t>
  </si>
  <si>
    <t>grego-107551</t>
  </si>
  <si>
    <t xml:space="preserve">Les prix ont augmentés de 20 % en 2021 après 1 an d'assurance pour des justifications fumeuses (prix des pièces, etc..). Bref, tarif bas en appel la première année.... après on se rapproche d'un assureur traditionnel mais avec les avantages du contact. A savoir avant de souscrire. </t>
  </si>
  <si>
    <t>22/03/2021</t>
  </si>
  <si>
    <t>moi-110683</t>
  </si>
  <si>
    <t xml:space="preserve">Je met 1 étoile car je n'ai pas la possibilité de mettre moins.
5 contrats habitations depuis plusieurs années, 1 litige de déclaré : le 29 août 2020 j'ai accroché une dame sur le trottoir, comme elle était au téléphone, celui ci est tombé.
Déclaration devis le tout envoyé à Direct assurance. Malgré les relances 8 mois après je viens de savoir pas de remboursement car la boutique  c'est trompé de date sur le devis le 20.08.2020  .J'ai essayé de prouver ma bonne foi mais rien à faire ils ne veulent rien payer. 300 euros . Je vais résilier mes contrats car je me dis si un jour ma maison brûle il me faudra attendre des années avant de pouvoir être remboursé. ASSURANCE  A  FUIR </t>
  </si>
  <si>
    <t>lionel-c-105356</t>
  </si>
  <si>
    <t>vous ne vous êtes pas  occuper  du relevé d 'information  de mon ancien assureur l olivier assurance  il manque encore des informations  Vous pourriez faire l effort de leur demander.</t>
  </si>
  <si>
    <t>stevie-85770</t>
  </si>
  <si>
    <t xml:space="preserve">Assurance bon marché, mais qui assure mal!
Contrat maximal "tous risques" avec pack o Km sérénité soit le contrat maximal que l'on puisse souscrire et pas de prise en charge en cas de crevaison qui rend le véhicule immobilisé et inutilisable telle une panne.
En souscrivant le pack sérénité, je ne pensais pas être dans une situation aussi désagréable:
Le pneu avant droit du véhicule de ma femme éclate un soir sur la route en pleine nuit à 6 kms de mon domicile.
Elle appelle le service Assistance de Direct Assurance en demandant un remorquage, puisque le véhicule d'origine constructeur ne dispose pas de roue de secours, de plus, la bombe anti-crevaison fournie par le constructeur est inefficace vis à vis  de la gravité de la crevaison.
Verdict assistance: la crevaison n'est pas prise en charge uniquement en cas de panne, regardez votre contrat.
J'ai expliqué que le véhicule était immobilisé, mais l'assistance ne veut rien savoir.
Coût de l'opération : 280 euros  de remorquage à mes frais, tarif de nuit pour 6 kms de mon domicile.
Remplacement des pneus et changement de la jante (car ma femme a soit heurté une pierre ou un pavé soit a touché le trottoir après l'éclatement du pneu) soit 800 euros en tout à mes frais.
Courrier explicatif envoyé au service client de direct Assurance, avec preuve du constructeur à l'appui comme quoi le véhicule ne dispose pas de roue de secours et que le véhicule était immobilisé en considérant le fait que le pneu était irréparable.
Verdict final du service client: 
Madame,  
Votre demande de remboursement concernant votre sinistre du 11/12/2019 a été traitée.
Néanmoins, nous regrettons de ne pouvoir y donner une suite favorable. En effet nous vous rappelons que la crevaison n'est pas garanti par le contrat de l'assistance.
Restant à votre disposition, nous vous prions de recevoir, Madame, nos sincères salutations.
Service Remboursement Clients
MARYEM FASKA 
Cette assurance est une escroquerie.
Les personnes qui m'ont fait la souscription nous ont affirmé que ce pack 0 kms prenait en charge le remorquage du véhicule à partir du moment où le véhicule est immobilisé.
Quel  intérêt de prendre le o kms dans le cas contraire?
Où est le sens du mot "sérénité"?
J'ai trouvé sans mal une assurance concurrente qui propose un vrai o kms (assurance pour tout ce que Direct Assurance n'assure pas) encore moins chère!
Pensez bien à lire les conditions générales et particulières et surtout exigez-les au moment de votre souscription.
</t>
  </si>
  <si>
    <t>10/01/2020</t>
  </si>
  <si>
    <t>verger-j-114244</t>
  </si>
  <si>
    <t>Je suis très satisfait de la souscription de mon contrat auto. 
Merci pour votre écoute et votre professionnalisme, lors de la finalisation de mon devis.</t>
  </si>
  <si>
    <t>snoopy-137458</t>
  </si>
  <si>
    <t>Bonjour suite à un mail reçu concernant mon adhésion il y a deux jours mon interlocutrice a été professionelle elle a expliqué le souci et a pu résoudre mon problème</t>
  </si>
  <si>
    <t>14/10/2021</t>
  </si>
  <si>
    <t>boirel-s-137384</t>
  </si>
  <si>
    <t>contrat souscrit au téléphone et tout à été parfait en tout point, je suis entièrement satisfaite de vos services et de vos prix pratiqués ainsi que pour votre professionnalisme  ,merci.</t>
  </si>
  <si>
    <t>bibendum-81821</t>
  </si>
  <si>
    <t>Bonne assurance, mais vous êtes viré au troisième sinistres non responsable.ils ne prennent pas en compte l'ancienneté et la loi des séries.Service client à revoir</t>
  </si>
  <si>
    <t>12/12/2019</t>
  </si>
  <si>
    <t>abbassa-d-115758</t>
  </si>
  <si>
    <t xml:space="preserve">Bonjour c’est vraiment magnifique cette assurance et surtout la rapidité de votre service je souhaite rester avec oliviers assurance le maximum délai et merci beaucoup. </t>
  </si>
  <si>
    <t>lionel-d-112710</t>
  </si>
  <si>
    <t>je suis vraiment très satisfait du service que vous proposez, je recommande direct assurance et je suis prêt à parrainer un de mes proches lors de ses prochains achats en matière d'automobile ou d'immobilier.</t>
  </si>
  <si>
    <t>desaphie-k-122553</t>
  </si>
  <si>
    <t xml:space="preserve">Mes interlocuteurs ont été très agréable merci à eux je conseillerais l Olivier assurance à tous mes amis , c est simple ,rapide et efficace encore merci </t>
  </si>
  <si>
    <t>simon-o-122722</t>
  </si>
  <si>
    <t xml:space="preserve">Je suis satisfaite du service et j'ai eu un très bon conseiller au téléphone ! 
Le niveau des prix est plus bas que ce que les autres assurances avaient à me proposer, c'est un + </t>
  </si>
  <si>
    <t>amg-71187</t>
  </si>
  <si>
    <t>"Qualité du service client", à la Macif ce n'est plus que effet d'annonce. Certes, nous sommes dans la situation la plus défavorable (pour nous mais extrêmement favorable pour la compagnie d'assurance). Notre Fiat 500 quasi neuve (6 mois, un très faible kilométrage et assurée avec une formule de type tout risque) a été volée par un trafiquant de drogue. Elle a été retrouvée en état de marche après avoir parcouru plusieurs milliers de km (sans doute sans ménagement) au bout de 20 jours. La Macif s'est réfugiée derrière le cadre réglementaire et s'en est tenue au minimum syndical (remboursement des travaux estimés à environ 1 100 euros sur la base d'une expertise au cours de laquelle la voiture est restée immobile...). La Macif a pensé donner une bonne image de son service en adoptant un style de communication policé qui ne trompe en définitive personne et est loin de masquer le désintérêt total qu'elle a pour ses "clients". La Macif a aussi prétendu vouloir nous aider en lançant un appel d'offre auprès d'épavistes (?) qui ont logiquement proposé des niveaux de prix d'épaves. Bilan des courses cela fait maintenant près de 4 mois que notre voiture a été volée. Nous avons toutes les peines du monde à obtenir des réponses et à passer aux étapes suivantes pour pouvoir récupérer la voiture. Nous avons passé des heures à essayer de faire avancer le dossier (nous avons par ailleurs une activité professionnelle) et avons le sentiment que nous ne sommes pas au bout de nos peines. Nous n'avons pas non plus eu de prêt de voiture pendant toute cette période. Le trafiquant va passer au tribunal et la Macif doit se porter partie civile pour le préjudice qu'elle a subi et essayer de se faire rembourser les frais engagés pour la réparation de notre véhicule. Il y a fort à parier qu'elle obtiendra un dédommagement supérieur au notre. Les assureurs sont de pauvres victimes! Pour notre part nous sommes clients de la Macif depuis près de 30 ans et avons nos véhicules ainsi que celui de notre fille assurés chez eux. Mais c'est finalement sans importance puisque chaque fois la Macif nous oppose des raisons contractuelles.</t>
  </si>
  <si>
    <t>elo-78891</t>
  </si>
  <si>
    <t>tres bien expliquer personne très gentil ...................................................</t>
  </si>
  <si>
    <t>03/09/2019</t>
  </si>
  <si>
    <t>guizmo-75107</t>
  </si>
  <si>
    <t>Personnes du métier d'assurance et très facile à joindre, pas comme ces plateformes à l'étranger où il faut répéter 3 fois les mêmes choses à X interlocuteurs différents qui ne connaissent pas le métier d'assureur et les garanties des contrats qu'ils vendent...chez Pacifica, ils sont très professionnels</t>
  </si>
  <si>
    <t>16/04/2019</t>
  </si>
  <si>
    <t>mollogh-49441</t>
  </si>
  <si>
    <t>Suite au décès de mon premier chat et des soins vétérinaires qui en a découlé, j'ai cherché une assurance/mutuelle pour mon dernier chat.
J'ai contacté santé vet et les bulles bleu, j'étais partis pour prendre les bulles bleu mais SanteVet s'est rendue très attractif car je devais stériliser ma dernière 10 jours plus tard et que selon eux, l'opération serait prise en charge.
Aujourd'hui l'opération faite, je contacte SanteVet qui m'indique que non, rien ne sera pris en charge...</t>
  </si>
  <si>
    <t>22/11/2016</t>
  </si>
  <si>
    <t>nelly-m-116254</t>
  </si>
  <si>
    <t xml:space="preserve">non pas satisfait.... L espace personnel est nul, est ne tient pas compte des envois effectués, notamment des pièces jointes. Les modes de fichiers nécessaires aux qualités des pièces ne sont pas adaptés. </t>
  </si>
  <si>
    <t>07/06/2021</t>
  </si>
  <si>
    <t>pauline-r-126233</t>
  </si>
  <si>
    <t>Le prix de l'assurance proposée pour mon véhicule est bien plus attractif que celui que je paye actuellement. J'attends de voir si je suis satisfaite des prestations de Direct Assurance à l'usage</t>
  </si>
  <si>
    <t>medy--i-117803</t>
  </si>
  <si>
    <t xml:space="preserve">Je satisfait du service et les prix me conviennent.
J’étais déjà assuré chez vous pour ma première moto et tout c’est bien passé donc je suis revenu. </t>
  </si>
  <si>
    <t>godzi-93056</t>
  </si>
  <si>
    <t>Service Client inexistant</t>
  </si>
  <si>
    <t>02/07/2020</t>
  </si>
  <si>
    <t>gabriel-d-133160</t>
  </si>
  <si>
    <t xml:space="preserve">Je suis satisfait très bien merci beaucoup pour votre service  
Je recommanderais votre assurance à mes amis et à ma famille 
Merci pour votre confiance à bientôt 
</t>
  </si>
  <si>
    <t>fsteph-104352</t>
  </si>
  <si>
    <t>Très satisfaite de la mutuelle j’ai des réponses rapides à mes éventuelles problèmes et attentes 
La qualité du service et le montant des cotisations sont très  satisfaisants</t>
  </si>
  <si>
    <t>nejla-y-125190</t>
  </si>
  <si>
    <t>Je suis satisfait du service les prix sont intéressants. 
La souscription est simple et pratique. 
Je recommande. 
J'ai même eu un sinistre et le remboursement à été très rapide.</t>
  </si>
  <si>
    <t>28/07/2021</t>
  </si>
  <si>
    <t>alexis1206-93224</t>
  </si>
  <si>
    <t>Je ne laisse que très peu souvent des avis mais au vu de ce que j'ai vécu je me sens obligé de le faire. Je suis tombé en panne en partant en vacances, ma compagne et moi sommes restés près de 6h au milieu de nulle part à attendre une solution de la GMF qui n'avait pas l'air très soucieuse de nous. Tout était bon pour essayer de débourser le moins possible !! Je n'ai rien contre les standardistes mais sur cette journée j'ai du avoir une dizaine de personnes différentes au téléphone, jamais le même discours, et à chaque je me devais de rappeler les faits de mon dossier .. C'est la première fois que ça m'arrive et sincèrement j'ai trouvé cela scandaleux. Au final, et après 6h de lutte acharnée nous sommes tombés sur une personne compétente qui nous as trouvé une solution en 10 minutes. Il y a clairement un manque de compétences chez certains ...</t>
  </si>
  <si>
    <t>06/07/2020</t>
  </si>
  <si>
    <t>gilles-d-105654</t>
  </si>
  <si>
    <t xml:space="preserve">Je suis satisfait des services
les prix me conviennent
le service par téléphone est facile d'accès, l'attente n'est pas trop longue, le devis est fait rapidement et
le conseiller est à l'écoute
l
</t>
  </si>
  <si>
    <t>06/03/2021</t>
  </si>
  <si>
    <t>djams-132986</t>
  </si>
  <si>
    <t xml:space="preserve">Je voudrais remercier Goerge pour sa préstation telephonique tres tres benefique pour moi, il s'agit d'un homme humain, tres patient qui a su regler mon probleme tres rapidement. 
Merci a lui. </t>
  </si>
  <si>
    <t>brossard-f-110516</t>
  </si>
  <si>
    <t xml:space="preserve">Les tarifs sont sympas. La mise en place de l'assurance a été simple et la conseillère au téléphone a été efficace. Les garanties sont complètes. l'offre de parrainage ne fonctionne pas avec les comparateurs  </t>
  </si>
  <si>
    <t>dunit76930-90242</t>
  </si>
  <si>
    <t>Très bonne assurance je recommandes, je me suis jamais senti aussi bien</t>
  </si>
  <si>
    <t>05/06/2020</t>
  </si>
  <si>
    <t>edw-76380</t>
  </si>
  <si>
    <t>Pas énormément de choses à dire, j'en suis content. Les prix sont un peu plus cher, mais au moins j'ai des gens à mon écoute et pour moi ça se passe bien !</t>
  </si>
  <si>
    <t>31/05/2019</t>
  </si>
  <si>
    <t>laurent18-89865</t>
  </si>
  <si>
    <t>Bonjour 
Cela fait plus de 20 ans que je suis à la MAIF et tout se passait très bien (bien évidemment je n'avais aucun sinistre). J'ai malheureusement subis des désordres sur mon habitation (apparition de fissures en façades) suite à l'été 2018 et ai donc fait tout à fait logiquement une déclaration de sinistre suite à la parution de l'arrêté CAT NAT Sécheresse reconnaissant cet épisode de sécheresse pour ma commune. Les fissures sont apparues durant la période citée. La MAIF a mandaté un de SES expert affilié, expert totalement à la botte de la MAIF qui n'avait en aucun cas l'objectif d'évaluer les dégâts mais bien de rechercher tout autres causes aussi aberrantes et injustifiées soient elles pour tenter de garantir les intérêts financiers de la MAIF et ne pas prendre en charge les réparations! (Cause avancée par l'expert d'une possible faiblesse de mon habitation !! Pourtant sans problème depuis 80ans !! En résumé, la MAIF met en avant les possibles renforcement d'une habitation face au sinistre rencontrés plutôt que de les prendre en charge en réparations des dégâts subis par la sécheresse ! On marche sur la tête) Et malgré un courrier circonstancié de ma part précisant clairement tous les arguments fiables et incohérences / "faux" dans le rapport d'expertise (enfin on ne peut nommer cela rapport d'expertise, tout au plus un CR de défense pour la MAIF bourré de suppositions et sans aucun élément factuel), d'un coup de baguette magique, la MAIF répond qu'un soi-disant expert régional au fond de son fauteuil a validé la première expertise après 2 jours sans même avoir pris connaissance de mon courrier! (Alors que j'avais attendu 9 mois le retour de l'expertise !!!) La démarche en devient risible, sachant que la 1ère expertise n'avait strictement aucune information mesurée ou fiable. En conclusion, il est intolérable de subir une telle démarche, la MAIF étant bien consciente, et sait le rappeler, qu'une démarche en justice est lourde à assumer pour l'assuré. C'est purement inadmissible! Mais étant face à une injustice, j'irai devant le médiateur et si nécessaire en justice pour faire valoir mes droits! 
En résumé je tombe de très haut et découvre avec effarement que la MAIF ne prends pas du tout en considérations ses assurés et ne pense effectivement qu'à récolter les mensualités de ses assurés mais pas de les accompagner dans la prise en charge d'un sinistre pourtant avéré. J'espère encore me tromper…</t>
  </si>
  <si>
    <t>23/05/2020</t>
  </si>
  <si>
    <t>angelo-52292</t>
  </si>
  <si>
    <t>Assuré depuis mes 14 ans et j'en ai 46. Jamais eu de sinistres responsables, Malheureusement pour moi, la foudre est tombé sur ma maison, résultat mon alarme grillée. Plus de 3 mois pour être remboursé et encore parce que je me suis engueulé avec la MACIF à plusieures reprises. Final, radiation pour mésentente commerciale. Un agent m'a avoué que l'on m'avait radié car ils ont eu peur que je fasse d'autres déclarations de sinistres. Leur politique: tout va bien tant qu'il n'y a rien à rembourser. Je peux vous dire que depuis, mon nouvel assureur est tout content d'avoir chez lui, 2 motos, 1 scooter, 3 voitures et mon habitation. Fuyez cette assurance, pour votre confort !</t>
  </si>
  <si>
    <t>10/02/2017</t>
  </si>
  <si>
    <t>francois-l-128223</t>
  </si>
  <si>
    <t>Je suis fidèle à la GMF depuis de nombreuses années pour sa qualité de service, sa proximité grâce à ses agences.
Les prix sont compétitifs par rapport à la concurrence à prestations équivalentes</t>
  </si>
  <si>
    <t>thomas-rousselot-129273</t>
  </si>
  <si>
    <t>Je suis satisfait et le prix est raisonnable et concurrentiel. Le site en ligne permet un souscription rapide à l'assurance souhaitée.
Merci à bientôt.</t>
  </si>
  <si>
    <t>flo-m-104963</t>
  </si>
  <si>
    <t>Insatisfait du service client réponse inadapté langage familier, zéros solutions proposées. J'ai résilié mon contrat 10 minutes après, concurrent plus attractif et professionnel.</t>
  </si>
  <si>
    <t>moseka-lisona-j-122529</t>
  </si>
  <si>
    <t xml:space="preserve">Bonjour, je suis très très très très satisfaite du prix des garanties et de la rapidité du service en ligne. Je le recommande vivement à mes proches. </t>
  </si>
  <si>
    <t>-gmz--100322</t>
  </si>
  <si>
    <t>Véhicule assuré chez eux depuis 2013, aucun sinistre, un contrat qui roule (!) tout seul.
Fin 2019, augmentation de 14,5% sans aucune justification.
Je téléphone pour me plaindre, on ne me donne aucune explication, mais on m'offre un geste commercial, associé à une baisse du kilométrage annuel, l'augmentation est divisée par 2, ce qui reste hors norme.
Début Novembre 2020, nouvelle augmentation, le geste commercial précédent étant one shot...
On refait le point : depuis début 2020, je suis retraité, le véhicule est donc "trajets privés uniquement", et j'ai déménagé d'une ville en Ile de France sujette aux vols, à une ville du Gard très très calme...
D'après Olivier Assurances, c'est ce déménagement qui est la cause de l'augmentation, ce que je conteste.
En effet, j'ai utilisé plusieurs comparateurs d'assurances, en faisant des devis pour lesquels j'utilisais alternativement l'ancienne et la nouvelle adresse, et TOUS donnent un prix inférieur pour la nouvelle adresse !
Je signale cela à Olivier Assurances, et là, le conseiller m'informe qu'ils ont un logiciel, dont il ne peut révéler les rouages, qui considère que ma nouvelle adresse est nettement plus dangereuse que l'ancienne...
Evidemment, dans mes devis récents, j'en ai de Olivier Assurances eux-mêmes, qui sont nettement moins chers... mais ça, Mr le conseiller ne veut pas l'entendre, selon lui j'ai forcément changé un paramètre sans m'en rendre compte.
De la parfaite mauvaise foi, inacceptable, qui laisse prévoir le pire à l'avenir.
Olivier Assurance vous attire avec un tarif compétitif, puis ils se rattrapent les années suivantes, sachez où vous mettez les pieds !</t>
  </si>
  <si>
    <t>19/11/2020</t>
  </si>
  <si>
    <t>amp-123157</t>
  </si>
  <si>
    <t>A mon avis les conducteurs prudents et sans accident pendant un an devraient être récompensés avec une diminution de leur contrat d'assurance. Ceci les encourageraient a faire mieux.
Cdlt.</t>
  </si>
  <si>
    <t>mel-80350</t>
  </si>
  <si>
    <t>Assurée chez eux pour un deux roues. Tant que vous n'avez pas de problème, tout va bien. Sinon c'est n'importe quoi. Je me suis faite voler la batterie de mon scooter et ils m'annoncent que la franchise est de 450 euros. Pour une batterie à 50 euros. Je demande des explications et on me fait clairement comprendre que c'est soit je paye cette franchise soit je me débrouille seule. Un scandale!</t>
  </si>
  <si>
    <t>23/10/2019</t>
  </si>
  <si>
    <t>lacheray-l-108693</t>
  </si>
  <si>
    <t>J'ai été très satisfait par la qualité du service et de la prise en charge de ma demande, je recommande l'olivier assurance, c'est un très bon choix .</t>
  </si>
  <si>
    <t>31/03/2021</t>
  </si>
  <si>
    <t>guillermo-62143</t>
  </si>
  <si>
    <t xml:space="preserve">Mutuelle à éviter à tout prix, pour le même tarif vous trouverez surement chaussure à votre pied avec n'importe quelle autre compagnie.
Je suis assurer avec mon entreprise est je pense échanger avec ma direction pour négocier le contrat avec une autre compagnie..
après plusieurs contact téléphonique ou tout et bien dans le meilleur des mondes. A ce jour aucun résultat à ma demande; En Aout 2017 dernier j'ai du avancer le montant des mes verres correctifs alors que le tiers payant était en place ' heureusement que mon opticien se renseigne si non il aurait du supporter les frais. A ce jour Mars 2018 tout de même, et après plusieurs appels téléphoniques et envoi de mails toujours pas de remboursement.
Je pense mettre ce dossier entre les mains de mon avocat, mais cela va bien sur m'engendrer des frais " mais bon".
Quelqu'un aurait il une solution, ou alors est ce que d'autres personnes sont dans mon cas, car tant qu'a avancer des frais je suis prêt à créer un collectif, cela m'horripile de voir des compagnies comme celle ci s'amuser avec l'argent des assurés
</t>
  </si>
  <si>
    <t>08/03/2018</t>
  </si>
  <si>
    <t>fab-103016</t>
  </si>
  <si>
    <t xml:space="preserve">Assurance très bien pas de problème , il mon rembourses un mois d'assurance sans avoir fait une demande ,si j'avais un mois dur il voulait bien décaler tout en restant raisonnable. je conseil et je vais refaire des contacts chez eux et même les conseillers a ma familles.
 </t>
  </si>
  <si>
    <t>celine-51698</t>
  </si>
  <si>
    <t>Suite à un sinistre (vol de ma voiture) j'apprends (après plusieurs relances mails demeurées sans réponse j'ai fini par appeler ...) qu'il manquerait des documents à la souscription !! J'ai pourtant bien reçu ma carte verte définitive .... C'est tout bonnement scandaleux</t>
  </si>
  <si>
    <t>26/01/2017</t>
  </si>
  <si>
    <t>philippe-86023</t>
  </si>
  <si>
    <t xml:space="preserve">Assuré Axa depuis plus de 20ans, plusieurs véhicules en simultanés (4 aux total) Habitation, assurance accident de la vie. Zéro sinistre depuis toujours! Je pensais être un bon client jusqu'au moment ou ma fille a obtenue son permis. 
Pour l'assurer ils veulent obligatoirement que je l'assure en conducteur principal. Elle fait des études et part en train pour toute la semaine. Mon tord a étais de dire qu'avec les grèves du moment elle pourrait prendre le véhicule!( J'ai un véhicule de collection qui roule très peut! un autre sans contrôle technique valide qui donc ne roule pas il reste 2 voitures une pour moi et madame!!!)
Après un mois de discutions allant jusqu'à demandé une rupture à l'amiable pour mon dernier bien assuré petite Clio mieux adapté pour un jeune conducteur refus catégorique!
Résultats 6 contrats perdu pour Axa au lieu d'un. La concurrence m'a bien accueilli!!!    
 </t>
  </si>
  <si>
    <t>17/01/2020</t>
  </si>
  <si>
    <t>guillaume-f-99059</t>
  </si>
  <si>
    <t>Je partage mon mécontentement. Mon mari est assuré chez la matmut depuis plus de 20 ans avec le même contrat auto qui comprend la garantie collision. J ai voulu ajouter l option prêt d un véhicule en cas d accident et un geste commercial sur la tarification au mois de juin dernier. La personne au bout du fil m assure que j aurais les mêmes garanties avec l option prêt de véhicule en plus. Je dois signer en signature électronique tout en restant au téléphone avec le commercial pour finaliser le contrat. Ayant toute confiance et pensant avoir été comprise sur la formule souhaitée et ne voulant pas abuser du temps du commercial je signe les yeux fermés. 5 mois plus tard mon mari fait un petit accident qui demande des repartions du véhicule, il ramène donc le constat en agence et à ce moment on lui signal que de toute façon au vu des garanties de son contrat aucune réparation ne sera pris en charge. Nous sommes sidérés ! Nous sommes pénalisés et nous nous retrouvons dans une situation extrêmement difficile. N ayant qu une voiture à disposition, un nouveau né et moi même au chômage, nous nous retrouvons aujourd'hui démunis. Mon mari est obligé d aller à son travail à pieds avec un trajet d une heure et l hiver arrive... J ai essayé d avoir une personne qui puisse prendre en charge notre problème mais impossible d avoir qui que ce soit. Nous devons faire une réclamation via le site internet ce que j ai fait mais à savoir quand nous aurons une réponse. Nous sommes vraiment mal car les finances ne nous permettent pas de prendre en charge les reparations. J espère vraiment qu ils feront un geste, nous sommes tellement déçus.</t>
  </si>
  <si>
    <t>22/10/2020</t>
  </si>
  <si>
    <t>laurent-d-128751</t>
  </si>
  <si>
    <t>Prix raisonnables pour une protection indispensable pour un motard ! Merci AMV d'être là pour nous ! Tout en espérant que vos tarifs resteront à des prix raisonnables encore longtemps ????</t>
  </si>
  <si>
    <t>paulette-l-116166</t>
  </si>
  <si>
    <t>Beaucoup trop cher pour un véhicule agé de 12 ans sans aucun accident responsable durant toute la même période et dont la valeur est quasi inferieure au montant de cotisation annuelle. Inutile de vous dire que si je change de véhicule , j'irais ailleurs.</t>
  </si>
  <si>
    <t>galliance-62031</t>
  </si>
  <si>
    <t>Je suis très satisfait de cette assurance pour mes chats, j'ai eu récemment un gros pépin avec l'un deux et tous les frais ont été pris en charge à la hauteur de mon contrat (70%) sans aucune difficulté: j'ai envoyé toutes les feuilles de soins et les factures, et les remboursements se sont fait dans les 48h. Je recommande!</t>
  </si>
  <si>
    <t>06/03/2018</t>
  </si>
  <si>
    <t>seremes-e-110052</t>
  </si>
  <si>
    <t xml:space="preserve">Je suis satisfaite ,de mon nouveau contrat auto.même les renseignements par téléphone son bien prise en charges comme je peu le demander .très contente </t>
  </si>
  <si>
    <t>patrick-m-104339</t>
  </si>
  <si>
    <t>Le vendeur de zen-up qui est très sympathique me dit depuis des mois que tout va s'arranger, mais je suis prélevé doublement chaque mois depuis 9 mois à ce jour. Quand je les contacte, ils me demandent mon tableau d'amortissement définitif une fois de plus ... et je suis à nouveau prélevé par l'assurance de ma banque et par la bien nommée "Multi-Impact".</t>
  </si>
  <si>
    <t>06/11/2021</t>
  </si>
  <si>
    <t>eric-b-110604</t>
  </si>
  <si>
    <t xml:space="preserve">très satisfait de mon assurance
pris
et qualité de service et prise en charge du sinistre .de A a Z  des très bon professionnel rapide efficace courtois  bravo
</t>
  </si>
  <si>
    <t>df-60-45488</t>
  </si>
  <si>
    <t>J'ai été victime d'un accrochage avec délit de fuite. J'ai porter plainte à la gendarmerie. J'ai été reconnu non responsable par AXA avec le constat + plainte envoyé. La personne à été identifier avec la plaque d'immatriculation (que j'ai eu le temps de relever) et cette personne est assuré (confirmer par AXA)
Malgré la personne identifier, AXA me demande de payer ma franchise qui est de 270€ mais que je ne suis pas en mesure de payer. Aucun arrangement d'AXA possible...
Bref je me retrouve avec un véhicule récent assurer tout risque que l'on m'abime et je dois encore payé 270€...
Si j'ai la chance d'une personne qui s'occupe d'AXA passe par la pour me venir en aide. Voici mon numéro sinistre : 2495853873</t>
  </si>
  <si>
    <t>alain-85479</t>
  </si>
  <si>
    <t xml:space="preserve">Je suis à la MACIF depuis 30 ans avec 50% de bonus (pas d'accident depuis au moins 20 ans) en tant que particulier et en tant que collaborateur chez un constructeur automobile. Je revends donc mes véhicules tous les 6 mois (voire moins). J'avais donc une très grande confiance envers la MACIF car rien à signaler de particulier depuis 30 ans.
Or récemment lors d'un renouvellement d'un contrat, la MACIF m'a annoncé qu'elle n'assurerait plus mes véhicules au motif que je faisais de l'achat/revente.
Depuis 30 ans, je cherche seulement à rouler en voiture neuve (pas de frais de réparation) et mon bilan financier est plus que négatif.
Merci donc à la MACIF d'envoyer balader un ancien et fidèle client de 30 ans sans parler des 3 autres contrats automobiles (ma femme et mes 2 enfants) et de mon contrat habitation.
Je n'ai toujours pas compris la stratégie et la politique de la MACIF envers moi. 
</t>
  </si>
  <si>
    <t>03/01/2020</t>
  </si>
  <si>
    <t>nicolas-68925</t>
  </si>
  <si>
    <t xml:space="preserve">La Matmut n'a aucune confiance dans ces clients malgré que je soit client depuis + de 30 ans. Mon épouse a eu un accident, 3 témoins ont attestés que l'autre conducteur est passé au feu rouge, qu'il s'est enfui, après avoir perdu sa plaque d'immatriculation, que nous ayons porté plainte pour non assistance à personne en danger et délit de fuite. bientôt 4 mois après, ma femme est responsable de l'accident. a quoi cela sert il d'avoir des témoins ? le délit de fuite ? une aberration, c'est lamentable. </t>
  </si>
  <si>
    <t>26/11/2018</t>
  </si>
  <si>
    <t>sophie-75812</t>
  </si>
  <si>
    <t xml:space="preserve">Apres résiliation du contrat habitation tjrs dans l attente de mon remboursement et ce depuis plus de 2 mois attendons... encore  !! après contact ce jour une fois de plus ce matin, je ne compte plus mes appels, le conseiller ne sait pas quoi me repondre... </t>
  </si>
  <si>
    <t>11/05/2019</t>
  </si>
  <si>
    <t>michel-52914</t>
  </si>
  <si>
    <t>Service client incapable de traiter mon dossier en temps et en heure. 3 mois pour traiter une demande. A fuir absolument. Si j'avais lu les avis avant, je ne serai pas venu chez eux.</t>
  </si>
  <si>
    <t>02/03/2017</t>
  </si>
  <si>
    <t>29780-69458</t>
  </si>
  <si>
    <t>une mutuelle non respectueux envers ses clients en effet cette mutuelle ne respecte pas les conditions du contrat nous avons droit à un tiers payant et malheureusement il ne paye pas les médecins donc nous sommes obligé de faire les avance et là sa fait actuellement près d'un mois que j'attends se remboursement et malheureusement néant quand on les appelle on a l'impression qu'on dit dérange je voulais déconseille fortement.</t>
  </si>
  <si>
    <t>17/12/2018</t>
  </si>
  <si>
    <t>01/12/2018</t>
  </si>
  <si>
    <t>amandine-p-100905</t>
  </si>
  <si>
    <t xml:space="preserve">C'est la croix et la bannière pour résilier chez eux.
J'ai voulu résilier mon contrat j'ai donc envoyé une lettre de résiliation et j'étais pas au courant mais ça resilie pas tous le contrat, car il y a des petites lignes dans le contrat qu'on ne voit pas forcément.
J'ai mal été conseillé pour cette résiliation, j'ai eu affaire à des incapable au téléphone et je dois payer plusieurs fois car je dois renvoyer une lettre recommandée (10€) ça commence à faire tous ça pour un papier de résiliation. 
Ah oui et ils sont pas pressé pour la résiliation, ils prennent bien leur temps...
Bref lamentable et question contrat santé j'ai vu beaucoup mieux. Franchement je déconseille cette mutuelle. </t>
  </si>
  <si>
    <t>03/12/2020</t>
  </si>
  <si>
    <t>jerome-b-110138</t>
  </si>
  <si>
    <t>Vous êtes trop cheres !!!
LE tarif d'appel est alléchant et après c'est la mauvaise surprise
Renégociiez mes 3 contrats auto ou je pars chez un concurrent... merci</t>
  </si>
  <si>
    <t>stefie78-56738</t>
  </si>
  <si>
    <t>4 mois que je souhaite liquider ma retraite et toujours rien.Accueil téléphonique déplorable voir désagréable, compétence des interlocuteurs douteuse. Très déçu par cette compagnie d,assurances</t>
  </si>
  <si>
    <t>04/10/2017</t>
  </si>
  <si>
    <t>nicolas-a-109623</t>
  </si>
  <si>
    <t>Je ne suis pas satisfait, mon prix d'assurance a augmenté, malgré mon augmentation de bonus + diminution des accidents ainsi que diminution de leur cout pour l'année 2020. Malgré une discutions avec un conseillé qui m'expliquait que le nombre d'accident avait augmenté alors que les chiffres prouvent le contraire, je lui ai aussi fait remarqué la différence de prix pour les nouveaux venus par rapport à celui que je dois payer, j'ai été gentiment rembarré. Vu que je n'ai eu aucune proposition commerciale, je vais chercher une assurance qui pourra me faire une offre intéressante pour 2 voiture 2 moto et une assurance maison.</t>
  </si>
  <si>
    <t>caramel-62242</t>
  </si>
  <si>
    <t>Je n'ai rien demandé, un contrat a été souscrit et neoliane m'a prélevé 45 € alors que je n'ai rien donné sur mes coordonnées personnelles ainsi que bancaires. J'ai fait opposition sur les prélèvements. Je les contacte mais ils disent de faire un mail en mentant sur les dates et de dire que j'avais souscrit ect.. je vais contacter ufc et porter plainte auprès de la répression des fraudes</t>
  </si>
  <si>
    <t>12/03/2018</t>
  </si>
  <si>
    <t>buch-m-138817</t>
  </si>
  <si>
    <t>Je suis ravie d'avoir été parrainée et de faire partie des assurée de l'olivier je recommanderais cette assurance à tout mes proches! Merci pour votre rapidité et votre sérieux</t>
  </si>
  <si>
    <t>pops-79961</t>
  </si>
  <si>
    <t xml:space="preserve">Bonjour chers sociétaires 
Cliente à la MAAF depuis 15ans sans aucuns sinistres à déclarer jusqu'à un accident il y a 1 an non grave dans un rond-point ou l'autre conducteur n'étant pas attentif à la route me rentre dedans alors que nous allions tout les deux dans le même sens de circulation constat fait et résultat MAAF 100% responsable et malus car selon une certaine législation il faut dépasser un barème d'année sans sinistres pour atteindre le bonus à vie WTF 
quand je demande pourquoi mes cotisations ne sont jamais en baisse et bien pas de réponses
 quand je demande un médiateur car pas d'accord avec leur décision du responsable à 100% malgré l'avis de l'expert en ma faveur, la réponse de cette assurance c'est de me dire que je n'ai pas droit au médiateur ??? 
Vous êtes à vomir 
Au fait si on trouve une assurance moins cher et pour les memes options puis-je demander à me faire rembourser mes cotisations de l'année en cours ? 
Voilà cordialement et aller ... vous ... la MAAF </t>
  </si>
  <si>
    <t>12/10/2019</t>
  </si>
  <si>
    <t>verdurin-88846</t>
  </si>
  <si>
    <t>d'abord il faut lire les avis qui figurent sur afer dans ce forum. cela signifie un gros problème vis à vis de petits épargnants qui contraste avec les affichages. non respect des transmissions des documents dans les délais, non liquidation des contrats sur les délais légaux, non application de la loi sur les intérêts qui courent au delà des délais non respectés, rétention d'information, opacité du système entre les niveaux de communication, etc, ...il n'y  pas cinquante solutions , il faut que les mécontents fassent du bruit par voie de presse et unissent leurs efforts pour renverser les défenses du service  juridique de l'assurance. mon tel 0608024348</t>
  </si>
  <si>
    <t>13/04/2020</t>
  </si>
  <si>
    <t>mimi-58550</t>
  </si>
  <si>
    <t>bonjour à tous  j'ai eu un mélanome stade 4 qui m"a laissé de lourdes séquelles je suis en invalidité à 100 pour cent dans ma catégorie professionnelle et eux m'ont fait expertiser le médecin expert m'a demandé êtes vous capable de gagner des sous? je suis sorti en me disant que il ne me l'accorderez pas en effet -33 pour cent .J'ai téléphoner à mon assurance habitation pour des renseignement juridique et elle m'a fait comprendre que ce problème est monnaie courante.Il est souvent noté en petit que le médecin de l'assurance met le taux qu'il veut alors on a perdu d'avance! J’attends le rapport d'expertise pour voir  si je peux attaquer.</t>
  </si>
  <si>
    <t>05/11/2017</t>
  </si>
  <si>
    <t>catmanflo-77735</t>
  </si>
  <si>
    <t>Très satisfaite des explications et l'amabilité de la conseillère ERIKA. j'ai été guidé par téléphone pour aller sur le site internet et a été d'une grande patience</t>
  </si>
  <si>
    <t>18/07/2019</t>
  </si>
  <si>
    <t>philippe-b-115179</t>
  </si>
  <si>
    <t>je suis satisfais du service de direct assurance, c'est simple rapide  et efficace
je recommande cette assurance sans problème. Merci Direct Assurance</t>
  </si>
  <si>
    <t>mb-101643</t>
  </si>
  <si>
    <t xml:space="preserve">Grand merci pour le professionnalisme et la réactivité de la conseillère de Bordeaux. 
Un réel plaisir d'avoir des personnes compétentes au téléphone. 
Encore grand merci. Surtout prenez soin de vous. La santé avant tout.   
Bien sincèrement, 
Malik BOULEFRAKH </t>
  </si>
  <si>
    <t>18/12/2020</t>
  </si>
  <si>
    <t>f-139080</t>
  </si>
  <si>
    <t>Assurance très médiocre , réactivités à sinistre très longue, cherche toutes les astuces pour ne pas payé. Très très déçu. 
Commercial efficace mais très mauvais suivi des sinistres.</t>
  </si>
  <si>
    <t>remidirect-2898</t>
  </si>
  <si>
    <t>Je suis satisfait du service, de la proposition qui m'a été faite, ainsi qsue de la facilité avec laquelle le changement de contrat a pu se faire, merci</t>
  </si>
  <si>
    <t>armande-pauline-b-109359</t>
  </si>
  <si>
    <t>Les conseillers m'ont bien expliqué, ils sont patients, je suis satisfaite du service.
Mais moins satisfaite du tarif différentiel suivant les départements !</t>
  </si>
  <si>
    <t>arsen-64392</t>
  </si>
  <si>
    <t xml:space="preserve">Je pense que cest assurence est excellente, vraiment satisfait , toujours joignable </t>
  </si>
  <si>
    <t>gargamel-139585</t>
  </si>
  <si>
    <t>Excellente expérience: Crevaison sur autoroute un dimanche. Appel MAAF, prise en charge rapide, camion de dépannage arrive dans la foulée et nous transporte à la ville la plus proche. Pas de garage ouvert un dimanche, MAAF nous paie donc un hôtel pour la nuit. Le lendemain on choisi un autre garage pour la réparation, MAAF transporte bien notre véhicule vers le nouveau garage, pneus remplacées, bonne rentrée, fin de l'histoire. Traitement très courtois, diligent, et proactif par les conseillers MAAF. Une belle surprise, malgré avoir parlé avec plusieurs conseillers, ils étaient tous au courant de notre situation, signe d'un système d'information bien efficace.</t>
  </si>
  <si>
    <t>14/11/2021</t>
  </si>
  <si>
    <t>dalco-50529</t>
  </si>
  <si>
    <t>Très en rage , ça fait  1 an et demi que j'attends une réponse de leur part pour les remboursements auxquels j'ai droit.J'ai envoyé 3 lettre de recommandation C'est  inadmissible.</t>
  </si>
  <si>
    <t>21/12/2016</t>
  </si>
  <si>
    <t>rima-l-129811</t>
  </si>
  <si>
    <t xml:space="preserve">Rapide. Serieux attente de reponse et formulaire ecrit. Solicite bonus du fait de mon passe de conductrice a 50% durant 7 de 2004 a 2012 salutations
Je ne peux rien dire dans l attente de confirmations ecrite </t>
  </si>
  <si>
    <t>chagall-71862</t>
  </si>
  <si>
    <t xml:space="preserve">Complètement insatisfaite </t>
  </si>
  <si>
    <t>didou-95464</t>
  </si>
  <si>
    <t xml:space="preserve">April Moto possède des tarifs assez compétitifs face à ses concurrents, mais c'est le seul point positif... Voici maintenant 2 mois que j'attend l'envoi de ma carte verte, des documents sois disant traité dans les 10 jours mais toujours pas de nouvelles 1 mois après, chaque appel, un conseiller me dit qu'il me manque un autre papier alors que tout à été envoyé... Le service client est catastrophique, les personnes ne savent pas dire autre chose que "J'envoi votre dossier au service compétent". Ils ne sont l'a que pour rassurer. Cela fait 1 semaine que j'attend une réponse classé "urgente"  d'April Moto. Ma deuxième carte verte provisoire viens d'expirer, je ne peux donc plus conduire, je dois attendre ma carte verte définitive qui n'est pas prête d'arriver. Mon emploi risque de me glisser sous le nez, je n'ai plus aucun moyen de locomotion, mais je paye toujours chaque mois... A fuir </t>
  </si>
  <si>
    <t>28/07/2020</t>
  </si>
  <si>
    <t>fifi14-81557</t>
  </si>
  <si>
    <t>J'ai subit le décès de ma mére Madame FROGER Thérèse le 30 Mai 2013, j'ai été indemnisé rapidement je ne comprends pas apparemment le sogecap marche bien. Merci à tout les conseillés et je précise sont restés discret suite à des problèmes familiaux</t>
  </si>
  <si>
    <t>jbr-86815</t>
  </si>
  <si>
    <t>aucune réponse du service succession cela dure depuis 3 mois . Les conseillers Afer , eux mêmes sont désemparés . AFER et AVIVA sont aux abonnés absents.....Ou est notre épargne ...</t>
  </si>
  <si>
    <t>caill-a-129650</t>
  </si>
  <si>
    <t xml:space="preserve">L’échange téléphonique et la mise en place du contrat parfait en espérant que nos futurs échanges se dérouleront de la même façon je conseillerais l’Olivier Assurance?? </t>
  </si>
  <si>
    <t>yadallee-m-123034</t>
  </si>
  <si>
    <t>J'ai été très bien pris en charge lorsqu'il y a eu un malentendu entre mon contrat et celui de mon époux. La personne était très compétente. Merci BW.</t>
  </si>
  <si>
    <t>benchehida-n-108941</t>
  </si>
  <si>
    <t xml:space="preserve">Simple et efficace 
Pratique et rapide 
Niveau prix sympathique et si on peux enlever le prix de la prise en charge du dossier voila
Merci 
Cordialement </t>
  </si>
  <si>
    <t>telimh-60460</t>
  </si>
  <si>
    <t>Très très grosse déception sur la politique tarifaire de la MAAF, suis au Max de bonus depuis des années, aucun accident responsable depuis plus de 20 ans, et tous les ans augmentation de 6% de mon tarif , obligé  d’aller négocier une baisse de tarif ( ai obtenu 5% cette fois-ci) je suis  un peu fatigué de cette politique , je ris (jaune) quand je vois les pubs à la télé , les bons conducteurs voient  leur tarif baisser??? Il paraît tellement évident de faire mauvais conducteurs....Après cette sans doute dernière négociation à la baisse , je vais quitter cette assurance...</t>
  </si>
  <si>
    <t>13/01/2018</t>
  </si>
  <si>
    <t>polo-138279</t>
  </si>
  <si>
    <t>Début de mon inscription 35 € et tous les années il augmente 3 ans après me demandes 59 € de cotisation alors que j'ai du bonus et jamais eu d'accident ou délit. à fuir croyez-moi</t>
  </si>
  <si>
    <t>26/10/2021</t>
  </si>
  <si>
    <t>rayroud-b-131645</t>
  </si>
  <si>
    <t xml:space="preserve">Très satisfait des services et du prix bon contact avec votre conseiller qui a été très clair et précis dans les explications je recommanderais votre assurance </t>
  </si>
  <si>
    <t>viot-f-139165</t>
  </si>
  <si>
    <t>Bonne prise en charge de ma demande de tarif. Le prix est concurrentiel avec une personne a l'écoute et prise en compte rapide. carte verte provisoire reçu rapidement</t>
  </si>
  <si>
    <t>philippe-b-121270</t>
  </si>
  <si>
    <t>Le service et les prix sont corrects.
L'attente au téléphone pour obtenir un service peut s'avérer longue.
Dommage que l'on ne puisse avoir des offres de contrats groupés pour obtenir des prix plus interressants.</t>
  </si>
  <si>
    <t>26/06/2021</t>
  </si>
  <si>
    <t>apo76-40244</t>
  </si>
  <si>
    <t>Contrat du 01/01/2021:un problème de connexion à l'espace assuré, et un avec viamedis,(refuse de prise encharge).problème réglé  rapidement part l'interlocuteur aimable.</t>
  </si>
  <si>
    <t>jean-michel-s-135128</t>
  </si>
  <si>
    <t>Franchement, le service s'est amélioré au fil des ans. Meilleurs rapport qualité/prix trouvé après moulte recherches sur des comparateurs en ligne différents. Je suis agréablement surpris de la clarté du site et des questions demandées pour valider le devis.</t>
  </si>
  <si>
    <t>pascal-137940</t>
  </si>
  <si>
    <t xml:space="preserve">Assurance très attractive sur le tarif de base . En revanche, pas assez haute en matière d'indemnité en cas de lésions corporel; peut mieux faire... .
Le gros problème se situe sur la communication et l'accés aux renseignements par téléphone ou par Mail; fastidieux et pénible de devoir décliner trop souvent l'identité et mot de passe pour avancer dans ses recherches de renseignements.
Très bonne assurance mais les mots de passe à répétition dans un seul appel téléphonique ont eu raison de ma patience. 
Il faut revoir le mode d'accés aux clients sur leur espace ou pour aller glaner de simples petites informations..
Il faut revoir à la hausse les primes en cas de lésions qui selon moi, sont trop basses.
Sinon; je conseille cette bonne assurance qui sait répondre rapidement et avec profssionnalisme à toutes vos questions et qui couvre quand même pas mal comme la loi l'exige. Mieux vaut dépenser 15€ par mois en tarif d'appel pour un 125cc que de rouler sans assurance, au risque de le payer toute sa vie ou de se trouver face à un juge en cas d'accident corporel...
SOYEZ PRUDENT. ROULER PRPRE ET RESPECTUEUX DES AUTRES.
BONNE ROUTE À TOUS
</t>
  </si>
  <si>
    <t>21/10/2021</t>
  </si>
  <si>
    <t>rom35--138632</t>
  </si>
  <si>
    <t>Société Allianz a fuire ! Je vous la déconseiller fortement et sincèrement car moi déjà sa fait 6 ans un peut prêt que je suit chez euh et pour être sincère il son vraiment mauvais sur beaucoup de point que sa soit aux niveaux des tarifs trop chères pour se que sais, aucunes compréhension pour la clientèle, aux moindre soucis il se renvoyer la balle, les remboursements bien trop long, aucuns respect pour leurs clientèles, et des qu'il s'agit de remboursement d'un client il vous trouve la moindre excuse pour prétexté un rabais important sur ce qui vous doivent réellement ! 
Si je devais noté cette société sur 1000 je lui donnerait une notes et encore uniquement par se que la seul personnes compréhensible chez euh c'est ma conseillère mes malheuresement elle ne peut pas faire grand-chose vue que le problème vient de beaucoup plus haut aux niveaux hiérarchique je leurs donnerai la note de 10/1000 je vous souhaite bon courage pour les futur clients .
Et je précise que c'est bien par regret et obligation que je leur offre à contrecœur une étoile.</t>
  </si>
  <si>
    <t>15/11/2021</t>
  </si>
  <si>
    <t>martial-h-125710</t>
  </si>
  <si>
    <t xml:space="preserve">En tous risque je trouve le prix élevé compte tenu de mes année sans accidents en deux roue. Les équipements du motard de bonne qualité sont chères, celui qui s'en équipe devrais avoir un abaissement de prime, type blouson cuir, bottes, mi- bottes, airbag, pantalon cuir ou jeans a protection types EPI,etc...  </t>
  </si>
  <si>
    <t>johan62380-35319</t>
  </si>
  <si>
    <t>satisfaisant niveau prix et la facilité de gérer soi-même les modifications éventuelles à apporter.
En cas de problème je ne sais pas si Direct Assurance sera opérationnel ?</t>
  </si>
  <si>
    <t>07/04/2021</t>
  </si>
  <si>
    <t>natdec-98283</t>
  </si>
  <si>
    <t>Prix d'appel très attractif, mais le tarif flambe des la 2ème année. 
Pour ce qui est du service, je ne peux me prononcer car je n'ai jamais eu besoin de les contacter.</t>
  </si>
  <si>
    <t>02/10/2020</t>
  </si>
  <si>
    <t>dm-74797</t>
  </si>
  <si>
    <t>TRES MECONTENTE DE LA MACIF ,ON A EU UN PROBLEME AVEC UN TIER, ET ASSISTANCE JURIDIQUE SOUSCRITE DANS NOTRE CONTRAT, IL ON  CLASSE L AFFAIRE SANS SUITE  AVEC DES EXCUSES BIDON (MOINS DE TRAVAIL POUR EUXET MOINS D ARGENT A DEBOURSER ) 2 MOIS AVANT ECHEANCE DU CONTRAT, J ENVOIE UNE LETTRE RAR, 2MOIS ET 4 JOURS PLUS TARDIL  REPONDE PAS POSSIBLE DE RESILIER LA RAR A UN VICE DE FORME, TRES EN COLERE, JE VAIS CONSULTE 50 MILLION DE CONSOMMATEUR ET L AVOCAT DE UNPI OU J ADHERE</t>
  </si>
  <si>
    <t>05/04/2019</t>
  </si>
  <si>
    <t>christ-pen-81970</t>
  </si>
  <si>
    <t xml:space="preserve">Assuré tout risque j'ai déclaré un accrochage provoqué par un camion de chantier parti en délit de fuite. 2 témoins m'ont décrit la scène lorsque je suis revenu à ma voiture. Malheureusement ils n'ont pas pu relever la plaque du camion trop boueuse et moi sous le choc et avec des trombes d'eau qui tombaient je n'ai pas pensé à leur demander leurs coordonnées. L'expert contredit ma déclaration disant que j'ai reculé sur un poteau.
Vu que je suis assuré tout risque je ne vois pas pourquoi j'aurais menti et perdu une matinée pour aller porter plainte à la police. 
Au téléphone l'expert m'a dit qu'il  'pouvait se tromper mais qu'il ne reviendrait pas sur sa décision, question de crédibilité' !  J'ai donc reçu une lettre de la Maaf refusant de payer pour fausse déclaration
SVP la Maaf radiez-moi si vous ne voulez pas payer mais ne me traitez pas de menteur, c'est lamentable.   J'ai 72 ans 52 ans de permis, c'est ma première déclaration de sinistre tout risque.
De plus en faisant faire un devis pour les réparations je m'aperçois que le garage agréé Maaf surfacture sans vergogne. </t>
  </si>
  <si>
    <t>16/12/2019</t>
  </si>
  <si>
    <t>robert-88146</t>
  </si>
  <si>
    <t>LE 6/01/2020 J'AI FAIT UNE DEMANDE DE RACHAT TOTAL DE MON COMPTE AFER. DEPUIS MALGRES LES RECOMMANDES ADRESSES JE N'AI PAS RECUPERE MES FONDS</t>
  </si>
  <si>
    <t>09/03/2020</t>
  </si>
  <si>
    <t>jeanne-56307</t>
  </si>
  <si>
    <t>AU SECOURS ... ASSURANCE A EVITER</t>
  </si>
  <si>
    <t>26/07/2017</t>
  </si>
  <si>
    <t>matthieu-l-134746</t>
  </si>
  <si>
    <t>Je suis satisfait des prix proposés par rapports aux garanties associées, pour un contrat équivalent je payais trois fois plus cher chez mon assureur precedent.</t>
  </si>
  <si>
    <t>27/09/2021</t>
  </si>
  <si>
    <t>pepita095-53412</t>
  </si>
  <si>
    <t>Assureur à fuir absolument!
Si vous souhaitez racheter vos contrats, les démarches traînent en longueur; et même quand vous avez produit les justificatifs demandés, cela dure des semaines entières. Tout est fait pour décourager le client: attente longue au téléphone, pas de réponse aux courriers recommandés et aux emails, demandes répétées des mêmes documents, et quand vous les avez fournis, on vous demande les originaux! 
C'est mon expérience, et croyez-moi un vrai marathon.</t>
  </si>
  <si>
    <t>20/03/2017</t>
  </si>
  <si>
    <t>mimi-59562</t>
  </si>
  <si>
    <t>sa fait 6 mois adhérent et je n'est pas encore reçu ma carte de mutuelle . le service client est vraiment nulle pas de respect envers les client je recommande vraiment pas cette mutuelle .</t>
  </si>
  <si>
    <t>11/12/2017</t>
  </si>
  <si>
    <t>lili34-75304</t>
  </si>
  <si>
    <t>les explications ont été très claires. 
les différentes options offertes. que néoliniane s'occupe de la résiliation de mon ancien contrat.</t>
  </si>
  <si>
    <t>kretz-s-112824</t>
  </si>
  <si>
    <t>Je suis satisfait pour les tarifs et la bonne écoute. Je vous ai recommandé à mon entourage pour votre sérieux et vos tarifs. Déjà une personne va souscrire chez vous.</t>
  </si>
  <si>
    <t>lazouza-85585</t>
  </si>
  <si>
    <t>ayant étudié au peigne fin de le détail des contrats proposés par L'olivier, je suis assez sidérée. Moins chère, cette assurance ?? C'est sur que les prix ont l'air alléchants, mais quand le vol des roues est exclue de la garantie vol (!), de même que les objets à l'intérieur du véhicule (!!) et que la protection de votre véhicule s'inclut dans une extension de garantie qui fait largement augmenter la cotisation (!!!)... avec le respect que je dois aux gens qui travaillent dans cette entreprise ainsi qu'à l'aimable commercial qui m'a renseignée, les propositions de cette entreprise s'apparente nettement à un enfumage en bonne et due forme. Là, vous arrivez au même prix que les assureurs traditionnels et pour des garanties bien moindres encore ! Tout cela sans compter le tarif astronomique des franchises. En bref, clairement une entreprise qui joue sur l'ignorance des gens en terme de droit et d'assurance en se positionnant sur le marché des petites bourses ; croyez-moi pour un premier véhicule, avec des garanties bien plus efficaces et pour huit euros de plus par mois mon véhicule est VRAIMENT assuré. Aussi concernant les expertises, même en tout risque non responsable cela peut prendre du temps... quand on se revendique bon marché, il est logique d'établir  une connexion avec les cabinets du même acabit... fuyez et rabattez vous sur les traditionnels, déjà bien implanté dans le paysage assurantiel, en collaboration avec des partenaires fiables. Pognon à tout prix et c'est normal au fond de la part d'un groupe anglo-saxon, en aucun cas la culture du service assurantiel à la française n'est représenté ici...</t>
  </si>
  <si>
    <t>damien--b-133168</t>
  </si>
  <si>
    <t xml:space="preserve">Souscription facile et excellents tarifs. J’ai déjà utilisé les services de cet assureur et j’ai été très satisfait de la prestation. Je ne peux que le recommander </t>
  </si>
  <si>
    <t>amel-127477</t>
  </si>
  <si>
    <t xml:space="preserve">Une catastrophe cette assurance je suis choqué 
Je me suis fait volé et calciné mon véhicule le 25mai 2021 expert à chiffré depuis le 13juillet cédé le véhicule à lassurance depuis le 15juillet et depuis pas d'indemisation quand j'appelle cest toujours un nouveau truc 
Maintenant cest leur expert conseil qui doit validé est ce depuis le 30juillet 2021.
J'en peux plus de tout ça et notre gestionnaire mr Arthur que je n'ai jamais eu au tel n'ai même pas capable de nous appeler pour nous expliquer ce qui fait que ça soient si long 
Dégoûté d'avoir soustrie chez eux 
Fuyez temp qu'il es temp 
Parce que si par malheureux vous avez un Pépin avec votre véhicule es ben bon courage </t>
  </si>
  <si>
    <t>scenic-61105</t>
  </si>
  <si>
    <t xml:space="preserve">Bon accueil en agence et a l'écoute du client. Suite a une tempête en 2017, un expert est passé voir les dégâts de ma murette et en partant m'a remis un cheque du montant de la réparation. Expert très sympathique 
Agence de LIBOURNE 33500 </t>
  </si>
  <si>
    <t>03/02/2018</t>
  </si>
  <si>
    <t>cp-104615</t>
  </si>
  <si>
    <t>Réponses tardives ( 3 semaines minimum) et parfois à des questions qu'on n'a pas posées, (ex loi sur le fonctionnements des copropriétés !) Rares infos pertinentes sur le dossier. Dégât des eaux de 2017, la MAIF croit les allégations du syndic, même si je prouve ses mensonges et défaillances.
Les conseillers MAIF, incompétents sur les dossiers difficiles, ont un pouvoir de décision : 2 écrits affirmant qu'il n'y a pas de faute du syndic. Or, infiltrations par parties communes depuis 3, 5 ans bientôt alors qu'un syndic a pour mission la conservation de l'immeuble, nouveaux dégâts (fissure), + refus du syndic de déclarer le sinistre à l'assurance de l'immeuble. Relation client inefficace, parfois désagréable : la MAIF ne voit pas le problème sur un dégât des eaux qui dure depuis si longtemps et s'aggrave.
Pas d'explication ( bien que l'assuré soit sociétaire) sur un tel  fonctionnement</t>
  </si>
  <si>
    <t>veronique-l-124217</t>
  </si>
  <si>
    <t>NUL NUL !! depuis un mois en sinistre - aucune prise en charge ! envoyée vers un garage non homologué puis... oublié ! décue très très décue...il ne faut avoir aucun sinistre avec eux !!</t>
  </si>
  <si>
    <t>nathm013-54720</t>
  </si>
  <si>
    <t xml:space="preserve">Je suis à la MGEN depuis 2013 et c'est une catastrophe. Pas assez que cette Mutuelle est chère, mais en plus il faut faire l'avance du forfait journalier et ils mettent des mois à vous rembourser. Je passe mon temps à les appeler pour mes remboursemts. </t>
  </si>
  <si>
    <t>16/05/2017</t>
  </si>
  <si>
    <t>angelique-r-132989</t>
  </si>
  <si>
    <t>je suis satisfaite du service client le tarif est très bien bonne rapidité je recommande tres suivi merci  du service rapide cordialement me roux angelique</t>
  </si>
  <si>
    <t>haiki-103952</t>
  </si>
  <si>
    <t xml:space="preserve">Je suis extrement déçu par cette assistance qui fait honte au assureur. A évité comme.la peste . Il te donne un prix tu paye lanne d'avance ensuite demande un supplément qui relève sur ton compte sans prévenir, ils ont asur que le'prox ne changerais pas. ATTENTION. Les bas prix sont faux. La pire assurance française. ATTENTION A EVITER </t>
  </si>
  <si>
    <t>10/02/2021</t>
  </si>
  <si>
    <t>raccah-m-115523</t>
  </si>
  <si>
    <t>Très satisfaite de l'écoute, de la bienveillance et des conseils.
Tarif très compétitif.
Je recommanderai L'Olivier assurance à mon entourage
Merci à vous</t>
  </si>
  <si>
    <t>Bonjour, 
Commençons par dire que je ne recommande pas la mutuelle des motards, si vous voulez en savoir plus voilà notre histoire, je mettrais à jour lorsque ça daignera avancer.
En cotisant à la mutuelle des motards avec ma première moto j'avais l'impression de faire partie d'une entité. Qu'ils comprenaient les motards, qu'ils les défendaient. Ils sont même venus nous démarcher à la moto école, sur mon stage d'une semaine j'ai du écouter 1 ou 2h les dire d'un commercial. Il m'a eu !
Ah le marketing c'est beau. Ils ont même une page qui vente leur étroite collaboration avec la FFMC. Franchement, la FFMC vous devriez demander à ce qu'ils retirent cette page, c'est pas pour vous, c'est pour trouver du crédit dans le monde des motards.
J'ai assuré un vieux roadster du début des années 80, les prix sont au centre du marcher, ni pas cher ni exorbitant. 2ans après la moto passe en collection et là, la cotisation n'est vraiment pas cher. Vraiment ?
Suite à un accident ou à mes yeux je suis la victime, la personne qui m'a percuté à pris 100% de torts. et étonnement moi j'ai pris 50/50. chez moi ça fait 150% de torts.
J'ai mis du temps à comprendre pourquoi ils agissaient ainsi. Les dégâts étant inférieur à 6000-7000euros, je n'ai pas le chiffre exacte, c'est eux qui doivent payer les réparations, même si je suis la victime.
Ils m'opposent donc l'article R414-4 en me parlant de ligne blanche. Je regarde bien l'article je le décortique. Mais je ne suis jamais passé de l'autre côté de la ligne blanche, à part quand j'ai été percuté. La voiture elle était en train de franchir une ligne blanche pour s'engouffrer dans un sens interdit.
Mieux que ça, après réclamation on me parle toujours de ligne blanche alors que l'article R414-4 n'en fait pas mention.
Après en avoir parlé avec mon ancienne auto école ainsi qu'un bénévole de la mutuelle des motards ceux-là ne comprennent pas non plus.
Et ce n'est pas fini.
L'expert annonce une expertise à moitié prix, 2000euros. Lorsque je demande sur quoi ce base le prix, on me répond qu'ils sont basés sur le marché de l'occasion, difficile de faire autrement avec une moto de 1981.
Je regarde le marché de l'occasion et je me rends compte rapidement qu'en dessous de 3000euros, il n'y a pas une seule moto roulante sans travaux plus ou moins important et que pour s'approcher de la mienne, entièrement d'origine sans aucune modification, matching number etc. On est plutôt proche des 4000euros,  est-ce qu'ils ont évalués ma moto avec le sinistre ? Je réponds donc dans ce sens et mon contact ose me dire "bonne nouvelle nous avons réévalué la moto à 2400euros" Bien essayé, mais on est tjs pas à la valeur de la moto.
Et n'oublions pas qu'avec le 50-50%, ils me proposent de me rembourser 1200euros.
Je me bats donc actuellement pour que mes droits soient honorés. Je n'ai jamais pu avoir le service réclamation par téléphone, uniquement par courrier et ils ne répondent pas à la moitié des questions posées.
Maintenant on me propose de passer par un service de médiation. Oui on a déjà pas pu discuter entre nous, mettons une 3eme personnes pour que vous ajoutiez de la distance entre nous. Service de médiation qui est annoncé aux alentours de 4 mois. ça fait déjà 5 mois que je suis à pied.
Ce qui est fou, c'est qu'il y a une 15ène d'année, j'ai eu un accident dans les mêmes circonstance, en scooter 50cc, sans permis, jeune et sans jugeote chez la Maif, En moins d'un mois c'était remboursé, réparé, réglé. Alors, parfois c'est plus cher ailleurs, mais on est écoutés et entendu.
Bref. Sur leurs sites ils disent : "Nous sommes nés en 1983 lors du Bol d'Or, nous sommes issus du Mouvement motard et de la FFMC, nous appartenons entièrement à nos sociétaires. Nous sommes ? Nous sommes ? La Mutuelle des Motards !" 
Mouais.</t>
  </si>
  <si>
    <t>axel-a-106491</t>
  </si>
  <si>
    <t xml:space="preserve">insatisfait du prix de la franchise suite à degradation sur mon véhicule. franchise équivalent à + d'un an d'assurance alors que je suis"tout risque" </t>
  </si>
  <si>
    <t>francky-110750</t>
  </si>
  <si>
    <t xml:space="preserve">Une assurance moto qui est faite par des motards . Avec une liberté de choix dans les options , avec des tarifs bien explicites. La souscription est simple et l 'accueil téléphonique est d un bon relationnel.
Sportivement ,
Franck </t>
  </si>
  <si>
    <t>17/04/2021</t>
  </si>
  <si>
    <t>enzo-m-134587</t>
  </si>
  <si>
    <t>Très satisfait. Car même le dimanche on peut s'assurer. Et profiter de son véhicule de suite. Ils nous proposent plusieurs contrats et on a juste à choisir en un seul clic.</t>
  </si>
  <si>
    <t>26/09/2021</t>
  </si>
  <si>
    <t>patsyl-77265</t>
  </si>
  <si>
    <t>Nul... en attente d'un remboursement dentaire important depuis le 26 mars... après multiples appels téléphoniques qui n'aboutissent à rien... le service client est totalement incompétent. Aucun suivi des dossiers.
 Employeurs si vous avez de la considération pour vos salariés ne prenait pas cette assurance . A FUIR.</t>
  </si>
  <si>
    <t>02/07/2019</t>
  </si>
  <si>
    <t>tiff33-78378</t>
  </si>
  <si>
    <t>Mon conjoint est chez Direct assurance depuis près depuis un peu moins de 10 ans. Il a changé de véhicule en 2017. Nous nous sommes aperçu, depuis, que le prix de l'assurance augmentait chaque année et pas qu'un peu : 100 euros de plus rien que pour cette nouvelle année ! La raison ? Après avoir contacté le service client (qui au passage est très bien), ils vous expliquent que ce tarif se base sur le nombre de problèmes (accidents, pannes etc...) recensés sur ce modèle de véhicule. Donc résultat, vous, client fidèle sans accident responsable ou non ni panne ou problème technique autre, vous voyez votre facture augmenter tous les ans sous prétexte que d'autres conducteurs qui ont le même modèle de voiture que vous ont des soucis. Je dis bravo Direct Assurance, car vous avez perdu un client ! Nous sommes activement à la recherche d'une autre assurance.</t>
  </si>
  <si>
    <t>12/08/2019</t>
  </si>
  <si>
    <t>christophe-a-105763</t>
  </si>
  <si>
    <t>Bon rapport qualité prix! Simple de gestion avec l'application mobile. je conseille aux personnes de mon entourage de toujours effectuer un devis au près de Direct Assurances.</t>
  </si>
  <si>
    <t>07/03/2021</t>
  </si>
  <si>
    <t>laurent-e-115204</t>
  </si>
  <si>
    <t xml:space="preserve">je suis très satisfaits dommage qu'il n'y a pas d'offres pour les véhicule professionnel.
je vous pries d'agréés l'expression de mes salutation distingué 
Bien cordialement </t>
  </si>
  <si>
    <t>pilon-t-123928</t>
  </si>
  <si>
    <t xml:space="preserve">Je suis très satisfaite de l'olivier assurances, vraiment très réactif et présent dès que c'est nécessaire.
Je recommande vivement cette assurance. Rapport qualité prix vraiment génial. </t>
  </si>
  <si>
    <t>andruszko-c-108536</t>
  </si>
  <si>
    <t>il est dommage qu'aucun devis ne corresponde au prix du contrat final, toujours une différence de 50 euros. Deux devis différents, pour deux voitures et à chaque fois 50 euros de différence sur le prix final, cela reste un mystère.</t>
  </si>
  <si>
    <t>sabrina-80015</t>
  </si>
  <si>
    <t>Conseiller de clientèle a l écoute, aimable et explique  bien. conseiller au nom de kalid</t>
  </si>
  <si>
    <t>14/10/2019</t>
  </si>
  <si>
    <t>chris-82153</t>
  </si>
  <si>
    <t>Mes deux véhicules sont à présent couverts par cette compagnie qui m'a donc fait bénéficier d'une remise multi véhicules.</t>
  </si>
  <si>
    <t>20/12/2019</t>
  </si>
  <si>
    <t>leclem-66324</t>
  </si>
  <si>
    <t>Je les ai contacté pour avoir un rappel de mes prises en charges et couverture car je voulais savoir si je devais rester sur la formule de base ou l'ameliorer.
Reponse au bout d'une semaine: "adressez vous à votre employeur"...
Incroyable (mon employeur ne peut que me renvoyer vers eux!), ce niveau de j'enfoutisme fait peur pour le jour où j'aurai besoin de quelque chose!</t>
  </si>
  <si>
    <t>30/10/2020</t>
  </si>
  <si>
    <t>amandine-102570</t>
  </si>
  <si>
    <t>Je suis très satisfaite des conditions d'assurance chez AMV et surtout des prix. Par ailleurs, j'ai fait appel à eux pour le service dépannage et ai très bien été prise en charge. Je recommande !</t>
  </si>
  <si>
    <t>nestor-64827</t>
  </si>
  <si>
    <t xml:space="preserve">je dispose maintenant de 3 contrats chez l'Olivier . pour chaque souscription , j'ai obtenu un excellent service , que ce soit au téléphone, par mail ou par l'intermédiaire de l'espace client . </t>
  </si>
  <si>
    <t>16/10/2018</t>
  </si>
  <si>
    <t>memel14-76342</t>
  </si>
  <si>
    <t xml:space="preserve">Très mauvaise assurance savent prendre l'argent mais n'accepte pas les réparations sur un véhicule en sachant que l'assurance de la personne qui nous a causé 'es dégâts voulez elle faire les réparations mais refus de la macif vraiment pitoyable comme assurance </t>
  </si>
  <si>
    <t>29/05/2019</t>
  </si>
  <si>
    <t>sentenac-j-136853</t>
  </si>
  <si>
    <t>Le prix convenable.
Conseiller très claire dans les explications. 
Temps d'attente assez court pour la mise en relation.
A voir avec le temps par la suite.</t>
  </si>
  <si>
    <t>10/10/2021</t>
  </si>
  <si>
    <t>babeth-103267</t>
  </si>
  <si>
    <t xml:space="preserve">Que d'avis négatif j'en suis surprise..... Mon labrador qui est parti il va y avoir 2 ans le mois prochain à été assuré pendant des années et jusqu'à son décès chez eux, et Murphy à été un toutou à problèmes souvent au veto et les dernière années n'en parlons pas, mais je n'ai jamais eu de problèmes de remboursements, ni de surprises, on peux les joindre sur un numéro fixe pas surtaxé et correspondre aussi par le net.... Là franchement je voudrai sortir un vieux chien des refuges et je dois me renseigner voir si a leur âge ils assurent, mais si je dois en reprendre ça sera chez eux, mais c'est vrai que quand Murphy a eu 13 ans l'assurance à augmentée alors pour rester dans le même prélèvement j'ai baissé son taux de remboursement au lieu de 80% je suis passée à 60% mais jusqu'au bout j'ai eu les remboursements même la piqûre ?? à ses 15 ans pour l'endormir car très malade..... Voilà mon experience avec eux que du positif et qu'elle tranquillité de savoir qu'on peux bien soigner son animal..... </t>
  </si>
  <si>
    <t>26/01/2021</t>
  </si>
  <si>
    <t>thuillier-a-111620</t>
  </si>
  <si>
    <t>je suis satisfait du service, cela a été rapide et efficace.
je recommande. 
fiable, simple, cela évité d'avoir à se déplacer et cela est très bien expliqué</t>
  </si>
  <si>
    <t>narcisse-82043</t>
  </si>
  <si>
    <t>Je suis à la recherche d'une bonne mutuelle santé et je m'étonne de trouver des avis favorables de clients citant le prénom de leur interlocuteur téléphonique. Gwendal étant un prénom qui revient souvent  et pour des compagnies différentes. Je trouve cela étrange, voire suspect. Les avis seraient-ils bidonnés ?</t>
  </si>
  <si>
    <t>18/12/2019</t>
  </si>
  <si>
    <t>anthony-f-113051</t>
  </si>
  <si>
    <t>Client YouDrive puis Direct Assurance depuis l'obtention de mon permis B. Je n'ai rien à reprocher à mon assurance hormis peut-être, le prix de la cotisation ? Quelques euros en moins par mois serait fort appréciable.</t>
  </si>
  <si>
    <t>roxie-107787</t>
  </si>
  <si>
    <t xml:space="preserve">L'accueil de mon interlocutrice a été très agréable et professionnel.
La réponse apportée à mon problème était appropriée et très claire.
Grande efficacité
</t>
  </si>
  <si>
    <t>denis-b-107561</t>
  </si>
  <si>
    <t>Les prix me conviennent  je suis satisfait des services pas trop compliquer pour un nouveau contrat jusqu'à maintenant jamais au qu'un probleme avec direct assurance</t>
  </si>
  <si>
    <t>mac-63775</t>
  </si>
  <si>
    <t xml:space="preserve">Nul, 1 mois et demi pour avoir un remboursement
attention, generation c'est coverlife, une assurance qui change de nom en permanence et qui à plusieurs mutuelles mais sous le même gestionnaire incapable  Génération
Cocoon mutuelle c'est _x009b_ Génération _x009b_ Coverlife 
Bon courage les nouveaux adhérents, soyez patient pour vos remboursements c'est le cas de le dire ! </t>
  </si>
  <si>
    <t>04/05/2018</t>
  </si>
  <si>
    <t>mop-80657</t>
  </si>
  <si>
    <t>khalid a bien pris le temps de m'expliquer et de m'envoyer un document correspondant à ma démarche</t>
  </si>
  <si>
    <t>03/11/2019</t>
  </si>
  <si>
    <t>alexia-126924</t>
  </si>
  <si>
    <t xml:space="preserve">J'ai pris l assurance pour mon animal et au vu des comantaires négatif j'ai fais une demande de résiliation qui est possible avant 14jours .malgres le recommandé avec accusé de réception que j'ai envoyé plus un mail plus mes appel ,ils font les morts comme si de rien. Et mon prélevé sur mon compte . honteux .et tout les avis sont vrais a fuir </t>
  </si>
  <si>
    <t>06/08/2021</t>
  </si>
  <si>
    <t>baboun-123903</t>
  </si>
  <si>
    <t>Assurance moins chère 
Facilité d’inscription et rapidité 
Entière satisfaction pour le moment
Je recommanderais cette assurance sans problème à tous</t>
  </si>
  <si>
    <t>fatouma-p-138152</t>
  </si>
  <si>
    <t xml:space="preserve">Des prix raisonnables sans beaucoup trop de conditions. 
Adhésion simple et rapide 
S'il faut recommander à un proche je le ferai sans hésitation. Merci pour tout april santé. </t>
  </si>
  <si>
    <t>jess07-72052</t>
  </si>
  <si>
    <t>Ayant été victime d un sinistre non responsable  il y a presque plus de 3mois je n ai toujours pas été remboursé. Je les appel toutes les semaines pour avoir des nouvelles de mon dossier mais ils me répondent toujours la même chose. Cela fait 3mois que je n ai plus de voiture, pas de nouvelles et pas de remboursement , pourtant après m être renseignée les assurances on un délai de 3 mois pour un remboursement de sinistre. Sympa de laisser leur client dans l attente sans aucune information.</t>
  </si>
  <si>
    <t>11/03/2019</t>
  </si>
  <si>
    <t>achour-r-133918</t>
  </si>
  <si>
    <t>Je suis très content de ce service, l’interlocuteur était top au téléphone rien à dire. Les prix sont bien et le service est génial ! Je recommande !.</t>
  </si>
  <si>
    <t>22/09/2021</t>
  </si>
  <si>
    <t>lagasse-v-111859</t>
  </si>
  <si>
    <t>Je suis satisfait de votre service avec tout les informations fournir par téléphone et sur votre site internet sur Olivier assurances et je vous en remercie cordialement.</t>
  </si>
  <si>
    <t>27/04/2021</t>
  </si>
  <si>
    <t>didierze-58744</t>
  </si>
  <si>
    <t>Difficultés pour résilier leur contrat. 
Mais on y arrive ..Il faut leur rappeler les articles du code de la Mutualité et de l'Assurance, articles dont ils ne peuvent pas s'affranchir.</t>
  </si>
  <si>
    <t>10/11/2017</t>
  </si>
  <si>
    <t>pspj59-135005</t>
  </si>
  <si>
    <t>Tarifs corrects. Intervention rapide sur dépannage et remorquage après établissement du contact téléphonique. Idem pour la mise à disposition d'un taxi afin d'aller chercher le véhicule de location mis à disposition.</t>
  </si>
  <si>
    <t>abdelka-110722</t>
  </si>
  <si>
    <t xml:space="preserve">A fuir j'ai eu un sinistre ou je ne suis pas en tort il me propose 30% du prix de l'argus de ma voiture
Un conseil ne prenez pas d'assurance chez eux 
</t>
  </si>
  <si>
    <t>dan-80018</t>
  </si>
  <si>
    <t xml:space="preserve">accueil et service tres bonne interlocutrice professionnelle
a l ecoute du client tres bonne explication 
détails des soins proposés approffondis </t>
  </si>
  <si>
    <t>jac-101685</t>
  </si>
  <si>
    <t xml:space="preserve">Direct assurance mérite de figurer dans le livre des records . L'assurance de ma Mégane gt vient de passer de 400 euros en 2019 à 1325 euros en 2020 .soit une augmentation de  plus de 230 %.
Ceci avec un bonus de 50 % ,je peux dire être un conducteur modèle avec 12 points et 50 ans de conduite sans accident .(j'ai 70 ans)
Assureur excellent pour les devis et désastreux pour tout le reste .A fuir.
Leur Justificatif : Chaque année ils éliminent les voitures les moins rentables pour eux .
</t>
  </si>
  <si>
    <t>20/12/2020</t>
  </si>
  <si>
    <t>riguidel-j-111384</t>
  </si>
  <si>
    <t>Je suis satisfaite des tarifs pour une première assurance voiture.
La souscription est simple et rapide et les conseillers sont disponibles et à l'écoute.</t>
  </si>
  <si>
    <t>celia-75853</t>
  </si>
  <si>
    <t>Honteux je suis enceinte de 6 mois et en arrêt depuis le mois de février et mon dossier n a toujours pas été traiter malgré les relances plus que multiple de mon employeur à cause de ca je doit gérer les problème financier engendrée à cause de ca et ne peut acheter quoi que ce soit pour la naissance de mon bébé j espère que des qu'il en aura l occasion mon employeur quittera cette mutuelle qui se fou ouvertement de la gueule du monde</t>
  </si>
  <si>
    <t>13/05/2019</t>
  </si>
  <si>
    <t>kimsi-70929</t>
  </si>
  <si>
    <t>If you fit precisely in to the box that is their perception of what an insurance customer is, I am sure it works fine. However, if you have any special considerations that might cause them some extra work (e.g. you misunderstand something because it is the first time you are buying/registering and insuring a car and/or you don't speak french too good) just forget it. In my case this lead to them wrongfully cancelling my insurance the day after I subscribed. The misunderstanding was initially 100% my fault, but when I apologized and tried to explain to them that it was in fact a misunderstanding, and that I had the references to back it up, they simply refused to listen. I understand the confusion, but refusing to accept the facts due to a previous misunderstanding is simply bad customer service. I prefer paying a few extra euros per month to be met with flexibility and understanding.</t>
  </si>
  <si>
    <t>04/02/2019</t>
  </si>
  <si>
    <t>laurent--s-111969</t>
  </si>
  <si>
    <t xml:space="preserve">Prix dans la moyenne de la concurrence.
Contact avec un conseiller difficile à prendre 
Les questions posées sur la messagerie GMF restent  longtemps voire définitivement sans réponse.
Les créneaux offerts pour les rendez vous en agence ne sont pas compatibles avec l'emploi du temps d'un travailleur.  
Défense du client  pas toujours à la hauteur. 
 </t>
  </si>
  <si>
    <t>guillaume-l-109986</t>
  </si>
  <si>
    <t>Bonne assurance je pense (service client), j'attends de voir suite à un pépin avec le véhicule ce qu'il se passera. Pour souscrire, rien de plus facile, par contre quand il faut supprimer l'assurance d'un véhicule c'est d#ejà beaucoup plus fastidieux, vous devez vous améliorer à ce sujet.</t>
  </si>
  <si>
    <t>alex-91241</t>
  </si>
  <si>
    <t xml:space="preserve">Nous sommes client depuis plus de 30 ans, perte d'emploi et garantie salaire, trouve toujours quelque chose pour ne pas indemniser leurs clients. A fuir. Ne jamais signé de contrat avec eux. Attention aucune garantie même si souscription a prix conséquent.  Je ne peux pas mettre 0 dommage voir même avis négatif </t>
  </si>
  <si>
    <t>17/06/2020</t>
  </si>
  <si>
    <t>bataille-g-122256</t>
  </si>
  <si>
    <t>À voir dans le temps si l'olivier assurance est un bonne ou movaise assurance
Un retour de ma part sera fait après quelque moi d'assurance chez eux positif ou negatif</t>
  </si>
  <si>
    <t>pepe76-114277</t>
  </si>
  <si>
    <t xml:space="preserve">Bonjour,
Depuis mon adhésion à leur service CACI , le temps de traitement de nouveau échéancier suite à des remboursements anticipés sont hyper long et parfois incorrect.
De nombreuses relances faites par téléphone ou via le conseiller LCL, ça patine dans la choucroute. ( que j'adore par ailleurs). A éviter. Jean-Marie
</t>
  </si>
  <si>
    <t>abby-49369</t>
  </si>
  <si>
    <t>C'était je croyais une bonne assurance, mais après 11 années chez eux et après 1 seul incident de paiement, ils m'ont radié.
J'ai voulu régler le problème en payant lmma note et malgré cela ils ont refusé???
Il faut savoir que j'ai un bonus au plafond depuis plus de 8 ans.
Alors je dis BRAVO !
Je trouve cela incroyable, voilà mon avis.</t>
  </si>
  <si>
    <t>19/11/2016</t>
  </si>
  <si>
    <t>patricia-c-105023</t>
  </si>
  <si>
    <t>Satisfaite des services. Tarifs intéressant. Conseillers toujours à l'écoute et toujours disponible.
Réponse à nos attentes très rapide et conseillers à notre écoute</t>
  </si>
  <si>
    <t>vincent-62805</t>
  </si>
  <si>
    <t>Assurance devenue l'ombre d'elle-même et qui devrait relire la définition du mot probité.
Assureur militant ... de la surfacturation.
Si vous hésitez à les choisir, prenez le concurrent avec lequel vous hésitez.
Si vous hésitez à les quitter, n'hésitez plus</t>
  </si>
  <si>
    <t>31/03/2018</t>
  </si>
  <si>
    <t>heppa23-67163</t>
  </si>
  <si>
    <t>Assurance a fuir. Suivi médiocre. Font durer le dossier depuis plus dun an. Ne veulent pas rembourser après 3 ans chez eux. Dommage que je naie pas lu les commentaires négatifs de ce site avant de minscrire chez eux....</t>
  </si>
  <si>
    <t>28/09/2018</t>
  </si>
  <si>
    <t>jcl-86949</t>
  </si>
  <si>
    <t xml:space="preserve">J ai téléphoné ce jour pour recevoir ma carte et c est Gwendal qui m a répondu avec efficacité et clarté.  Et de plus avec amabilité.  Merci à  lui pour la prise en charge de ma demande. </t>
  </si>
  <si>
    <t>10/02/2020</t>
  </si>
  <si>
    <t>michel74-89964</t>
  </si>
  <si>
    <t>Sans me demander mon avis la maaf à changer mon contrat suite à une communication téléphonique avec ma fille. C'est comme si j'étais sous tutelle, et la conseillère ne veux pas reconnaitre une erreur.
La Maaf est donc la seule compagnie d'assurance qui vous met sous tutelle de sa propre initiative, sans décision de justice.</t>
  </si>
  <si>
    <t>27/05/2020</t>
  </si>
  <si>
    <t>christophe-53934</t>
  </si>
  <si>
    <t xml:space="preserve">A fuir, me réclame et envoie un huissier pour une année d'assurance non payer pour l'année 2017, hors le contrat précédent a était résilier en septembre 2016. Et malgré 3 appel a leur foutu numéro surtaxé toujours rien de régulariser vers ce dit huissier, malgré la dernière personne eu au téléphone qui me dit que en effet je ne doit plus rien. </t>
  </si>
  <si>
    <t>07/04/2017</t>
  </si>
  <si>
    <t>coralie-d-114210</t>
  </si>
  <si>
    <t xml:space="preserve">Je suis satisfaite su service, les prix me conviennent........... 
J'espère que la suite sera simple pour le renvoi des documents et que tout cela sera rapide </t>
  </si>
  <si>
    <t>pascal-60019</t>
  </si>
  <si>
    <t>Contrat Serenivie gpa coûteux, énorme perte en capital. Le capital décès après 20 années de versement est de lordre de la moitié de ce sui devrait être. Il faudrait que le gouvernement se penche un jour sur ce type de pratique pour protéger les clients.</t>
  </si>
  <si>
    <t>29/12/2017</t>
  </si>
  <si>
    <t>patricia-d-116141</t>
  </si>
  <si>
    <t>je suis satisfaite du service, les prix  conviennent, le site internet est clair et les explications sont simples et faciles à comprendre.
La gestion de mon contrat est simple</t>
  </si>
  <si>
    <t>terrygt-40878</t>
  </si>
  <si>
    <t>Devant tant d’incompétence et de médiocrité incapable de traiter un dossier de succession pour une assurance vie comportant trois documents je transmets les documents avec l’espoir qu’une personne n’ayant pas le profil d’un ludion endiablé, apporte un écho favorable à ma demande trois mois après il manque toujours quelque chose. j'envoie par courrier, par mail, par fax et tout va bien. quand je demande ou en est mon règlement ils sont 15 à répondre et personne ne sert rien il manque encore des documents. ce sont des gens à fuir. laxisme incompétence, médiocrité, ce sont les qualificatif  qui les caractérisent.</t>
  </si>
  <si>
    <t>27/03/2017</t>
  </si>
  <si>
    <t>eric-48223</t>
  </si>
  <si>
    <t xml:space="preserve">N'ont aucune empathie envers leur clients, service client fantoche. En apparence très bien, dès qu'il y a un problème, ils sont désespérant et inefficace ! </t>
  </si>
  <si>
    <t>Euro-Assurance</t>
  </si>
  <si>
    <t>26/01/2018</t>
  </si>
  <si>
    <t>demerzaak-31958</t>
  </si>
  <si>
    <t>J'ai voulu assurer une voiture que je n'utilisais plus, toutes les assurances m'ont jetées sauf elle... Souscription effectuée par tel après une demande rappel. Envoi des documents par mail, j'ai reçu ma carte verte la semaine suivante.</t>
  </si>
  <si>
    <t>19/07/2017</t>
  </si>
  <si>
    <t>didtsch-l-115949</t>
  </si>
  <si>
    <t xml:space="preserve">Service rapide et efficace, répond a toute les questions.
Personne agréable au téléphone. Prend le temps de bien vérifié que le nom prénom soit bien ortographié merci a vous </t>
  </si>
  <si>
    <t>doria-g-126325</t>
  </si>
  <si>
    <t>les prix me convienne
le service est rapide et simple
le paiement est sécurisé
je pense recevoir mes papiers rapidement 
je n'ai cependant pas reussi a payer en CB sans explications</t>
  </si>
  <si>
    <t>gilles-l-116929</t>
  </si>
  <si>
    <t>je suis insatisfait du service.
je souscrit un contrat tout risque et en cas d'immobilisation du véhicule on ne peut accéder a un prêt de véhicule
cordialement</t>
  </si>
  <si>
    <t>14/06/2021</t>
  </si>
  <si>
    <t>pierre-g-114714</t>
  </si>
  <si>
    <t xml:space="preserve">bonjour sa fait des années que nous sommes assuré chez vous et sa augmente tous les ans !  ps: nous avons 4 véhicules assuré chez vous . cordialement </t>
  </si>
  <si>
    <t>kramer-j-111729</t>
  </si>
  <si>
    <t xml:space="preserve">Je suis très satisfait de la rapidité de réponse de vos agents. L'espace client est très accessible et facile d'utilisation. Vraiment je recommande l'olivier assurance. </t>
  </si>
  <si>
    <t>bessedjerari-m-115819</t>
  </si>
  <si>
    <t>Très bon accueil simple et efficace très bon prix je vais demander à mes amis et à ma famille de joindre à vous merci pour tous à très bientôt et merci à toute l'équipe</t>
  </si>
  <si>
    <t>lisa-n-111205</t>
  </si>
  <si>
    <t>Je suis satisfaite du prix, tout est parfait, la simplicité pour souscrire à cette assurance et ferais certainement appel à vous pour d'autres assurances.</t>
  </si>
  <si>
    <t>jeanmisheng-90082</t>
  </si>
  <si>
    <t>Assuré depuis 20 ans chez eux, besoin d'assurer un nouveau véhicule. J'écris ce message car je suis sidéré de ce que je lis ici. J'ai moi aussi un retard pour mes cartes vertes... mais les mecs, vous vivez rien de pire aujourd'hui? Peut-être que leur organisation de crise est moyenne, mais de là à dire que c'est une mauvaise assurance il y a un truc qui me navre dans la façon que l'on a aujourd'hui de donner un avis objectif.
Mon avis perso depuis 20 ans: certes les tarifs sont plus élevés que chez pas mal de concurrents, mais pas à périmètre équivalent. Par exemple il a de cela un certain temps, j'ai pris une buche sur piste avec ma moto de route, ma couverture tous risques s'est appliquée à 100% (7500 € de réparation sur la moto) mon équipement à été remboursé à neuf sur factures d'achat (de 4ans) (Cuir, gants, bottes, pantalon, casque). Bon courage pour trouver l'équivalent chez un concurrent, je n'en ai jamais entendu parler.
Quand j'ai appelé pour déclarer mon sinistre, la première question que l'on m'a posé était comment j'allais... ça change de "quel est votre numéro de sociétaire"
Chaque fois que j'ai appelé pour assurer un nouveau véhicule, j'ai pu discuter avec un(e) passionné(e).
Quand tu assures un nouveau véhicule, tu as une réduction sur tous les autres contrats en % parce que, je cite, tu peux pas conduire plusieurs véhicules en même temps. J'ai assuré un DR au tiers (3e véhicule), une fois la réduc appliqué, ma prime globale a baissé... mon interlocuteur avait l'air aussi content de moi.
Après oui, c'est un peu plus cher qu'ailleurs, chacun choisit ses dépenses.</t>
  </si>
  <si>
    <t>31/05/2020</t>
  </si>
  <si>
    <t>erico34-94742</t>
  </si>
  <si>
    <t>Je suis Assuré depuis 5 ans c est la mutuelle la moins chère pour des garanties les plus hautes aucun problème
pour l opticien je ne paye rien</t>
  </si>
  <si>
    <t>ben-114567</t>
  </si>
  <si>
    <t xml:space="preserve">Message à celles et ceux qui souhaitent souscrire une assurance chez eux, fuyez!!! Au plus vite chez une  autre assurance. Active assurance vous cache des frais... je vais les signaler à UFC que choisir dès maintenant </t>
  </si>
  <si>
    <t>22/05/2021</t>
  </si>
  <si>
    <t>jonckheere-j-129542</t>
  </si>
  <si>
    <t>Simplicité pour la souscription en ligne, le prix est imbatable avec des bonnes garanties et le contact est facile par mail avec un interlocuteur réel.</t>
  </si>
  <si>
    <t>seylio-57761</t>
  </si>
  <si>
    <t>3 sinistres et on vous résilie même si vous êtes un client depuis de nombreuses années et que vous possédez tout chez eux. Et même si vous n'êtes pas responsable.</t>
  </si>
  <si>
    <t>02/10/2017</t>
  </si>
  <si>
    <t>chabry-e-123987</t>
  </si>
  <si>
    <t>Satisfait du service 
Prix les moins chers du marché compte tenu de notre situation. Un bémol néanmoins, cet demande d'avis intervient dès le premier jour donc n'est pas du tout représentatif d'un véritable avis après plusieurs mois en tant qu'assuré.</t>
  </si>
  <si>
    <t>adassus-f-133870</t>
  </si>
  <si>
    <t xml:space="preserve">Bonjour, Appréciable pour la rapidité et prix je recommande !! En espérant recevoir assez vite les documents (carte verte) merci pour votre aide cordialement M.adassus </t>
  </si>
  <si>
    <t>azzouz-p-126900</t>
  </si>
  <si>
    <t>Satisfait d'avoir réellement regarder toutes mes garanties souscrites avec ma conseillère. Pour une fois j'ai pris le temps et je suis rassuré d'avoir choisi au calme</t>
  </si>
  <si>
    <t>chuck-66252</t>
  </si>
  <si>
    <t>AMV la pire expérience de ma vie, si on ne fait pas attention lors de la souscription, on peut se retrouver sans assistance. En effet celle-ci est une option à prendre alors que les différents choix que le site propose après simulation ne font pas apparaître cette option assistance. Logiquement on devrait plutôt laisser la possibilité de la retirer pour éviter que les gens pensent être couvert en cas de panne, ça éviterait les mauvaises expériences aux clients. Pourquoi faire, le principale, c'est de s'afficher comme assurance sérieuse et pas cher, tant pis pour les clients qui ne font pas attention à bien cocher la petite case.</t>
  </si>
  <si>
    <t>17/08/2018</t>
  </si>
  <si>
    <t>sandrine-53690</t>
  </si>
  <si>
    <t>accident de moto, les responsabilités ne sont pas déterminées car procès en cours et en attendant aucun dédommagement ni réparation ... Une honte !!!!!!!!!!
Aucune réponse claire et précise, le service sinistre et le service client se contredisent ...</t>
  </si>
  <si>
    <t>29/03/2017</t>
  </si>
  <si>
    <t>michko-94007</t>
  </si>
  <si>
    <t>Huit Mois pour recevoir le capital prévoyance décès / de mère, et avec 2,07 EUR d'intérêts de retard !  Pourtant la caisse d'épargne nous avait dit au mois de novembre: il n'y a pas de problème, vous recevrez le capital sous 3 à 4 semaines Je ne recommande pas cet assureur pour la garantie décès. En revanche, la méthode est au top pour "dé-fidéliser" la clientèle.</t>
  </si>
  <si>
    <t>tg-67109</t>
  </si>
  <si>
    <t xml:space="preserve">J'ai 12 contrats chez Maaf  la totale, j'aimerai qu'il ait un geste commercial pour fidélitée ,100% de contrats chez eux </t>
  </si>
  <si>
    <t>26/09/2018</t>
  </si>
  <si>
    <t>polo4122-86990</t>
  </si>
  <si>
    <t xml:space="preserve">Cette assurance est à eviter absolument, J'attends les fonds après un décès il y a 12 mois. Malgré de nombreuses relances par courier recommandé, j en'ai toujours pas les fonds. Je vais devoir lancer une poursuite judiciare. C'est scandaleux. </t>
  </si>
  <si>
    <t>Carac</t>
  </si>
  <si>
    <t>corinne-g-117142</t>
  </si>
  <si>
    <t>Rapport qualité des services /prix me satisfait
répond à mes attentes lors des différents appels téléphoniques
entièrement satisfaite des services de direct assurance</t>
  </si>
  <si>
    <t>nadooo-61901</t>
  </si>
  <si>
    <t>Bonjour, Je suis assurée depuis plus de 30 ans à la macif. Avec les intempéries du mois de janvier les tuiles de la toiture ont volées et les chambres du 1e etage inondées. Mon électricité touchée par l’eau et la macif refuse de reconnaitre l’etat de catastrophe naturelle qu’a decreter la prefecture. J’ai peur de me retrouver dehors avec mes enfants. Est ce qu’une personne peut m’aider à trouver une solution avec la macif ? 
Email : nadobahi1@gmail.com</t>
  </si>
  <si>
    <t>vivinette-98235</t>
  </si>
  <si>
    <t>a fuir
m'a menti sur les remboursement dentaire et maintenant que j'ai mutuelle obligatoire ils jouent sur les mots pour ne pas me radier 
sont même aller me faire dire que j'avais fait un faux en rajoutant la mention obligatoire alors que c'est mon employeur qui l'avais écrite</t>
  </si>
  <si>
    <t>piron-d-116962</t>
  </si>
  <si>
    <t>Je suis très satisfait du prix ainsi que les garanties,  vous êtes un peu élevées sur les franchises et vraiment un accueil plus que parfait à l’ écoute.</t>
  </si>
  <si>
    <t>alain-68769</t>
  </si>
  <si>
    <t xml:space="preserve">En.attente d'un retour suite à un défaut de conseil pour lequel un enregistrement aurait été fait mais non fourni malgré mes multiples demandes </t>
  </si>
  <si>
    <t>20/11/2018</t>
  </si>
  <si>
    <t>amar-h-133162</t>
  </si>
  <si>
    <t xml:space="preserve">Je suis très satisfait et merci. 
Simple et facile a souscrire à un contrat d'assurance avec des prix raisonnable, je conseil fortement direct assurance. </t>
  </si>
  <si>
    <t>eric-f-115475</t>
  </si>
  <si>
    <t>Je suis satisfait du rapport qualité/prix de Direct Assurance
J'ai déjà souscrit chez eux un contrat d'assurance pour ma nouvelle voiture neuve acquise récemment</t>
  </si>
  <si>
    <t>kaniuga-m-137846</t>
  </si>
  <si>
    <t>satisfait pour ma souscription ,a voir dans le temps .en esperant ne pas avoir de sinistre ,mais si c'etait le cas esperer que se ne sera pas la galere</t>
  </si>
  <si>
    <t>prescillia-j-129870</t>
  </si>
  <si>
    <t xml:space="preserve">Ras pour le moment je viens de souscrire en ligne j'espère être satisfaite de mon choix et pourrait donc ainsi assurer mon second véhicule dans les semaines à venir </t>
  </si>
  <si>
    <t>jhordan-l-130049</t>
  </si>
  <si>
    <t>Je suis satisfait du service les prix sont simples et pas chère 
J'aurais aimé payer en plusieurs fois par contre merci de me dire si cela est possible
Merci 
Cordialement</t>
  </si>
  <si>
    <t>sissi-100679</t>
  </si>
  <si>
    <t xml:space="preserve">Ne répond pas aux multiples mails et lettres recommandées envoyées depuis 8mois. Même ma banque ne sait plus quoi faire. Je me retrouve sans aucune aide malgré l'urgence. A fuir! Grâce à eux j'irais bientôt vivre sous les ponts. Merci! </t>
  </si>
  <si>
    <t>27/11/2020</t>
  </si>
  <si>
    <t>kar-115831</t>
  </si>
  <si>
    <t xml:space="preserve">On m'affiche un malus sur un accident que j'aurais soit disant commis le 27/02/2020 or le véhicule a été vendu le 16/02/2020
De ce faite je ne peux pas assurer mon nouveau véhicule par téléphone, je dois partir en agence alors que je travaille en déplacement 
De plus on me raccroches dessus 
Et vous ne faites pas plus d'effort alors que l'erreur est de votre part suite a votre non professionnalisme.
Merci </t>
  </si>
  <si>
    <t>ramses50-66837</t>
  </si>
  <si>
    <t>du grand n importe chez GMF quoi des cotisations en hausse et des taxes inconsidérables</t>
  </si>
  <si>
    <t>23/03/2019</t>
  </si>
  <si>
    <t>ledy-m-124061</t>
  </si>
  <si>
    <t>Je trouve l'assurance auto trop chère mais le reste est excellent.
L'assurance AUTO pour une voiture assuré au tiers avec un bonus à environ 50% c'est trop chère</t>
  </si>
  <si>
    <t>emily-p-135959</t>
  </si>
  <si>
    <t xml:space="preserve">A voir par la suite 
Difficile de donner un avis dans l’immédiat 
Les prix il une a pour tout le monde 
Je reste tout de même contente car beaucoup de choix </t>
  </si>
  <si>
    <t>05/10/2021</t>
  </si>
  <si>
    <t>jean-francois-p-113461</t>
  </si>
  <si>
    <t>Merci simple et rapide . En attente maintenant de voir si les services sont bien au rendez-vous.
Je suis en attente de ma carte verte en esperant la recevoir rapidement</t>
  </si>
  <si>
    <t>chouchou-63614</t>
  </si>
  <si>
    <t>satisfaite du service, j'ai maintenant une meilleure couverture pour un prix plus interessant; la personne que j'ai eu au téléphone me semble tres compètente... a voir par la suite............................</t>
  </si>
  <si>
    <t>27/04/2018</t>
  </si>
  <si>
    <t>mar29-23382</t>
  </si>
  <si>
    <t>Si vous n'avez besoin de rien vous pouvez nous le demander...
Pour vos devoirs c'est immédiat et non négociable.
Pour vos droits c'est plus long et non négociable. Wait and see !!!
Juste la très désagréable impression de groupes  d'assurance qui vous charment pour vous vendre,   se créent une image de perfection  par la publicité ,  et qui font ensuite ce qu'elles veulent pour leur plus grand profit, évidemment !!!.</t>
  </si>
  <si>
    <t>bofbof-54024</t>
  </si>
  <si>
    <t>Mauvaise surprise pour un sinistre mineur déclaré avec un tiers totalement responsable. Mon automatisme de portail explosé par une voiture d' un tiers avec un frein à main mal serré. J' envoie par mail une copie du constat et des photos très explicites ! Un électricien m' établit un devis pour moins de 1000 € .Résultat : on m' annonce une expertise nécessaire avec 2 mois de délai juste pour le RDV expertise. Pendant ce temps, le portail ne fonctionne plus et tous les fils électriques sont à l' air libre...Courrier au chef d' agence .RAS. Nul...C' est la procédure ! Bref je vais prendre le temps d' interroger mon entourage sur leur assurance...En plus, la boite d' expertise a mal noté mon mail...et je dois encore les rappeler pour avoir la convocation officielle ...Très énervant !</t>
  </si>
  <si>
    <t>11/04/2017</t>
  </si>
  <si>
    <t>herisson-c-116941</t>
  </si>
  <si>
    <t xml:space="preserve">satisfait du service prix un peu élevé mais ceci à cause de mon ancien assureur, accueil de départ parfait, attend de voir à l'usage pour les prestations </t>
  </si>
  <si>
    <t>nissuor-96184</t>
  </si>
  <si>
    <t>Tarifs compétitifs à la signature du contrat. Lors du renouvellement l'année suivante, l'augmentation est hors norme +10,2% sans aucun élément justifiant cette augmentation autres que beaucoup d'accidents dans ma région avec ce type de véhicule (ce qui est proprement injustifié du fait d'un véhicule très fiable et sécuritaire C5 haut de gamme; Il faut noter que ma région c'est les Landes avec 400 000 habitants; Que doit être l'augmentation du client situé en région parisienne avec 11 000 000 d'habitants. )</t>
  </si>
  <si>
    <t>11/08/2020</t>
  </si>
  <si>
    <t>snoopynette-108031</t>
  </si>
  <si>
    <t>la mutuelle MGP est chère ! le niveau de remboursement correct ! il y a sans doute des mutuelles moins cheres mais il est difficile de faire des comparatifs</t>
  </si>
  <si>
    <t>pat-62870</t>
  </si>
  <si>
    <t>Bonjour à tous ,
Je suis à ce jour très surprise et déçue de la réaction de la MAÏF suite à un bris de glace . 
Alors que je roulais sur l'autoroute , j'ai reçu un caillou sur le pare-brise . L'impact étant important, j'ai dû le faire changer. La maïf ne m'a pas remboursé la facture entièrement , j'ai dû règler 200€ de ma poche ...
En fait , dans le détail de la facture étaient facturés les capteurs de pluie et la personne qui a géré mon dossier à jugé que ce n'était pas obligatoire de les changer donc non remboursables . 
Je suis assurée à la maïf depuis une trentaine d'années et je n'ai eu recours que 4 fois à leur service ce que je leur ai fait remarquer quand je suis allée les voir . Il m'a été répondu qu'il y avait trop d'abus depuis quelque temps . Très déçue et fâchée , j'ai demandé à voir le médiateur mais je pense que c'est peine perdue .
S'il vous plaît , votre avis m'intéresse .
Cordialement</t>
  </si>
  <si>
    <t>02/04/2018</t>
  </si>
  <si>
    <t>misteryam95-93150</t>
  </si>
  <si>
    <t xml:space="preserve">On vous fait un bon tarif et lorsque arrive la nouvelle échéance le prix grimpe à une vitesse folle et ce sans aucun sinistre </t>
  </si>
  <si>
    <t>catherine-s-132874</t>
  </si>
  <si>
    <t xml:space="preserve">Simple et pratique tarf très intéressant la souscription se fait rapidement 
Je recommande cette assurance
En tous risques elle reste très correcte en tarif </t>
  </si>
  <si>
    <t>nono38-127681</t>
  </si>
  <si>
    <t>Bonjour j ai la garantie salaire mais le traitement pour être payé est trop long.trop d attente du coup difgiculter financière mais dans l ensemble le service avec les conseillers bien efficace.</t>
  </si>
  <si>
    <t>marie-64529</t>
  </si>
  <si>
    <t xml:space="preserve">En arrêt de travail depuis décembre toujours pas indemnisation contacter au moins 5 fois jamais la même personne réponse très vague doive me passer en priorité depuis aux moins 2 mois je pense que c’est des assurances pas sérieuse </t>
  </si>
  <si>
    <t>06/06/2018</t>
  </si>
  <si>
    <t>stevegyver-54210</t>
  </si>
  <si>
    <t xml:space="preserve">Client depuis 35 ans avons  3 véhicules et un gros scooter l assurance total maison et assurance scolaire  plus la mutuelle nous sommes plus que ravies d 'avoir la Maaf il ont été toujours présent dans tous les cas, meme  plus dans certain domaine nous ne pourrions pas nous passer de cette assurance  , sommes très étonnés de certains commentaire qui ne représentent vraiment pas  la Maaf.  </t>
  </si>
  <si>
    <t>21/04/2017</t>
  </si>
  <si>
    <t>ouali-a-131708</t>
  </si>
  <si>
    <t>Trop cher surtout pour une personne qui possède son permis depuis 12 ans, même si je n'ai plus de voiture depuis 3 ans , j'ai toujours conduit la voiture de mon coloc ou des voitures de location via oui car</t>
  </si>
  <si>
    <t>roxane-f-113713</t>
  </si>
  <si>
    <t>Service transparent , et facile d'utilisation. Le service YourDrive est très intéressant pour sensibiliser ma fille sur la conduite et la responsabiliser tout en lui donnant des objectifs.</t>
  </si>
  <si>
    <t>claude-p-121189</t>
  </si>
  <si>
    <t>Très bon positionnement sur la concurrence des Assurances.
Service à l'écoute et interlocuteur(trice) très professionnel(lle).
Je recommande cette société pour son efficacité.</t>
  </si>
  <si>
    <t>demba-d-116780</t>
  </si>
  <si>
    <t>Devis rapide effectué sur internet, personnel réactif et très sympathique au téléphone, souscription rapide et bon rapport qualité prix. Carte verte provisoire envoyée rapidement</t>
  </si>
  <si>
    <t>11/06/2021</t>
  </si>
  <si>
    <t>sylvie-k-130026</t>
  </si>
  <si>
    <t>je découvre le site, il faut un peu de temps pour le prendre en main. Agréable a regarder, les couleurs sont un plus.
Cela ne remplace pas le contact physique avec le conseiller mais ça aide bien au quotidien</t>
  </si>
  <si>
    <t>guillemette-e-117217</t>
  </si>
  <si>
    <t xml:space="preserve">Je suis satisfaite de l accessibilité  du site,  ainsi que de l acceuil téléphonique.  Le tarif me convient. J espère trouver au tant d efficacité par la suite si nécessaire. </t>
  </si>
  <si>
    <t>16/06/2021</t>
  </si>
  <si>
    <t>azzedine-b-131288</t>
  </si>
  <si>
    <t xml:space="preserve">Comme d'habitude très content du service de direct assurance 
Simple et rapide pour obtenir un devis et souscrire à l'assurance. 
Vraiment top..
Je recommande fortement </t>
  </si>
  <si>
    <t>gfscoot-68839</t>
  </si>
  <si>
    <t>personnel  qui n' a pas de parole, pas de respect du client, on vous dit que votre contrat a été réactivé et vous ne recevez plus de carte verte viré comme un mal propre</t>
  </si>
  <si>
    <t>22/11/2018</t>
  </si>
  <si>
    <t>klamul-88021</t>
  </si>
  <si>
    <t>mon jeune fils a été démarché par téléphone. il n'a pas compris qui était son interlocutrice mais il a donné ses coordonnées bancaires pensant qu'il s'agissait d'un organisme d'Etat... il a reçu un courrier un mois apres. C'est là qu'il a compris ce qui s'etait passé mais comme il n'avait rien signé il ne s'est pas inquiété.Il se retrouve avec des prelemevents mensuels depuis 3 mois mais il n'a pas de revenus!!!! C'est moi qui paie sa mutuelle à une autre compagnie. Je suis ecoeurée par ces façons de procéder et je ne sais pas comment résilier car pas d'information autre que NEOLIANE. Si quelqu'un à une idée, je suis preneuse.</t>
  </si>
  <si>
    <t>06/03/2020</t>
  </si>
  <si>
    <t>marcel-62769</t>
  </si>
  <si>
    <t>hier le 27 mars à 14h35 mon mari appelle pour déclarer un sinistre .</t>
  </si>
  <si>
    <t>29/03/2018</t>
  </si>
  <si>
    <t>didierd-104263</t>
  </si>
  <si>
    <t>J'ai été contacté par téléphone , et je m'en veut terriblement , car mes remboursements sont ridicules , ça me coute très cher . Je vais dénoncer cette assurance , car impossible d'avoir un conseiller , aucune réponse à mes mails ?  Faites attention quand vous êtes démarché par téléphone !!J'ai essayé a plusieurs reprises de téléphoner à la personne qui m'avait démarché , il ne réponds jamais !
 Maintenant j'ai pris rendez vous avec un autre assureur qui a pignon sur rue !!</t>
  </si>
  <si>
    <t>francois-f-106303</t>
  </si>
  <si>
    <t xml:space="preserve">On m'a dit que le contrat pour ma TWINGO n'était pas négociable maigres le maximum de 1500km/AN 
Je suis dans l'obligation d'aller chez la concurrence </t>
  </si>
  <si>
    <t>11/03/2021</t>
  </si>
  <si>
    <t>nathalie-g-116567</t>
  </si>
  <si>
    <t>Je suis très satisfaite de l’accueil et des conseils obtenus lors de mon appel pour un sinistre. Notre espace personnel est très simple d'utilisation. Les prix et garanties sont très intéressants.</t>
  </si>
  <si>
    <t>jean-marc-k-128615</t>
  </si>
  <si>
    <t xml:space="preserve">Satisfait du service client . Les réponses fournies par la conseillère n'ont été très claires . 
Les tarifs de AMV sont très compétitifs par rapport aux différentes compagnies d'assurances consultées . 
Merci .  </t>
  </si>
  <si>
    <t>lobsang-jampa--k-129497</t>
  </si>
  <si>
    <t xml:space="preserve">Je suis satisfait pour la prix d’assurance.Je vais partager l’assurance pour tous les mes amis qui va acheter une voiture ou déjà avec de voiture.Je remercie </t>
  </si>
  <si>
    <t>25/08/2021</t>
  </si>
  <si>
    <t>leromain-65753</t>
  </si>
  <si>
    <t>AXA internet à éviter a tout prix un vrai gouffre a problème .
personnels incompétents, j'ai souscris mon assurances chez eux depuis 45 jours a peine, et j'ai toujours pas reçue la carte verte, j'appel plusieurs fois le service client 0970809070, je leur explique la situation, ils me répondent que c'est la poste qui est en tort. aujourd’hui même je les appelles pour me fournir une attestation d'assurance car je pars on voyage à l'étranger, l'hôtesse me répond qu'elle peut m'envoyer seulement une attestation pour l’Europe et qu'elle me servira à rien pour l'étranger. je lui demande de me trouver une solution elle me dit j'ai qu'a résilier le contrat et partir chez une autre agence et comme quoi elle ne peut pas me fournir un justificatif pour ma voiture . je sais plus quoi faire je suis perdu.</t>
  </si>
  <si>
    <t>25/07/2018</t>
  </si>
  <si>
    <t>fernandez-79644</t>
  </si>
  <si>
    <t xml:space="preserve">Les tarifs sont attrayants certes mais sans parler du très bon accueil de Rali qui a été plus que satisfaisant et qui a su répondre à mes demandes, je ne suis absolument pas satisfaite des délais de réponses extrêmement longs concernant n'importe quelles demandes faites via leur site! C'est inadmissible de devoir attendre 3 semaines pour une réponse à un devis optique! Le fait aussi de recevoir les relevés de remboursements tous les 3 mois, du jamais vu pour moi! Le refus d'un remboursement (50 euros annuel) pour une visite chez le podologue après avoir jouer sur les termes inscrit sur l'ordonnance et transmise par la sécurité sociale pour ne procéder à celui-ci! </t>
  </si>
  <si>
    <t>alexis--j-133837</t>
  </si>
  <si>
    <t xml:space="preserve">Je suis satisfait  du service direct assurance et du prix satisfaisant je pense appeler le service pour assurer d’autre véhicule pour mon foyer je vous remercie </t>
  </si>
  <si>
    <t>benouadah-n-126269</t>
  </si>
  <si>
    <t>L'opératrice téléphonique qui s'est occupé de mon dossier était très gentille et efficace. Je recommanderai votre assurance à mes collègues et amis, avec le parrainage c'est très interessant.
Merci</t>
  </si>
  <si>
    <t>plg1-77941</t>
  </si>
  <si>
    <t>Une assurance classique, qui cherche à ne pas indemniser ses clients.</t>
  </si>
  <si>
    <t>26/07/2019</t>
  </si>
  <si>
    <t>maria-alice-m-107951</t>
  </si>
  <si>
    <t>assureur raisonnable et honnête, avec tout ce qu'on trouve sur le marché il reste abordable et surtout on a un service client, qu'une fois qu'on explique les choses règle plutôt rapidement, je ne peut pas me prononcer sur les sinistres car j'en ai jamais eu.  mon avis est sur l'ouverture, résiliation et réouverture de contrat.</t>
  </si>
  <si>
    <t>germe-l-113351</t>
  </si>
  <si>
    <t xml:space="preserve">JE SUIS SATISFAITE 
LES PRIX ME CONVIENNENT 
SIMPLE ET PRATIQUE 
JE CONSEILLE CETTE ASSURANCE A TOUT LE MONDE 
UN SERVICE CLIENT TRES A L'ECOUTE 
MERCI </t>
  </si>
  <si>
    <t>11/05/2021</t>
  </si>
  <si>
    <t>n-m--109595</t>
  </si>
  <si>
    <t xml:space="preserve">Pour l'instant, je ne peux que juger de la qualité du site internet et du prix. Le site est intuitif, c'est appréciable. La signature électronique est facile, c'est appréciable. Le prix, un peu élevé au vu de la valeur du véhicule mais bon, j'ai déjà vu pire. </t>
  </si>
  <si>
    <t>maxou-106668</t>
  </si>
  <si>
    <t xml:space="preserve">Depuis plus de 10 ans, j'ai eu toujours des réponses rapides et expliquées, les modifications de contrat sont sans problême, ils sont à l'écoute, les prix trés compétitifs en plus. </t>
  </si>
  <si>
    <t>ayhan-u-110496</t>
  </si>
  <si>
    <t>Je suis très satisfait du service client DA.
J'ai eu Samah au téléphone pour un problème technique que j'avais depuis quelques jours. Elle a été à l'écoute et patiente tout au long de notre échange et m'a surtout réglé mon problème.</t>
  </si>
  <si>
    <t>bonjour33-94433</t>
  </si>
  <si>
    <t xml:space="preserve">Bonjour 
Je suis bénéficiaire d'une assurance vie,
Le dossier est complet et la personne qui s'en occupe me dit que ça va être long (2-3 mois) , or sur le site service public.fr je lis que l'assureur a un mois maximum...
Voici le lien 
https://www.service-public.fr/particuliers/vosdroits/F15269
</t>
  </si>
  <si>
    <t>17/07/2020</t>
  </si>
  <si>
    <t>christophe-d-131600</t>
  </si>
  <si>
    <t>Suis. Satisfait du service et les prix attractifs et espérons qu en cas de problème je serais aussi satisfait et que les prix n augmente pas et le bonus 50 reste à vie je l espère bonne continuation à vous merci</t>
  </si>
  <si>
    <t>06/09/2021</t>
  </si>
  <si>
    <t>antoine33-55762</t>
  </si>
  <si>
    <t xml:space="preserve">A FUIR ! Des prix d'entrées très bas et des augmentations carabinées d'une année sur l'autre au niveau de l'échéancier annuel. En 3 ans, mon contrat a ainsi augmenté de... 65 % alors que je n'ai eu aucun sinistre à déplorer. Voilà comment cette société récompense les bons conducteurs. </t>
  </si>
  <si>
    <t>09/07/2018</t>
  </si>
  <si>
    <t>jbou-32858</t>
  </si>
  <si>
    <t>assurance très chère (20% d'augmentation cette année, injustifiable et injustifiée)
gestion des sinistres peu efficace et archaïque: le gestionnaire écrit et attends! pendant ce temps là, vous êtes invité à faire l'avance de la franchise alors que vous n'êtes pas responsable.
Par ailleurs, le site ne permet pas d'avoir d'infos sur l'état d'avancement d'un sinistre</t>
  </si>
  <si>
    <t>soniat-100800</t>
  </si>
  <si>
    <t xml:space="preserve">Cela fait deux années que je suis contacté par ce courtier de Mutuelle, et à chaque fois la relation est très désagréable. J'ai fait plusieurs demandes de devis de mutuelles, toutes n'insistent pas si vous déclinez leur offre sauf les conseillères Santiane qui vous expliquent que elles seules savent ce qui est le mieux pour vous, que vous n'y connaissez rien, à chaque fois il faut monter le ton pour que la conseillère vous lâche et ce quelle que soit la conseillère, c'est visiblement une stratégie de démarchage dans cette société. De plus elles n'hésitent pas à vous donner des arguments mensongers sur les autres mutuelles.
Ce courtier est caché derrière des comparateurs de mutuelle qui vous demandent vos coordonnées et vous rappelle très rapidement, cette année j'avais mis un mauvais numéro de téléphone et très bizarrement ils m'ont rappelé, bien que je n'ai jamais été client chez Santiane, que je n'ai jamais rien signé pour qu'il conserve mes coordonnées, ils les ont gardé pendant un an suite à la demande d'un comparateur, RGPD ils ne doivent pas connaître.
Leurs démarches commerciales si agressives agissent sur moi comme un répulsif.
</t>
  </si>
  <si>
    <t>30/11/2020</t>
  </si>
  <si>
    <t>jluc-59944</t>
  </si>
  <si>
    <t>Assuré depuis 15 ans environ chez Eurofil (habitat et auto) j'ai reçu fin décembre un courrier me signifiant la non reconduction de mon contrat. Cette année 2017, j'ai connu un bris de glace (caillou ayant percuté le pare brise avant) et j'ai aussi croisé un marcassin la nuit... Cela n'explique pas le courrier très impersonnel et ne précisant aucunement les motifs de cette radiation... Je suis actuellement en contact avec l'ACAM afin d'obtenir les informations qu'Eurofil a obligation de me communiquer et surtout pour ne plus avoir à faire à eux !!!</t>
  </si>
  <si>
    <t>25/12/2017</t>
  </si>
  <si>
    <t>caroline-m-108170</t>
  </si>
  <si>
    <t xml:space="preserve">tres mécontente du service de tout!! delais trop long prise en charge incorrect trop d'échanges téléphoniques trop d'interlocuteurs trop de temps perdu sur des choses simples et rapides </t>
  </si>
  <si>
    <t>26/03/2021</t>
  </si>
  <si>
    <t>manny-71039</t>
  </si>
  <si>
    <t>À fuir absolument. Cette assurance attire ses clients avec des prix compétitifs, mais les vole ensuite avec des coûts supplémentaires dûs à des rejets de documents. Ils ont une gestion très mauvaise et un personnel incompétent. De plus ces complications sont à distance très difficiles à résoudre et elles sont accentuées par un numéro de téléphone à 80 cts par minute. 
Ils m'ont résilié sans préavis 2 fois. La première car il me manquait un relevé d'information sur 36 mois, alors que je n'avais la voiture que depuis 24 mois. La deuxième fois car je n'ai pas envoyé de justificatif du deuxième conducteur, alors que ma compagne n'a pas le permis de conduire. Véridique.
Rien de positif du tout, c'est même incroyable qu'une telle compagnie puisse agir librement de la sorte, sans une réglementation plus stricte au niveau du respect du client. Je précise que je n'ai jamais eu un seul accident et ai toujours été un bon client pour les assurances.</t>
  </si>
  <si>
    <t>07/02/2019</t>
  </si>
  <si>
    <t>gregoryetline-50831</t>
  </si>
  <si>
    <t>Nous ne sommes à la MACIF que depuis le mois d'avril 2016, mais cela nous a changé de notre précédente assurance habitation. Le service client est très réactif et semble vraiment à notre écoute.</t>
  </si>
  <si>
    <t>thierry-53942</t>
  </si>
  <si>
    <t>conteste l'effraction électronique des véhicules</t>
  </si>
  <si>
    <t>bertrand-jeanbart-96275</t>
  </si>
  <si>
    <t>dans l’assurance vie de ma sœur il y’a une erreur de votre part.en fin décembre 2017 et il y avait 35996€ sur son assurance vie donc fin 2019 on ne peut pas être à 36000et quelques €.où sont les résultats 2018 et2019?contrat numéro :16732950 jean-bart marguerite contrat AFER</t>
  </si>
  <si>
    <t>13/08/2020</t>
  </si>
  <si>
    <t>bbonic33-86263</t>
  </si>
  <si>
    <t xml:space="preserve">Cette assurance est à éviter. Je ne suis pas du genre difficile, je n'ai que rarement des sinistres (1 accrochage en 12 ans) et j'ai pas mal de véhicules... Je suis ce qu'on pourrait dire un bon client. Donc vous pouvez me croire, il faut passer son chemin. Si vous souhaitez mettre en pause un contrat car votre véhicule est en réparation longue durée  (restauration par exemple), vous ne pourrez pas. Ils vous oblige à faire une procédure de retrait de la circulation qui annulera votre carte grise... Plus fort, lorsque vous vendez votre véhicule, il ne vous rembourse pas le restant de la cotisation, ils mettent en pause votre assurance et vous demandent un courrier postal avec AR. Pratiques déloyales ! Leur service après-vente est formé à répondre avec un ton mielleux, dont l'objectif est de vous empêcher de partir. Ayant eu d'autres griefs à leur encontre j'ai pris la décision de tout résilier chez eux, mes contrats et ceux de toute ma famille... et vous savez quoi j'ai trouvé beaucoup mieux ailleurs, moins cher et avec des garanties bien supérieures qui ne vous lâcheront pas quand vous en avez besoin... </t>
  </si>
  <si>
    <t>nogognale-t-126709</t>
  </si>
  <si>
    <t>C’est Bien c pas mal mais c’est dommage qu’il faut payer en avance 3 mois car je trouve que sa fait beaucoup d’un coup . En espérant que sa change un jours</t>
  </si>
  <si>
    <t>joe-89429</t>
  </si>
  <si>
    <t>Je suis chez metlife depuis des années et j'ai envoyé 2 mails a dip@metlife.fr  sans aucune réponse depuis le 10 avril 2020 A quand une réponse ? surtout que j'ai 4 prélèvements qui se font pour la même maison depuis 2013</t>
  </si>
  <si>
    <t>MetLife</t>
  </si>
  <si>
    <t>metrop-m-126275</t>
  </si>
  <si>
    <t>je suis satisfaite de la prise en charge de ma demande 
petit inconvénient les frais de dossier à trente six euros ce qui me parait un peu élevé
Le contacte téléphonique est très bien</t>
  </si>
  <si>
    <t>dubois-b-117487</t>
  </si>
  <si>
    <t>Je suis très satisfaite.
La personne que j'ai eu au téléphone était très aimable et professionnelle.
Les prix sont plus que corrects, je fais une économie de plus de 700 € par rapport à mon ancienne assurance.</t>
  </si>
  <si>
    <t>pagou-99364</t>
  </si>
  <si>
    <t>Excellent côté prix
Lamentable côté satisfaction lorsqu'il y a un sinistre habitation...
Dégât des eaux placo complètement gondolé.
Devis de 1800€ pas déconnant.
L'expert compte 250€ pour tout changer c'est du foutage de gueule...(sans parler des jugements de valeurs côté expert)</t>
  </si>
  <si>
    <t>29/10/2020</t>
  </si>
  <si>
    <t>houmari-amed-a-110616</t>
  </si>
  <si>
    <t>je suis satisfait.de la rapidité de réponse de ce que je vous ai demandé . J'espère que je recevrai prochainement l'attestation que j'ai demandée. très satisfait.</t>
  </si>
  <si>
    <t>amari-s-112306</t>
  </si>
  <si>
    <t>Je suis satisfait de vos prestations mais j aimerais que le prélèvement mensuel se fasse le 10 de chaque mois comme je l avais précisé au telephone avec votre conseillère et non le 4 comme marqué dans le contrat merci</t>
  </si>
  <si>
    <t>nono0611-64975</t>
  </si>
  <si>
    <t>mutelle imposée par la Region ile de France assuré depuis - de 6 mois j'y ai lassé plus de 400€ en depassement d'honoraires  pourtant j'avais choisi le plus haut tafif proposé  a fuir !!!!!!!</t>
  </si>
  <si>
    <t>21/06/2018</t>
  </si>
  <si>
    <t>daviaud-c-110926</t>
  </si>
  <si>
    <t>Je suis particulièrement satisfaite de votre service. Le type d'offre que vous proposez me convient parfaitement. J'espère que ce contrat s'étendra sur un long terme.</t>
  </si>
  <si>
    <t>19/04/2021</t>
  </si>
  <si>
    <t>mt07-58016</t>
  </si>
  <si>
    <t xml:space="preserve">en un mot quand tout va bien RAS 
après au moindre pépin ça devient très compliqué un véritable combat s'engage même quand ont vous n'êtes pas responsable!! et en tout risque
du vécu pour m'a part
amis motard ou scootiste un conseil passez votre chemins  
</t>
  </si>
  <si>
    <t>12/10/2017</t>
  </si>
  <si>
    <t>atchoum-49975</t>
  </si>
  <si>
    <t xml:space="preserve">Besoin de contacter l'assurance facilement? Impossible... Par téléphone, c'est minimum une heure de boîte vocale avant de tomber sur quelqu'un... Donc si vous avez peu de temps pour gérer les problèmes qui nécessitent d'être en relation avec une vraie personne, vous pouvez oublier. Les contacter par mail? Vous pouvez aussi oublier... C'est la grosse galère. J'ai pris cette assurance parce que son rapport qualité prix semblait alléchant. Pour les démarches routinières, ça passe, en ligne, ça se fait effectivement assez facilement. Pour le reste, préparez vous à vous arracher les cheveux.  </t>
  </si>
  <si>
    <t>thierry-d-129776</t>
  </si>
  <si>
    <t>satisfait du service , pris tout risque basique tres bien mais option un peu chere pour -50km et pret de voiture , j'aurai preferé ne pas prendre un pack pour acceder a une seule des options ( + choix des durées de pret en cas de soucis )</t>
  </si>
  <si>
    <t>hwilliot-60121</t>
  </si>
  <si>
    <t>J'ai retrouvé mon scooter couché sur le flanc droit. AMV est en train de m'expliquer que c'est un accident de circulation et que donc j'ai fait une fausse déclaration. Bon, le pare choc avant, la poignée n'ont aucun impact parce que durant cet accident de circulation, j'ai fait très attention en tombant à ne pas trop faire de choc !!! J'ai enfin réussi à les joindre au téléphone - et ce n'est pas facile - et ils me disent ne pas avoir de photo pour leur jugement. Au secours !!!! C'est quoi cet assureur ? A éviter ......</t>
  </si>
  <si>
    <t>03/01/2018</t>
  </si>
  <si>
    <t>ouassini-k-109590</t>
  </si>
  <si>
    <t xml:space="preserve">je suis satstfait de ce contrat d'assurance automobile de moi 
je recommanderai cet etablissement pour mes amis encore des caracteres de pas possible </t>
  </si>
  <si>
    <t>aucun-85455</t>
  </si>
  <si>
    <t>Je déconseille très fortement cette organisme, suite au décès d'un assuré il y a de ça presque trois mois et après une quantité de paperasses à fournir, ce qui pour ma part est bien trop complexe pour une personne âgée et de plus ayant perdu un être cher. Aucune communication de leur part concernant le versement du capital après plusieurs appels téléphoniques, des retours totalement divergents entre chaque conseiller clientèle. Aucun retour écrit afin de pas avoir à ce justifier. Chacun des interlocuteurs donne des réponses incohérentes. Soit-disant dossier complet depuis presque 1 mois, comme la loi leur permet ils disposent d'un délai d'un mois pour procéder au règlement des fonds passés ce délai des intérêts  supplémentaire peuvent être demander. Si cela doit arriver, il n'y auras aucune hésitation à faire intervenir le service compétent.</t>
  </si>
  <si>
    <t>04/01/2020</t>
  </si>
  <si>
    <t>raoultoujours-104555</t>
  </si>
  <si>
    <t>Depuis longtemps assuré pour mes motos à cette mutuelle. J'ai eu des accrochages avec des automobilistes, je suis tombé en panne, j'ai eu des démêlés avec un concessionnaire peu scrupuleux et peu respectueux. A chaque fois ils ont répondu 'présent' et ont fait le nécessaire avec professionnalisme.
Je conseille aux motards de se déplacer et d'éviter les simulations web qui sont loin d'être la réalité les concernant !
Je recommande donc cette mutuelle d'assurance sans hésitation ! Ha oui, au fait j'ai mon permis A3 depuis 1982 ! 
V</t>
  </si>
  <si>
    <t>afmartel12-59889</t>
  </si>
  <si>
    <t>J'ai eu un sinistre chez moi. Un voisin a défonce une partie de ma propriété en faisant ses travaux. La MAAF a refuse que l'entreprise de mon voisin repare les degats causes. Ils ont ensuite refusé de prendre en charge ses travaux....me suis retrouvé ''le bec dans l'eau''. Depuis 6mois maintenant avec des trous sut mon passage. 
J'ai souhaite résilier et en plus ils n'ont pas souscrit a ma demande.</t>
  </si>
  <si>
    <t>depuis--138906</t>
  </si>
  <si>
    <t xml:space="preserve">La matmut est une assurance qui trouve toujours des excuses quand on a besoin d’eux uniquement pour pas nous indemniser je trouve ça honteux ! quand il s’agit de nous facturer vous pouvez me croire qu’il ne vous oublie pas par contre </t>
  </si>
  <si>
    <t>04/11/2021</t>
  </si>
  <si>
    <t>lino-g-117042</t>
  </si>
  <si>
    <t xml:space="preserve">Je suis satisfait simple et rapide 
Tarif très intéressant site très facile a suivre très fonctionnel bravo pour votre professionnalisme 
cordialement lino geraci </t>
  </si>
  <si>
    <t>alain-k-116417</t>
  </si>
  <si>
    <t>je suis satisfait du service
comment savoir les garagiste agrée de notre assurance
comment réclamer mon parrainage de ma deuxième voiture vue avec le conseil pour une offre de 40euros</t>
  </si>
  <si>
    <t>renaud-c-106165</t>
  </si>
  <si>
    <t xml:space="preserve">J'ai quitté  direct assurance à cause des tarifs plus élevés qu'ailleurs, malgré le fait que j'étais assuré chez vous depuis longtemps. J'ai trouvé une assurance presque 300€ moins chère 
</t>
  </si>
  <si>
    <t>eleonore-r-115946</t>
  </si>
  <si>
    <t>Je suis satisfaite du service de l'interlocutrice au téléphone, ainsi que de vos tarifs et la fluidité pour accepter le devis.
Je vous remercie pour votre prestation.</t>
  </si>
  <si>
    <t>basque-105744</t>
  </si>
  <si>
    <t xml:space="preserve">Depuis plus de trente ans je suis  adhérent à la M.G.P, je n'ai aucun reproche à formuler à cet organisme, bien au contraire. Je suis très satisfait des prestations et de l'accueil téléphonique de la mutuelle, ainsi que des informations données parles interlocutrices, lors des différentes conversations téléphoniques . CONTINUEZ à agir de cette façon! - Merci pour votre lecture ! --    </t>
  </si>
  <si>
    <t>570020-138871</t>
  </si>
  <si>
    <t>Très bien reçu et renseigné par Emeline.
réponse de professionnelle avec sérieux et politesse
Temps d'attente très correct.
Je suis un nouvel adhérent.
cordialement</t>
  </si>
  <si>
    <t>al-66323</t>
  </si>
  <si>
    <t xml:space="preserve">temps de remboursement trop long , trop procédurier , à la limite de la mauvaise foi </t>
  </si>
  <si>
    <t>22/08/2018</t>
  </si>
  <si>
    <t>less-78634</t>
  </si>
  <si>
    <t>A fuir!!!!!!</t>
  </si>
  <si>
    <t>achraf-d-133053</t>
  </si>
  <si>
    <t xml:space="preserve">Je suis satisfait du service et les prix me conviennent et c'est simple et efficaces.
je recommande cette assurances a tous les conducteurs qui ont un petite budget </t>
  </si>
  <si>
    <t>16/09/2021</t>
  </si>
  <si>
    <t>elodie7423-72127</t>
  </si>
  <si>
    <t xml:space="preserve">jétait très satisfaite  au premier contacte mais malheureusement cela n'a pas duré
J'ai pris une formule Premium ce qui n'est pas la formule la plus bas lors de la souscription du contrat j'ai posé beaucoup de questions
J'ai dû emmener mon chien chez le vétérinaire suite à un accident car moi j’appelle ça comme cela  en jouant avec un autre chien mon chien c'est fait mal à la patte et bien non pas pour eu c'est du grand n'importe quoi alors qu a la souscription du contrat la personne ma énuméré plusieurs cas qui sont semblable à mon cas Du coup il ne souhaite pas me remboursé car en plus je ne peux pas leur fournir de preuve cette assurance Dommage que je n'ai pas vu les autre commentaire négatif avant de souscrire
</t>
  </si>
  <si>
    <t>13/03/2019</t>
  </si>
  <si>
    <t>larmoni-77922</t>
  </si>
  <si>
    <t>client depuis cinquante ans je découvre que les garanties souscrites ne sont pas appliquées à mon sinistre catastrophe naturelle. Pas de réponse à ma réclamation genre mépris du client .. la vraie caricature du mauvais assureur</t>
  </si>
  <si>
    <t>raymond-b-110598</t>
  </si>
  <si>
    <t>je suis satisfait du service,je suis satisfait du prix, j'espère que tout se passe bien, j'habite Metz au 45, en fournirue, que voulez vous que je vous dise de plus</t>
  </si>
  <si>
    <t>sabine1-90420</t>
  </si>
  <si>
    <t xml:space="preserve">En cas de problème non identifié sur contrat, ils ne répondent pas aux Rar, et mettent un certain temps pour répondre aux e-mails, ne  prennent pas le temps de lire les contrats, ce n'est jamais les mêmes personnes qui répondent au téléphone quels que soient les contrats, pas de conseils en cas de problèmes. </t>
  </si>
  <si>
    <t>10/06/2020</t>
  </si>
  <si>
    <t>emoreau1211-63054</t>
  </si>
  <si>
    <t>Lors de l'achat d'une nouvelle moto, je me suis rendu dans les bureaux de la MACIF. La moto étant neuve, je voulais une assurance tous risques. Les garanties maxi des contrats MACIF ne le permettant pas, il m'a été proposé une assurance classique + une assurance accidents de la vie, incluant une assurance corporelle du conducteur, présentée comme obligatoire. Elle comprenait aussi une protection familiale couvrant chaque membre de mon foyer (je vis seul).
À l'issue du premier anniversaire du contrat, je l’ai réexaminé et me suis rendu compte qu'il n'était pas très économique et que je pouvais trouver significativement mieux ailleurs. J'ai donc résilié.
Un an et demi plus tard, j'ai reçu un courrier de la MACIF m'informant du renouvellement de mon contrat accident de la vie. En consultant mes comptes, j'ai découvert avec surprise que je continuais à être prélevé d'un peu plus de 8 euros tous les mois.
Après investigation, je me suis rendu compte que la MACIF avait dissocié les deux contrats. Elle s'arrange aussi pour qu'ils ne se terminent pas en même temps (l'un est calqué sur l'année civile et se termine au 31/12, l'autre est établi pour une durée d'un an et ne peut être résilié qu’à l’issue de chaque échéance annuelle après la première année (contrairement à l’assurance moto qui peut être résiliée à tout moment au bout d’un an). Ça permet à l'assurance, dans le pire des cas (pour elle) de gagner quelques mois de cotisations. Dans le meilleur des cas, elle peut continuer à prélever pendant des années les comptes des assurés qui comme moi ne sont pas assez attentifs.
En effet, lorsque j'ai résilié mon assurance, je n'ai pas pensé que j'avais deux contrats dissociés et que j'aurais dû aussi résilier la garantie accident de la vie, dont la période annuelle s'achevait quelques mois plus tard, à l'échéance. N'ayant pas reçu d’avis me rappelant  le renouvellement du contrat il y a un an, je ne suis rendu compte de rien. Ce n'est qu'à la réception de celui de cette année, il y a un peu plus d'un mois, que me suis rendu compte que je continuais à payer.
L'histoire ne s'arrête pas là : le week end suivant la réception du courrier, soit le 3 mars, j'ai envoyé un recommandé à la MACIF pour lui expliquer la situation et lui demander l'annulation du contrat et le remboursement des sommes perçues depuis un an. En consultant les articles mentionnés sur l’avis d’échéance, je me suis aperçu que je pouvais résilier jusqu'au dernier jour du mois de février, ou, si je ne souhaitais pas reconduire le contrat, que j'avais 20 jours suivant l'envoi (et non la réception) de l’avis, cachet de la poste faisant foi, qui par ailleurs n'est pas daté, pour le faire ! En pratique, l’avis a été déposé dans ma boite aux lettres le 27 ou 28 février. Ayant jeté l'enveloppe immédiatement, je ne sais pas s'il s'agit de lenteurs de la poste ou d'un envoi tardif de la MACIF. 
Par ailleurs, en reprenant mon contrat, j'ai pu vérifier qu'il était référencé comme "Option 6 - Essentielle". Comment une option peut elle perdurer alors que le contrat de base a été résilié ?
Le courrier recommandé que j’ai envoyé le 3 mars à la MACIF pour demander l’annulation du contrat et le remboursement des sommes prélevées au titre de l’année précédente n’a pas  semblé retenir son attention, puisque je n’ai reçu aucune réponse à ce jour 8 avril. En consultant mon compte, j’ai pu constater que l’échéance du mois d’avril avait été prélevée le 5.
Je suis donc reparti pour une année de cotisations. Les courriers en simple n’ayant aucune valeur juridique et la MACIF étant pour le moins floue dans sa façon de procéder, je ne devrais cependant pas avoir trop de difficultés à me faire rembourser et à obtenir l’annulation de la reconduction du contrat. Je vais juste devoir faire preuve de patience et de persévérance si je dois épuiser tous les recours habituels (assistance par l’UFC, conciliateur / médiateur, tribunal administratif).
J’ai d’ores et déjà déposé un signalement détaillé auprès de la DGCCRF. Quoiqu’il en soit, la MACIF ne fait pas preuve d’une grande intelligence en se privant définitivement du retour possible d’un client dont le bonus est de 50 % depuis 3 ans. Il est manifestement plus lucratif de considérer ses sociétaires dans leur ensemble comme des vaches à lait. Ou peut-être ses contrats ne sont-ils pas aussi intéressants que le satisfecit qu’elle s’attribue en introduction de l’avis que j’ai reçu.</t>
  </si>
  <si>
    <t>08/04/2018</t>
  </si>
  <si>
    <t>morgane21-57643</t>
  </si>
  <si>
    <t>Active Assurance...... Par où commencer?? Complétement incompétent . JE VOUS DÉCONSEILLE VIVEMENT DE SOUSCRIRE CHEZ EUX ! Je reçois des mails qui ne me sont pas adressés avec toutes les informations personnelles de leurs clients, ma C3 est assurée depuis plus d'un mois chez un autre assureur mais active assurance bloque tout, malgré des recommandés en citant la loi Hamon (donc malgré la loi) et en plus je suis prélevée !!!!
 J'ai eu deux sinistres dont je n'étais pas responsable, bien au contraire, et bien il valait peut-être mieux l'être parce qu'ils ne prennent rien en charge car ils n'ont pas assez de preuves..... oui oui ! (Malgré un dépôt de plainte, deux témoins et des photos, ils osent me dire qu'ils n'ont pas de preuve, alors attention si vous avez un accident et que vous n'êtes pas en tord pensez bien a anticiper votre accident et filmer la scène.... C'est un peu ce qu'ils essaient de nous faire comprendre, ça en devient limite drôle tellement c'est énorme !) 
Les mails que je reçois sont remplis de fautes d'orthographe et de symboles très bizarres, peut-être veulent-ils dire quelque chose mais je n'ai pas encore réussi à décoder... Bref inadmissible fuyez cette assurance !</t>
  </si>
  <si>
    <t>27/09/2017</t>
  </si>
  <si>
    <t>moix-j-115022</t>
  </si>
  <si>
    <t>Service simple et pratique. Prix abordables et dans la fourchette inférieure du marché. Les conseillers téléphoniques sont très aimables et compétents</t>
  </si>
  <si>
    <t>olivier2a-97573</t>
  </si>
  <si>
    <t>Il faut toujours essayer de rester objectif, mais parfois cela est complique.
Même si je peux arriver à comprendre beaucoup de chose, la pilule à du mal à passer !
Mon épouse s'est fait percuter par un véhicule qui sortait du parking d'un bar (choc sur la porte avant droite d'une FIAT 500) ce qui a eu pour effet de déplacer la voiture.
Le conducteur a fait marche arrière et pris la fuite.
Nous avons fait une déclaration, avec un constat et le numéro du véhicule du tiers.
AXA prend bien en charge (nous sommes TOUT risque) sauf qu'il faut avancer les frais qui nous serons rembourser SI le conducteur est retrouvé et qu'il reconnait les faits.
Alors faisons simple, SOYONS DELINQUANT ca coûte moins cher.
Encore un assureur qui regarde son porte monnaie et pas ses clients (qui le font vivre)</t>
  </si>
  <si>
    <t>guegan-l-111401</t>
  </si>
  <si>
    <t xml:space="preserve">Très satisfait de la qualité de la prise en charge téléphonique lors de mes démarches. Interlocutrice claire, précise et disponible pour répondre à toutes mes questions. c'est un bon début, espérons que la qualité de la relation se poursuive avec le temps. </t>
  </si>
  <si>
    <t>crotti-l-123891</t>
  </si>
  <si>
    <t xml:space="preserve">Je suis très satisfaite des prix et de l’accueil téléphonique. 
Devis et adhésion très rapides. Envoi de la Carte Verte très rapide aussi. 
Je pense souscrire à l’assurance Habitation. </t>
  </si>
  <si>
    <t>mamie-t-127353</t>
  </si>
  <si>
    <t>L; accueil téléphonique parfait. Conseiller clientèle très agréable et qui a répondu à mes demandes très clairement.
Je recommande aussi pour les tarifs.</t>
  </si>
  <si>
    <t>tedy-8041</t>
  </si>
  <si>
    <t>Client actuel pour l auto et l habitation, je suis passé par un prestataire pour un bris de glace. Il n y a eu aucun problème tout a été pris en charge sans que j ai à intervenir.</t>
  </si>
  <si>
    <t>28/05/2017</t>
  </si>
  <si>
    <t>vivy143-79662</t>
  </si>
  <si>
    <t>Rien à dire... tout me semble correct! Facile à contacter, très compréhensible</t>
  </si>
  <si>
    <t>02/10/2019</t>
  </si>
  <si>
    <t>rubens-133021</t>
  </si>
  <si>
    <t xml:space="preserve">Notre grand mère est décédée le7 février 2021, depuis cette date notre notaire a transmis les infos à Allianz, nous avons écrit 7 emails à 5 personnes/services différents, téléphoné à 3 reprises pour chaque fois avoir un autre conseiller qui nous conseille différemment, reçu 4 courriers contradictoires…. Et en attendant le montant qui doit nous revenir est toujours bloqué. Je n ose pas imaginer le nombre de familles qui abandonnent devant une telle complexité. Est ce fait exprès????
</t>
  </si>
  <si>
    <t>rebelle06-66915</t>
  </si>
  <si>
    <t>Agence VALLEE - RAVA à Nice</t>
  </si>
  <si>
    <t>17/09/2018</t>
  </si>
  <si>
    <t>frederic-b-121913</t>
  </si>
  <si>
    <t xml:space="preserve">Très rapide et excellent rapport qualité-prix. Site très clair et prestations transparentes 
Très adapté pour ma petite moto 125 en usage loisir. Merci </t>
  </si>
  <si>
    <t>salut-drien-127339</t>
  </si>
  <si>
    <t xml:space="preserve">Très bon accueil. A l’écoute. Le service est plutôt de bonne qualité.
Je regrette juste qu’il faille faire un devis pour se faire faire des lunettes. </t>
  </si>
  <si>
    <t>thomas-m-123795</t>
  </si>
  <si>
    <t>les prix de l'assurance voiture chez L'Olivier sont très competitifs par rapport à d'autres assurances du marché et le systéme de parrainage est avantageux</t>
  </si>
  <si>
    <t>mancisidor-u-139106</t>
  </si>
  <si>
    <t>Suite à une série noire de sinistres et après résiliation par mon ancienne assurance auto, j'ai dû me retourner en quelques jours vers une autre assurance. Et l'olivier (qui est comme par hasard un arbre durable et rassurant) m'a offert de bonnes garanties à bon prix en passant par des démarches de souscription simples et efficaces. Merci.</t>
  </si>
  <si>
    <t>deuwel-i-119089</t>
  </si>
  <si>
    <t>Je suis satisfait du tarif appliqué mais j'ai eu un premier devis à 543 € que je n'ai pas pu valider dans la même journée parce que le site avait un problème et du coup, quand j'ai pu valider le lendemain, le tarif était à 561 €. Je ne trouve pas cela normal</t>
  </si>
  <si>
    <t>eric-h-132022</t>
  </si>
  <si>
    <t xml:space="preserve">Satisfaction totale je trouve que les prix sont abordable et je suis content de la prestation de service
Par ailleurs je recommande car très bon site </t>
  </si>
  <si>
    <t>des-eaux-trooubles-58553</t>
  </si>
  <si>
    <t>Trois fois en panne en cinq mois avec une moto de vingt ans d'age. Bonne prise en charge dans l'heure de la moto pour transport vers un concessionnaire.</t>
  </si>
  <si>
    <t>shanna77-57953</t>
  </si>
  <si>
    <t>Ayant eu 2 sinistres habitation en 4 ans je reçois des courriers simples m'avertissant de résiliation pour fin 2017 il faut noter que le fait d'appeler votre assureur pour une demande de sinistre la MAAF compte cela comme u  sinistre est ce légal???</t>
  </si>
  <si>
    <t>10/10/2017</t>
  </si>
  <si>
    <t>dyna-67025</t>
  </si>
  <si>
    <t>Pas de retour sur nos demandes malgre plusieurs relances,pas de retour sur le detail des montant,pas de d echéancier fournis,interlocuteur quasi inexistant. Assurance qui botte souvent en touche...</t>
  </si>
  <si>
    <t>21/09/2018</t>
  </si>
  <si>
    <t>tedd-54530</t>
  </si>
  <si>
    <t>Catastrophique en accident de travail depuis 6mois aucune prise en charge car ils veulent que je me face opéré or j'ai 24ans et j'ai été hospitalisé 6semaine en rééducation pour justement ne pas me faire opéré. De plus j'ai des séquelles et un handicap maintenant impossible de reprendre le travail, 2 jeunes enfants une maison à payer..</t>
  </si>
  <si>
    <t>08/05/2017</t>
  </si>
  <si>
    <t>jaco-a-122797</t>
  </si>
  <si>
    <t xml:space="preserve">Satisfait du service client et de la simplicité des démarches merci pour la prise en charge téléphonique et les différents services proposés le tarif et lui aussi très intéressant. </t>
  </si>
  <si>
    <t>08/07/2021</t>
  </si>
  <si>
    <t>jerome-p-55812</t>
  </si>
  <si>
    <t>J'ai eu un accident le 19 Mai 2017. 3 semaines plus tard AXA n'avait entrepris aucune démarche. L'expert n'était toujours pas intervenu. J'ai été obligé de les harceler pour qu'ils en envoient un. Après 7 semaines, je n'ai toujours aucun retour sur l'avancement de mon dossier. Celui-ci n'a toujours pas avancé. Le conseiller n'a apparemment toujours pas pris connaissance de mon dossier et est injoignable. Leurs conseillers téléphoniques sont tellement nombreux qu'à chaque fois que les appelle j'en ai un différent au bout du fil mais aucun n'est capable de me donner d'information sur l'avancement du dossier et me renvoient de services en services.... Assurance à éviter absolument... le prix est bas mais les services associés le sont tout autant...</t>
  </si>
  <si>
    <t>05/07/2017</t>
  </si>
  <si>
    <t>rog-114848</t>
  </si>
  <si>
    <t xml:space="preserve">bonjour déjà 5 mois avec cette assurance déçu avec les remboursement 
avoir plus tard facture a la puits mes très peu de remboursement 
a ce jour pas satisfait </t>
  </si>
  <si>
    <t>lefebvre-v-131399</t>
  </si>
  <si>
    <t>facilite, efficacite, tres rapide, simple, je recommenderais a mes amis si jamais on m parle de devoir assurer un vehicule, et aussi pour les tarifs..</t>
  </si>
  <si>
    <t>jean-michel-l-110143</t>
  </si>
  <si>
    <t>suite a ma demande de renseignements, j ai souscrit une assurance prêt immo par l intermédiaire de cette société. Rapide simple et personnels très compétant. je recommande sans hésitation.</t>
  </si>
  <si>
    <t>alves-d-133671</t>
  </si>
  <si>
    <t>je suis satisfait du service proposé et du prix , également un service client qui à été à l'écoute et très réactif à ma demande.
Je le recommanderais à des proches</t>
  </si>
  <si>
    <t>jean-yves-c-107935</t>
  </si>
  <si>
    <t xml:space="preserve">Le prix est toujours trop élevé pour celui qui paie. des erreurs sur les contrats, manque de communication avec les clients . mais quand on obtient une réponse les personnes sont très pro  </t>
  </si>
  <si>
    <t>tatiana-s-123156</t>
  </si>
  <si>
    <t xml:space="preserve">devis rapide, informations complètes 
on reçoit les infos très vite par mail  , le tarifs est attractif  
les options bien détaillées  , je recommande </t>
  </si>
  <si>
    <t>christian-c-123083</t>
  </si>
  <si>
    <t xml:space="preserve">Satisfait des prix et du service en général
je trouve que l'accès par internet n'est pas simple car il y a beaucoup de sites pirates qui s'affichent lorsque je tape "direct assurances  il faut se méfier 
</t>
  </si>
  <si>
    <t>11/07/2021</t>
  </si>
  <si>
    <t>nenno1comin-76713</t>
  </si>
  <si>
    <t>Effectivement les prix sont très attractifs.
Par contre n'ayez surtout pas à faire appel à leurs services car le jour où vous les appelez pour un sinistre soit vous n'êtes pas couvert soit la franchise est hors de prix. 
Foncez si vous êtes sur de ne jamais avoir de sinistre sinon privilégier un assureur certes plus cher mais au moins vous êtes couverts un minimum.</t>
  </si>
  <si>
    <t>rosaria-109406</t>
  </si>
  <si>
    <t>je  remercie cette personne qui grace a sa patiente ma permis de pouvoir me connecté..
cela fait plusieurs fois que j,appelle j;ai même envoyer un recommandé pour signaler mon insastisfication jusqu;a ce jour</t>
  </si>
  <si>
    <t>maried-90086</t>
  </si>
  <si>
    <t xml:space="preserve">J'ai acheté mon premier véhicule en août 2019 avec moins de 40 000km au compteur. Pour ce faire, j'ai réalisé un crédit sur 5 ans. Lors de l'acquisition, j'ai contacté l'olivier par téléphone afin de souscrire un contrat tous risques. Le conseiller m'indique que ce n'est pas possible (une histoire de plaques d'immatriculation définitives, je n'y connais rien)(les discussions sont enregistrées). Je dois alors les recontacter plus tard pour modifier mon contrat. Jeune et confiante, je prends ce que l'on me propose.
Mon véhicule a été volé lundi dernier. Je dépose plainte et contacte l'Olivier pour déclarer mon sinistre. Le conseiller m'indique que je ne suis pas assurée contre le vol. Comment est-ce possible ? Pourquoi l'olivier ne m'a jamais demandé si je voulais être assuré contre le vol? pourquoi ne m'a t on pas mis en garde sur les exclusions de garantie? N'est ce pas le travail d'un assureur professionnel : nous assurer au maximum, nous proposer les meilleurs solutions face à notre situation!
Il me semblait évident que mon véhicule était garanti en cas de tels sinistres, quand bien même il s'agissait d'un contrat d'assurance tiers. Vous imaginez que les conséquences ne sont absolument pas négligeables.
Je les ai donc contacté par mail et courrier recommandé pour souligner le défaut de conseil et de mise en garde. Voilà que l'Olivier m'offre 15 euros de frais d'avenant que j'avais réalisé pour mon changement d'adresse........ je vous laisse imaginer ce que j'en pense ! je ne compte absolument pas en rester là. Compte tenu de ma situation et des autres commentaires que j'ai pu lire, je déconseille plus que fortement cette compagnie d'assurance.
</t>
  </si>
  <si>
    <t>lys-77473</t>
  </si>
  <si>
    <t>depuis 20 ans à la MACIF, 50% de bonus, toujours remboursé et prise en charge correctement.mes enfants sont inscrits depuis leurs permis, et sans aucun problèmes malgré quelques accrochages ,toujours dépannés et renseignés sans problèmes.Je suis étonné franchement des avis négatifs.Il y a toujours moins cherchais on juge une assurance qu'en cas de problèmes, et franchement je n'ai rien à dire sur la MACIF. j'ajoute que je n'ai aucun intérêt chez eux!
on note toujours les problèmes et bien pour une fois je dis chapeau à cette assurance pour son travail sérieux.
maniement il y aura toujours des grincheux !!!</t>
  </si>
  <si>
    <t>09/07/2019</t>
  </si>
  <si>
    <t>ma2292-64707</t>
  </si>
  <si>
    <t>Bonjour, 
AXA ... quelle histoire.
J'ai souscris en février 2018 chez eux suite à un différend avec mon ancien assureur (MAIF), qui lors d'une simple demande d'information sur mes garanties m'a imputé l'existence d'un sinistre alors qu'il n'en a jamais existé. 
A ce moment là, je recevais des appels quotidiens du commercial d'AXA ! Très efficace de ce côte là !
Ainsi, lors de ma souscription chez AXA, sur mon relevé d'informations figurait un "sinistre imaginaire". AXA, m'a donc fait régler une somme correspondant à 3 mois environ d'assurance, lors de la souscription.
Ultérieurement, j'ai réussi à obtenir de la MAIF que le "sinistre imaginaire" soit ôté de mon relevé d'informations. Cela a eu pour conséquence de diminuer le montant de ma cotisation chez AXA.
AXA M'EST DONC REDEVABLE D'UN TROP PERÇU !
Le conseiller que j'ai eu en ligne à ce sujet, en février, m'a indiqué être dans l'impossibilité de procéder au changement du nombre de sinistres sur mon contrat et a crée un second, en M'ASSURANT QUE LES FONDS PAYÉS LORS DE MA SOUSCRIPTION SERAIENT TRANSFÉRÉS SUR CE NOUVEAU CONTRAT ET QU'UN CHÈQUE DE RESTITUTION DE TROP PERÇU ME SERAIT ADRESSÉ PAR VOIE POSTALE !
Or, après 5 mois et des appels quasi-quotidiens, je continue de recevoir des mises en demeure, des appels automatisés me demandant de régler ces cotisations que j'ai déjà réglées. 
Je me heurte à un mur et à des gestionnaires qui ne savent que répéter comme des moutons que cela est géré par un service qu'on ne peut pas contacter, que ce service a accumulé beaucoup de retard et qu'il est sans cesse relancé par chaque gestionnaire que j'ai en ligne.
Plus édifiant encore, un gestionnaire m'a dit qu'il était normal que je sois relancé par le service contentieux car le transfert de fonds n'est toujours pas effectué et qu'il fallait que je règle en attendant pour éviter des poursuites.
AXA m'adresse encore un courrier ce jour indiquant que "la remise en vigueur de votre contrat (sous réserve que celui-ci ne soit pas résilié) ne sera effective qu'après paiement de la totalité de vos cotisations et des frais de poursuites et recouvrement ".
AXA ME SUSPEND MES GARANTIES, AJOUTE DES FRAIS DE RECOUVREMENT ET ME MENACE DE POURSUITES ALORS QUE J'AI RÉGLÉ CES COTISATIONS ET QU'AXA ME DOIT DE L'ARGENT !
JE REGLERAIS MES COTISATIONS A VENIR LORSQUE JE SERAI ASSUREE QUE MES GARANTIES SONT EFFECTIVES, ET LORSQUE JE SAURAI CE QU’ON ME DEMANDE DE RÉGLER ! 
En attendant, je séquestrerai les cotisations ultérieures sur un autre compte ... 
Pour ne pas me soustraire à mes obligations !
Bien évidemment, pour souscrire le contrat, cela a été d'une facilité déconcertante. 
Cependant, lorsqu’il s'agit de prendre ses responsabilités et de gérer correctement le dossier, AXA se défausse, viole ses obligations et jusqu'à me menacer de poursuites ! 
J'admets que ma demande n'ait pas été traitée dans les semaines suivant ma souscription. 
Mais, 5 mois d'attente pour un simple transfert de fonds et des menaces de poursuites, il s'agit simplement d'un abus.
Je suis certaine que les encaissements de cotisation  sont réglés beaucoup plus rapidement ... étrangement ! 
Etant juriste (huissier de justice), je me désole chaque fois du fait que les assureurs abusent des petits gens et oublient qu'ils sont soumis à l'application de dispositions légales.
Tout est bon pour s’en mettre plein les poches sur le dos des assurés ! 
C’est bien triste ! 
Je vous rappelle que l'assureur également a des obligations ! Les assurés vous règlent des cotisations pour s'offrir une prestation de service qui n'est pas au rendez-vous.
Il ne suffit donc pas de prononcer des phrases toutes faites, en espérant que cela nous satisfasse. 
A défaut d'un prompt règlement de cette situation (cette semaine), j'envisage de VOUS METTRE EN DEMEURE afin d'obtenir ultérieurement votre condamnation judiciaire à la résiliation du présent contrat !
J'envisage d'obtenir cette résiliation de contrat, nonobstant la durée inférieure d'un an de celui-ci !
Quant à mes autres contrats d'assurance, je ne les souscrirais certainement pas auprès de votre compagnie.
J'espère n'avoir jamais à subir un sinistre en étant assuré par vos services, car lorsque je constate que je suis dans l'obligation de vous relancer sans cesse pour une simple question de transfert de fonds, je n'ose pas imaginer la gestion d'un sinistre. 
Osant espérer que vous ne me contraindrez pas à en arriver à de telles mesures …</t>
  </si>
  <si>
    <t>celise-81277</t>
  </si>
  <si>
    <t xml:space="preserve">cliente depuis 2007 avec 3 véhicules aucun sinistre responsable depuis cette date virée sans autre forme de proçès a la prochaine date anniversaire suite a malchance 3 bris de glace non responsable déclarés en trois ans Aucune négociation possible !! </t>
  </si>
  <si>
    <t>23/11/2019</t>
  </si>
  <si>
    <t>louis-j-138958</t>
  </si>
  <si>
    <t xml:space="preserve">Je suis satisfait du service ainsi que des prix. L'accueil est très satisfaisant. J'ai apprécié l'amabilité du consultant téléphonique. Procédure simple. </t>
  </si>
  <si>
    <t>chapalain-a-115676</t>
  </si>
  <si>
    <t>J'ai subit une panne de véhicule récemment (panne d' embrayage )  mon véhicule a été ramené à un garage et j'ai payé une facture conséquente pour rapatrier celui-ci à mon domicile 200 euros pour 50 Km : sociétaire de la GMF depuis 1974 " A voir pour suite à donner ou résiliation de mes contrats"</t>
  </si>
  <si>
    <t>justine-m-126674</t>
  </si>
  <si>
    <t>je suis satisfaite, du service et de l'accueil téléphonique ,
je recommande cette assurance, le rapport qualité / prix est très bien. 
merci a vous!!!</t>
  </si>
  <si>
    <t>molard-c-124523</t>
  </si>
  <si>
    <t>Je suis très satisfait du service et des recommandations qui mon été faite
Ils sont à l'écoute et je recommande assurance L'olivier à toutes personnes qui veulent changer d'assurance.</t>
  </si>
  <si>
    <t>jmd-69280</t>
  </si>
  <si>
    <t xml:space="preserve">Éviter d'urgence, la SO GE CAP comme toutes les filiales de la société générale. Deux ans de retard sur les payements d’une assurance vie a un bénéficiaire avec des violations de la loi et des décrets d’applications et des infos de l’administration fiscale
Ils décident arbitrairement, procédures floues et fausses informations au téléphone quand on les obtient après des longs ¼ d’heures sur la plateforme téléphonique 
Le traitement des dossiers est anarchique et calamiteux
Ils perdent les documents, ils ne reçoivent que la moitié des pièces de l’administration fiscale
Pas d’enregistrement du courrier arrivé dans cette assurance ou très mal réalisé
Non-respect des procédures 
Salariés qui vous baladent pendant des heures floues et de mauvaises foi mêmes des mensonges !!!!
Compagnie de très mauvaise réputation incompétences notoire 
Les rumeurs de délais longs pour le démarrage de la procédure de versement des fonds des assurances-vie se confirment : 
 La SO GE CAP est incapable de communiquer avec la Société Générale après un décès pour régler les problèmes créés par une assurance-vie.
 So ge cap n'est pas capable de fournir un suivi.
 Quand on commence à demander des comptes et utiliser le terme "mesures dilatoire
Assureur so ge cap fait trainer et jamais le même interlocuteur au téléphone incompétent   A éviter à boycotter
Signalement à la CAM : le gendarme des assurances et des banques
Très difficile pour les ayant droit d'obtenir le paiement du capital
Assurance à fuir !!! et vite
</t>
  </si>
  <si>
    <t>27/12/2018</t>
  </si>
  <si>
    <t>dedjou59-86279</t>
  </si>
  <si>
    <t>Nouveau client et à la première demande de prise en charge, mon dieu la galère !!! Suite à une panne de mon véhicule, le dépannage fut très rapide et efficace. C'est la seule satisfaction... Car pour une location de voiture, seule la catégorie 1 est considérée (après 4 agences de location différentes où aucun véhicule n'était disponible, d'ailleurs c'est à vous de les contacter pour vérifier, le gérant sympa a essayé de négocier une catégorie 2 disponible pour moi en vain...). Demande de prise en charge faite à 9h et un véhicule est ENFIN trouvé à 17h30 dans une agence à 40 km de chez moi... mais l'agence ferme à 18h... Au fait le taxi c'est un plafond de 50 euros par an, qui représente à peu près 20km... Je défie quiconque de trouver cette clause sur leur site Internet. Elle ne figure pas non plus sur mon récapitulatif de contrat. Il faut aller tout à la fin des conditions générales. Bref je ne vais pas y faire de vieux os... Heureusement qu'au final, mon véhicule a pu être réparé dans la journée grâce à un super garagiste !!!</t>
  </si>
  <si>
    <t>24/01/2020</t>
  </si>
  <si>
    <t>steff-95095</t>
  </si>
  <si>
    <t>Après 15 ans sans sinistres responsables une personne mal intentionnée percute mon véhicule en stationnement et l'assurance souhaite prendre en charge qu'une partie des réparations.</t>
  </si>
  <si>
    <t>24/07/2020</t>
  </si>
  <si>
    <t>cybertrand-54431</t>
  </si>
  <si>
    <t>Très bon rapport qualité prix. Service client à l'écoute. Bon délai d'indemnisation. Contrat et CGV lisibles et clairs.</t>
  </si>
  <si>
    <t>03/05/2017</t>
  </si>
  <si>
    <t>nolw29-95447</t>
  </si>
  <si>
    <t xml:space="preserve">satisfaite des prix malgré quelques surprises lors des sinistres. Assurée depuis de nombreuses années, il y a peu d'avantage client : point fidélité par ex. </t>
  </si>
  <si>
    <t>guigou86-81983</t>
  </si>
  <si>
    <t xml:space="preserve">Ne prend finalement pas grand chose en charge. Conseiller pas dutout aimable et qui prend de haut, a éviter a tout pris ! 500e de foutu en l'air qui aurai pu payez la chirurgie de mon toutou ! </t>
  </si>
  <si>
    <t>salim-o-131161</t>
  </si>
  <si>
    <t>très bien pour le cette voiture assure vous chez directe assurance quand vous voulez ou pas a vous de choisir sinon vous pouvez allez en NBA les trafic sont meilleurs</t>
  </si>
  <si>
    <t>sophie-101553</t>
  </si>
  <si>
    <t>TRES DECU DE CETTE ASSURANCE,PRO OU PERSO AUCUN SUIVIE CORRECT JE DECONSEILLE FORTEMENT CETTE ASSURANCE,QUI POUR MOI EST PAS AU TOP DU TOUT, AVEC DES TARIFS QUI POUR MOI SONT ABUSES,JAI TROUVE BEAUCOUP MIEUX AILLEURS AVEC UN SUIVIE AU TOP DU TOP! JE DECONSEILLE FORTEMENT!</t>
  </si>
  <si>
    <t>17/12/2020</t>
  </si>
  <si>
    <t>jean-louis-l-129787</t>
  </si>
  <si>
    <t>Je suis satisfait des services et des prix proposés et j 'espères faire bonne route avec vous pendant encore longtemps.
L 'inscription est très simple et le site AMV très facile
Bien Cordialement</t>
  </si>
  <si>
    <t>ap13-101564</t>
  </si>
  <si>
    <t>Certains se plaignent avec raison sur ce site d'une augmentation injustifiée de leur cotisation.
Que dire de la mienne?
52.54% depuis février 2016 pour une assurance habitation propriétaire non occupant !
Qui dit mieux?</t>
  </si>
  <si>
    <t>james-22878</t>
  </si>
  <si>
    <t xml:space="preserve">Ancien client maif depuis 20 ans j'ai été radié d'office en 2012 suite à un sinistre habitation avec vice caché et dégât des eaux, le centre de gestion m'ayant dit "si vous avez acheté une maison pourrie ce n'est pas notre problème ",la maif n'a rien voulu faire pour nous aider, 7 ans plus tard c'est à dire aujourd'hui j'ai souhaité revenir client pour faire effectuer des devis, on m'a fait comprendre que j'étais indésirable,radié définitivement et qu'un mot avait été mis sur mon ancien dossier, c'est lamentable pour un assureur qui se veut militant </t>
  </si>
  <si>
    <t>19/08/2019</t>
  </si>
  <si>
    <t>antonio-d-116873</t>
  </si>
  <si>
    <t xml:space="preserve">Je suis satisfait de la rapidité du service, du prix proposé et surtout d'avoir la liberté de consulter ou modifier mes contrats d'assurance, même les week-ends. </t>
  </si>
  <si>
    <t>12/06/2021</t>
  </si>
  <si>
    <t>franck--104392</t>
  </si>
  <si>
    <t>Très bon entretien téléphonique, très à l'écoute. 
Très bonne réactivité. 
Personne qui m'a très bien renseigné, rapide et très claire. 
Je suis extrêmement satisfait des renseignements et du service rendu.</t>
  </si>
  <si>
    <t>seb-107705</t>
  </si>
  <si>
    <t>Bonjour
Le 22/02/21 je me suis fais braquer ma voiture, vol du volant, vol du levier de vitesse et tous les appareils électroniques du tableau de bord.
L'expert est passé et a relevé une trace d'effraction et a fourni à Pacifica le prix des réparations. 
Aujourd'hui 23/03/ 21 la voiture n'est toujours pas réparée, le garagiste n'a pas reçu l'ordre de réparation de la part de Pacifica-Orléans.
Au départ, l'agent de pacifica ne pouvait pas prendre de décisions, le responsable étant en vacances (8 jours) puis il faut que je le vois (8 jours), Le responsable demande  une analyse de la clé électronique (8 jours). 
Depuis impossible de les joindre malgré mes nombreux messages laissés sur leur répondeur. Et de plus ils prenaient en charge la location d'une voiture pendant 12 jours seulement maintenant ça fait un mois et le loueur me réclame le supplément de location. A qui la faute? C'est scandaleux, honteux. Assurance à fuir d'urgence.</t>
  </si>
  <si>
    <t>23/03/2021</t>
  </si>
  <si>
    <t>ch-0p-100362</t>
  </si>
  <si>
    <t xml:space="preserve">Pb de tentative d’effraction sur porte d’entrée. Au bout de 3 mois la porte n’est tjrs pas changée ! J’en suis au 3ème artisan pour un devis (apparemment les précédents missionnés par la maaf n’étaient  pas habilité a le faire) et si vous n’appelez pas pour avoir des infos personnes ne vous prévient. Ils laissent le dossier traîner ... 
je déconseille fortement </t>
  </si>
  <si>
    <t>20/11/2020</t>
  </si>
  <si>
    <t>sandrine31370-136965</t>
  </si>
  <si>
    <t>très bon contact, très professionnel,  s'investi pour trouver rapidement les renseignements, j'ai été très satisfaite de notre échange avec DAOUDA. merci</t>
  </si>
  <si>
    <t>11/10/2021</t>
  </si>
  <si>
    <t>cardoso-m-113846</t>
  </si>
  <si>
    <t>Je sui pas satisfait je vou résilier et je non arrive pas, sour le application vous me dit que et le sait de le internet je arrive sour le sait et non arrive pas</t>
  </si>
  <si>
    <t>16/05/2021</t>
  </si>
  <si>
    <t>patrice-v-105079</t>
  </si>
  <si>
    <t>La plateforme est agréable et on est bien guidé dans les démarches. Il faut juste ne pas sortir du chemin pré établi. 
L'inscription est fluide mais +10 euros si on mensualise sans que ce ne  soit mentionné clairement</t>
  </si>
  <si>
    <t>j-p-59586</t>
  </si>
  <si>
    <t>lors d'un sinistre d'infiltration;j'ai préparé mes devis que j'ai fait passer a Allianz et les problèmes on commencé avec  la visio expertise qui n'as jamais été concrétisé malgré mes nombreux appels réceptionné par boite vocal.aucune aide de l'assurance donc pas fiable.je cherche ailleurs</t>
  </si>
  <si>
    <t>baptiste-b-133968</t>
  </si>
  <si>
    <t xml:space="preserve">Satisfait de direct assurance, déjà chez eux auparavant je reviens avec plaisir. 
Service qualitatif et sérieux.
Procédure pour assurer mon véhicule rapide! </t>
  </si>
  <si>
    <t>garnier-56058</t>
  </si>
  <si>
    <t>Voir les points suivants.</t>
  </si>
  <si>
    <t>17/07/2017</t>
  </si>
  <si>
    <t>olivier-t-135704</t>
  </si>
  <si>
    <t>je suis satisfait du service proposer, je suis entièrement satisfait des prix pratiqués chez vous par rapport à la concurence. j ai trouvé le bon compromis en assurance pour ma moto. merci a vous.</t>
  </si>
  <si>
    <t>03/10/2021</t>
  </si>
  <si>
    <t>femto-139134</t>
  </si>
  <si>
    <t xml:space="preserve">Résiliation assurance voiture faite avec mon nouvel assureur pour que celle ci prennent effet bien après la date d'anniversaire de mon contrat, le 26 aout 2021. Octobre 2021, contrat toujours actif, ma cotisation annuelle toujours pas remboursée. Évidemment, on rejette le prélèvement, mais la société d'assurance se permet de me relancer pour un "impayé" et de me transmettre au contentieux. Il en va de soi que cet assureur n'a pas respecté la Loi Hamon et que bien évidemment aucun règlement ne sera fait en leur faveur puisque leur partie de contrat n'a pas été respecté. 
Je réponds aux mails me demandant de régler cet ""impayé"", en transmettant le bordereau de LRAR, on m'informe me répondre sous 2 jours ouvrés. Je suis resté sans réponses de tous mes mails à ce jour, en Novembre 2021. 
De plus des garanties à ras les pâquerettes pour un tarif exorbitant. 
Très profondément déçu du service administratif. </t>
  </si>
  <si>
    <t>07/11/2021</t>
  </si>
  <si>
    <t>quentin-s-106541</t>
  </si>
  <si>
    <t xml:space="preserve">simple, pratique, les prix sont abordable, dommage que les services après ventes soit délocalisé car j'ai déjà eu certains problème de compréhension. </t>
  </si>
  <si>
    <t>marcel-62455</t>
  </si>
  <si>
    <t xml:space="preserve">Résilié par là compagnie après 60 années de fidélité. J’ai été laissé sans assurance juste avant l’échéance et ce malgré réclamation au service qualité. Inadmissible. Décevant. Mes enfants et petits enfants vont tous résilier également. </t>
  </si>
  <si>
    <t>inacio-a-129099</t>
  </si>
  <si>
    <t>J’ai été parfaitement renseigné, les prix sont plus que correct, efficace. Je suis satisfaite de mon futur contrat d’assurance avec l’olivier assurance.</t>
  </si>
  <si>
    <t>sari-f-107530</t>
  </si>
  <si>
    <t>je suis satisfait de cette assurance et surtout de l'accueil de la gestionnaire
je suis satisfait de cette assurance et surtout de l'accueil de la ges</t>
  </si>
  <si>
    <t>jmgol-80472</t>
  </si>
  <si>
    <t>Que se passe-t-il à l'afer depuis plus d'un mois ????
Suite à mes déboires successifs afer qui ne sont toujours pas résolu sur vôtre site et ma demande de rachat partiel déposé physiquement à vôtre direction rue du Châteaudun le 8 Octobre 2019 (voir mes deux pièces jointes ci-dessous ),je n'ai toujours pas reçu mon transfert de mes trois milles euros sur mon compte de la banque postale dont mon code iban est ,cela fait quinze jours ;y a-t-il encore d'autres problèmes ??? sachant que le délai est de dix jours.</t>
  </si>
  <si>
    <t>28/10/2019</t>
  </si>
  <si>
    <t>bernaudon-v-112199</t>
  </si>
  <si>
    <t>Je suis satisfait du rapport qualité/prix proposé, de la simplicité de la procédure ainsi que de l'accueil qui m'a été fait. Je recommanderais l'Olivier auprès de mes proches</t>
  </si>
  <si>
    <t>christophe-b-106897</t>
  </si>
  <si>
    <t>Bonjour, mon ancien contrat chez All Secur est toujours actif et je paye les 2 assurances. All Secur me disent qu'ils n'ont pas recu les documents de résiliation, Direct assurance me disent qu'ils les ont envoyé</t>
  </si>
  <si>
    <t>marjorie-c-135337</t>
  </si>
  <si>
    <t>Je suis satisfaite du service. Les garanties sont de haute qualité et les tarifs très compétitifs. Je recommande direct assurance le service est rapide</t>
  </si>
  <si>
    <t>thomas-m-124401</t>
  </si>
  <si>
    <t>Je suis satisfait du service, de son bon fonctionnement, son efficacité ainsi que sa simplicité de compréhension pour des novices comme je suis. Merci</t>
  </si>
  <si>
    <t>laurence-d-106084</t>
  </si>
  <si>
    <t>Je trouve que j'ai été beaucoup augmentée alors que je n'ai eu aucun accident depuis des années.
De plus l'activité voiture de Direct assurance a du être très bénéficiaire cette année 2020 durant laquelle la circulation a été fortement réduite. J'envisage de changer de compagnie</t>
  </si>
  <si>
    <t>bibanga-v-117577</t>
  </si>
  <si>
    <t xml:space="preserve">Une assurance que je conseillerais à mes proches, un service client efficace et à l'écoute. Prix abordable, facilité d'accès au devis sur internet. Bien à vous </t>
  </si>
  <si>
    <t>19/06/2021</t>
  </si>
  <si>
    <t>andre-g-110142</t>
  </si>
  <si>
    <t>Je suis tres satisfait du service en ligne 
Les prix conviennent pratique et simple.
Très bien le payement et très bien sécurisé 
Merci à vous c'est cool.</t>
  </si>
  <si>
    <t>severine--107083</t>
  </si>
  <si>
    <t xml:space="preserve">Bonjour jai été très bien conseillé, saliha à pris le temps de n aider dans mes démarches. 
Merci beaucoup saliha de votre gentillesse 
A bientôt ????
</t>
  </si>
  <si>
    <t>gerard545454-88941</t>
  </si>
  <si>
    <t xml:space="preserve">J'ai acheté un deuxième véhicule j'ai appelé la plate forme pour un nouveau contrat, il fallait que j attende une dérogation car voiture de luxe. 
J'ai du les rappeler plusieurs fois pour savoir si j avait l accord, à chaque fois j 'ai du expliqué mon dossier. 
J' ai eu l accord et je les ai appelé la veille d'avoir ma voiture pour donné mes plaques la il mon dit on vous assure pas. 
Je leur ai dit que j'avais eu la dérogation la dame m'a dit oui vous l'avait eu mais on vous suis pas pourtant sa fait 16 ans que je suis chez eux. 
Le lendemain j'ai du trouvé une autre assurance pour ma deuxième voiture sa m'a coûter 800 euros en plus 
Personne de la macif m'a appeler pour se problème maintenant je change d assurance. </t>
  </si>
  <si>
    <t>17/04/2020</t>
  </si>
  <si>
    <t>cdr-50946</t>
  </si>
  <si>
    <t xml:space="preserve">Bonjour,
J'ai été démarché le 28/12/2016 par téléphone par un courtier (il me semble car la personne ne s'est pas présentée)  avec un numéro régional s’affichant sur le téléphone, pour souscrire à un contrat santé Neoliane. J’ai eu le droit à un discours sur cet organisme, aux nouvelles réformes de santé ainsi que l’amoindrissement des frais d’hospitalisation de la mutuelle etc etc etc, poli j’écoute. 
Et par la suite, je donne un numéro que je reçois par sms, en m’assurant que cela n’engage à rien. Mais au final, ce numéro a permis de souscrire électroniquement à ce contrat de santé que je ne voulais en aucun cas souscrire. Cette personne au bout du fil voulait simplement vendre un contrat afin de rentrer dans ces « quotas »…
A présent, je souhaite donc me rétracter, après recherches sur internet, (à ce jour je n’ai toujours pas reçu le contrat à mon domicile) j’ai 14 jours calendaires à compter de la date d’adhésion. 
Lorsque que j'essaie de joindre Néoliane, il m'indique que le contrat prend effet à partir du 01/02/2017, et que je n'ai pas encore de numéro d’adhérent et qu’il sera créé la semaine prochaine (10 jours pour créer un numéro d’adhérent cela me paraît bien long surtout que tout se fait par logiciel). Mais pourquoi il arrive à me dire à partir de quand mon contrat débute alors qu'ils m'ont même pas de numéro d'adhérent à mon nom? Mais Comment obtenir mon numéro d’adhérent ??
J’ai l’impression qu’ils font tout pour perdre du temps, et ainsi m’envoyer le contrat à mon domicile après les 14 jours de rétraction !!! 
Cela s’appelle du démarchage ABUSIF, car nous ne sommes même pas au courant des garanties que vous vantez si exceptionnelles soient elles !! Mais surtout que par téléphone nous arrivons à souscrire à un contrat et que nous n’avons pas véritablement conscience de cet engagement!! 
Merci par avance de vos réponses
</t>
  </si>
  <si>
    <t>04/01/2017</t>
  </si>
  <si>
    <t>neige-121563</t>
  </si>
  <si>
    <t xml:space="preserve">J’ai perdu ma carte neoliane mais grâce à MARIA j’ai pu avoir une copie dans la seconde qui suivais mon appel. 
Je recommande sans hésiter !
Merci beaucoup </t>
  </si>
  <si>
    <t>29/06/2021</t>
  </si>
  <si>
    <t>mathilde-m-125555</t>
  </si>
  <si>
    <t>Satisfait pour le prix de cette assurance. En ce qui concerne la couverture d'assurances, nous verrons avec le temps mais cela semble correct. 
Cordialement</t>
  </si>
  <si>
    <t>moka-96956</t>
  </si>
  <si>
    <t>Demande de virement automatique, prise en compte après 3 ans (pourtant, j'avais formellement fait la demande en agence, en transmettant mes coordonnées bancaires lors de la création de mon dossier). Publicité trompeuse, se présente comme la seule mutuelle santé des fonctionnaires. Tarification proportionnelle au salaire (mon abonnement mensuel a augmenté de 20 euros au cours de leur passage chez eux). Faible prise en charge des frais de santé, malgré un coût de l'abonnement exorbitant (plus de 63 euros par mois).
A fuir !</t>
  </si>
  <si>
    <t>02/09/2020</t>
  </si>
  <si>
    <t>fadila-k-134558</t>
  </si>
  <si>
    <t xml:space="preserve">Je suis satisfait du contrat proposés, du tarif, 
des options proposées et la facilité de souscription. 
De la compétitivité des taris proposés
Et de la rapidité </t>
  </si>
  <si>
    <t>frank42-85468</t>
  </si>
  <si>
    <t xml:space="preserve">J'ai demandé à faire transformer mon assurance habitation en assurance propriétaire non occupant et au final il me font 2 contrats alors que l'assurance habitation doit être résiliée puisque j'ai souscris une assurance propriétaire non occupant.
Service client injoignable </t>
  </si>
  <si>
    <t>piniomarco-80596</t>
  </si>
  <si>
    <t>Assure depuis Le 01/012021
Soin engagé vers  02/02/2021 toujours pas de remboursement cette assurance n'est pas reconnue dans beaucoup d'établissements clinique il faut toujours avancer les frais mais Le remboursement zéro je déconseille à fuire</t>
  </si>
  <si>
    <t>24/02/2021</t>
  </si>
  <si>
    <t>isa-88868</t>
  </si>
  <si>
    <t>j'ai souscris il y a quelques mois pour un chiot. En pleine période de covid19, refus de me rembourser au motif d'une erreur de mon fait (j'ai indiqué 03/ 2019 au lieu de 03/2020 sur le formulaire alors que le veto a bien indiqué la bonne date et que la facture est à la bonne date. toutes les excuses sont bonnes pour ne pas rembourser. Impossible d'échanger avec 1 interlocutrice bornée ! mon chien etant né en mai 2019 !</t>
  </si>
  <si>
    <t>14/04/2020</t>
  </si>
  <si>
    <t>yann112-81904</t>
  </si>
  <si>
    <t>Excellent assureur, très bon rapport qualité/prix ! Ça change de mon précédent assureur</t>
  </si>
  <si>
    <t>14/12/2019</t>
  </si>
  <si>
    <t>lololulu-104141</t>
  </si>
  <si>
    <t>Je ne comprends pas pourquoi depuis décembre dernier mes intérêts ne sont plus crédités quotidiennement comme les précédentes années !Je sent que la résiliation ne va pas tarder</t>
  </si>
  <si>
    <t>14/02/2021</t>
  </si>
  <si>
    <t>tareq-b-108590</t>
  </si>
  <si>
    <t>satisfait du service , mais le prix reste élevé ,sachant que j suis client très fidèle de direct assurance , cela n'empêche pas que les prix n'arrête pas de flamber d'une année a l'autre.</t>
  </si>
  <si>
    <t>colere-90047</t>
  </si>
  <si>
    <t>La pire des assurances. Très mauvais accueil téléphonique et ils n'essayent même pas de vous défendre même si vous n'avez pas tord. Jamais plus je ne choisirai cette assurance, pour aucun des véhicules de ma famille.</t>
  </si>
  <si>
    <t>gning-k-112299</t>
  </si>
  <si>
    <t xml:space="preserve">Je suis satisfait du service et du prix proposé par l'olivier reste à voir quelle sera la qualité de l'assistance le jour ou j'en aurais besoin.       </t>
  </si>
  <si>
    <t>francolini-e-129669</t>
  </si>
  <si>
    <t>La souscription est rapide et efficace grâce à la signature électronique. Les prix sont très convenables par rapport à d'autres assureurs. Expérience satisfaisante</t>
  </si>
  <si>
    <t>dousou29-114520</t>
  </si>
  <si>
    <t xml:space="preserve">Ne respect pas ses devis ,ne restitué pas les frais de dossier conséquent !lors de la résiliation,conseiller incompétent,se limite à répéter des texte appris par cœur! Société a fuir sauf si vous aimer vous faire rouler </t>
  </si>
  <si>
    <t>21/05/2021</t>
  </si>
  <si>
    <t>jose60-60321</t>
  </si>
  <si>
    <t>A savoir , un bris de glace s applique seulement a une glace , des que vous avez deux glaces de brisé (portière arriere) ce n.est plus du bris de glace mais du vandalisme .Qui peut affirmer que cela est vraiment du vandalisme??
DA confirme que cela est du vandalisme donc ne prend pas en charge Déçu par cette mesure on verra le resultat surtout que j etais dans une ville qui est calme
Un futur client qu ils vont perdre.</t>
  </si>
  <si>
    <t>09/01/2018</t>
  </si>
  <si>
    <t>phoebs33-60042</t>
  </si>
  <si>
    <t>Après une rupture de canalisation et un plafond abîmé, la maif nous conseille un de leur artisan agréé, qui se déplace rapidement mais fait un devis au rabais 300 euros pour le changement d'une plaque de placo + peinture et puis plus de nouvelles... après de nombreux appels (plus de 5 mois d'attente), je dois me contraindre à faire appel à des artisans du coin : 800 euros le tout ! Et évidemment la MAIf se base sur le devis de leur artisan moins la franchise (125 euros) et bien il ne reste plus grand chose pour payer les artisans. Je les soupçonne d'utiliser ses soi-disant artisans pour effectuer les devis et ne pas faire les travaux.  Et je paye 345 euros par an ! Bon je crois que je vais bientôt les quitter !</t>
  </si>
  <si>
    <t>domino-75519</t>
  </si>
  <si>
    <t>Avons choisi santiane depuis 2014 lorsque nous  n avons plus bénéficie de la mutuelle de groupe au travail</t>
  </si>
  <si>
    <t>30/04/2019</t>
  </si>
  <si>
    <t>mael-p-105587</t>
  </si>
  <si>
    <t>Je suis satisfait du service, cependant ma voiture était garer dans un jardin et maintenant garer dans un parking fermé, et le prix de mon assurance n'a pas baissé</t>
  </si>
  <si>
    <t>aurelie-v-105161</t>
  </si>
  <si>
    <t>TRien à redire concernant Direct assurances. Bon rapport qualité prix et service toujours au top. Continuez comme ça. Prix abordables en toute circonstances et sérieux du personnel. Ça fait plaisir</t>
  </si>
  <si>
    <t>albert-k-114792</t>
  </si>
  <si>
    <t>Je suis le client depuis une dizaine d'année et je suis très satisfait.  Les prix correctes, le service client très bon.  Direct assurance à conseiller.</t>
  </si>
  <si>
    <t>beaufils-m-110210</t>
  </si>
  <si>
    <t xml:space="preserve"> Je suis  satisfait du service du client ,bon rapport qualité prix , rapidité des réponses et conseils des interlocuteurs , à ce jour rien de négatif .</t>
  </si>
  <si>
    <t>remi-t-114272</t>
  </si>
  <si>
    <t>simple et pratique. Les conseillers sont à dispositions et repondent à nos demandes.
J'ai recommande votre assurance autour de moi parce que je ne regrette en rien votre offre</t>
  </si>
  <si>
    <t>kobra-91151</t>
  </si>
  <si>
    <t>Assurance à fuir. Dossier dégât des eaux compliqué et hors garantie apparemment mais attente de nombreux mois avec beaucoup de mails et d'appels téléphoniques.  Aucun contact entre les assurances. Finalement un expert a fait la visite par téléphone.  Je me demande pourquoi il a fallu faire un constat</t>
  </si>
  <si>
    <t>alx-96966</t>
  </si>
  <si>
    <t xml:space="preserve">Ma grand mère est assurée a la maif depuis 30 ans pour l automobile en tous risques, formule la plus chère . Il y a quelques jours, son petit fils ; sans permis et alcoolisé lui prend les clés a son insu, et dégrade la voiture, et se fait arrêter.. elle depose plainte pour prouver à l assurance qu'elle ne lui a pas donné les clés de son propre chef.
Et bien la Maif ne veut rien prendre en charge sous prétexte qu'il vit sous le même toit et est sur le contrat dr ma gd mère pour l assurance civile...
Une voiture qu elle avait acheté il y a 1 semaine et un refus total de prise en charge !  Vous payez mais il ne faut surtout pas avoir de problème 
Une amie etait assurée aussi et son vehicule tombe en panne en corse, ils lui ont répondu qu ils ne prenaient pas l'eau (la mer) en compte, et donc elle avait moins de 50km de son domicile donc pas de prise en charge... </t>
  </si>
  <si>
    <t>clarisse-a-113277</t>
  </si>
  <si>
    <t>merci.
j'apprecie que la souscription se fasse sur internet et pas par teléphone
satisfaite de votre service en ligne et du tarif proposé pour une assurance voiture</t>
  </si>
  <si>
    <t>benes-85530</t>
  </si>
  <si>
    <t>En Décembre suite à une augmentation de tarif auto je suis passé à la MACIF qui était moins chère. Le commercial a essayé de me vendre la RPFA que j'ai refusée. Le courrier de confirmation de la MACIF contenait la RPFA que j'ai à nouveau refusée. J'ai téléphoné deux fois ensuite car cette RPFA figurait dans les documents à signer. On m'a assuré que je pourrai ne signer que l'assurance auto. ceci était impossible, et j'ai téléphoné deux fois ce matin, on m'a raccroché deux fois! J'ai ensuite demandé qu'on me rappelle et enfin le problème de signature a été réglé. Il faut avoir du temps et de la patience!</t>
  </si>
  <si>
    <t>06/01/2020</t>
  </si>
  <si>
    <t>jeantet-j-137757</t>
  </si>
  <si>
    <t>Je suis satisfait du service et du prix qui défi toute concurrence.
Les conseillées sont agréables et explique bien les démarches à faire pour souscrire une assurance.</t>
  </si>
  <si>
    <t>19/10/2021</t>
  </si>
  <si>
    <t>mobek66-86777</t>
  </si>
  <si>
    <t>Assurance qui induit en erreur ses clients
J' en ai fait l' expérience lors d' un changement d' optique dans le cadre loi Macron
Mutuelld à  éviter car même avec une médiation ils ne reconnaissent pas leur mauvaise foi
je vois que je ne suis pas le seul à  m' en plaindre</t>
  </si>
  <si>
    <t>05/02/2020</t>
  </si>
  <si>
    <t>ricardo83-102591</t>
  </si>
  <si>
    <t xml:space="preserve">Depuis toujours mes assurances moto sont chez AMV (cross , trial , enduro ,route) mon fils et mon petit fils y sont également . Je n'ai jamais eu de sinistre jusqu'à cette année et deux coup sur coup cette année , un  non responsable et 15 jours après un autre responsable . Aucun problème dans les deux sinistres de la compétence et des interactions rapides (téléphones , mail etc... ) une grande réactivité et d'écoute des personnels pas d'attente interminable au téléphone , des contrats parfaitement adaptés aux diverses situations ,à des prix compétitifs.
Je n'ai après 40ans d'assurance AMV qu'à me loué de leurs services .Je ne suis ni actionnaire ni preneurs d'intérêts ,juste satisfait de leurs prestations .  </t>
  </si>
  <si>
    <t>nabeneza-s-127896</t>
  </si>
  <si>
    <t>Des conseillers très à l’écoute.. je suis très contente de service que vous me proposez cela fait déjà un petit moment que je suis chez vous avec une interruption bien sûr mais je serai toujours fidèle. Très bon accueil une très bonne écoute surtout au niveau des demain.</t>
  </si>
  <si>
    <t>13/08/2021</t>
  </si>
  <si>
    <t>nath-68400</t>
  </si>
  <si>
    <t>FUYEZ ! En litige depuis 2 mois, je regrette amèrement de leur avoir fait confiance. Ils sont parfaitement incompétents, voire irrespectueux du client au téléphone (une opératrice m'a littéralement envoyée balader parce que je demandais gentiment comment se faisait-il que mon top case d'origine n'était pas pris en charge!!! HALLUCINANT la façon dont on vous traite chez APRIL).
Il faut batailler sans arrêt, mail sur mail pour essayer d'obtenir gain de cause et malgré ça on vous abuse encore sur le montant de base pris en compte (prix d'achat négocié minoré de 14% sans aucune explication au lieu du montant établi par l'expert...).
Bref une assurance  sans aucune considération pour la clientèle.</t>
  </si>
  <si>
    <t>07/11/2018</t>
  </si>
  <si>
    <t>doudou-97517</t>
  </si>
  <si>
    <t xml:space="preserve">Je voulais signaler que le personnel et très à l écoute de ses clients et très attentif à nos attentes 
Étant un retraité qui ne comprend pas toujours très Bien tous ce qui es  administratif    le personnel prend le temps de nous écouter de nous expliquer et surtout de nous conseiller  ça fait 20 ans que je suis dans cet agence qui se situe  sur le boulevard st Michel dans le 5 eme
Un grand merci à toute l équipe rester comme vous êtes 
Merci </t>
  </si>
  <si>
    <t>17/09/2020</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</si>
</sst>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15.14"/>
    <col customWidth="1" min="10" max="26" width="8.71"/>
  </cols>
  <sheetData>
    <row r="1">
      <c r="A1" s="1" t="s">
        <v>0</v>
      </c>
      <c r="B1" s="1" t="s">
        <v>1</v>
      </c>
      <c r="C1" s="1" t="s">
        <v>2</v>
      </c>
      <c r="D1" s="1" t="s">
        <v>3</v>
      </c>
      <c r="E1" s="1" t="s">
        <v>4</v>
      </c>
      <c r="F1" s="1" t="s">
        <v>5</v>
      </c>
      <c r="G1" s="1" t="s">
        <v>6</v>
      </c>
      <c r="H1" s="1" t="s">
        <v>7</v>
      </c>
      <c r="I1" s="1" t="s">
        <v>8</v>
      </c>
      <c r="J1" s="1" t="s">
        <v>9</v>
      </c>
      <c r="K1" s="1" t="s">
        <v>10</v>
      </c>
    </row>
    <row r="2">
      <c r="A2" s="2">
        <v>4.0</v>
      </c>
      <c r="B2" s="2" t="s">
        <v>11</v>
      </c>
      <c r="C2" s="2" t="s">
        <v>12</v>
      </c>
      <c r="D2" s="2" t="s">
        <v>13</v>
      </c>
      <c r="E2" s="2" t="s">
        <v>14</v>
      </c>
      <c r="F2" s="2" t="s">
        <v>15</v>
      </c>
      <c r="G2" s="2" t="s">
        <v>16</v>
      </c>
      <c r="H2" s="2" t="s">
        <v>17</v>
      </c>
      <c r="I2" s="2" t="str">
        <f>IFERROR(__xludf.DUMMYFUNCTION("GOOGLETRANSLATE(C2,""fr"",""en"")"),"Hello,
I am satisfied with the proposed service, the price and the simplicity for the subscription of the car contract of my new acquisition
Cordially
Mr Renault Freddy")</f>
        <v>Hello,
I am satisfied with the proposed service, the price and the simplicity for the subscription of the car contract of my new acquisition
Cordially
Mr Renault Freddy</v>
      </c>
    </row>
    <row r="3">
      <c r="A3" s="2">
        <v>3.0</v>
      </c>
      <c r="B3" s="2" t="s">
        <v>18</v>
      </c>
      <c r="C3" s="2" t="s">
        <v>19</v>
      </c>
      <c r="D3" s="2" t="s">
        <v>13</v>
      </c>
      <c r="E3" s="2" t="s">
        <v>14</v>
      </c>
      <c r="F3" s="2" t="s">
        <v>15</v>
      </c>
      <c r="G3" s="2" t="s">
        <v>20</v>
      </c>
      <c r="H3" s="2" t="s">
        <v>21</v>
      </c>
      <c r="I3" s="2" t="str">
        <f>IFERROR(__xludf.DUMMYFUNCTION("GOOGLETRANSLATE(C3,""fr"",""en"")"),"I just subscribed so I don't really have any reviews yet ... It's just the best price/service level offer I found. I will make an opinion when I have used insurance.")</f>
        <v>I just subscribed so I don't really have any reviews yet ... It's just the best price/service level offer I found. I will make an opinion when I have used insurance.</v>
      </c>
    </row>
    <row r="4">
      <c r="A4" s="2">
        <v>5.0</v>
      </c>
      <c r="B4" s="2" t="s">
        <v>22</v>
      </c>
      <c r="C4" s="2" t="s">
        <v>23</v>
      </c>
      <c r="D4" s="2" t="s">
        <v>24</v>
      </c>
      <c r="E4" s="2" t="s">
        <v>14</v>
      </c>
      <c r="F4" s="2" t="s">
        <v>15</v>
      </c>
      <c r="G4" s="2" t="s">
        <v>25</v>
      </c>
      <c r="H4" s="2" t="s">
        <v>21</v>
      </c>
      <c r="I4" s="2" t="str">
        <f>IFERROR(__xludf.DUMMYFUNCTION("GOOGLETRANSLATE(C4,""fr"",""en"")"),"Very pleasant customer service. Quick and clear management. Thanks to the person I had on the phone. A simple quote and an intuitive interface.")</f>
        <v>Very pleasant customer service. Quick and clear management. Thanks to the person I had on the phone. A simple quote and an intuitive interface.</v>
      </c>
    </row>
    <row r="5">
      <c r="A5" s="2">
        <v>3.0</v>
      </c>
      <c r="B5" s="2" t="s">
        <v>26</v>
      </c>
      <c r="C5" s="2" t="s">
        <v>27</v>
      </c>
      <c r="D5" s="2" t="s">
        <v>28</v>
      </c>
      <c r="E5" s="2" t="s">
        <v>14</v>
      </c>
      <c r="F5" s="2" t="s">
        <v>15</v>
      </c>
      <c r="G5" s="2" t="s">
        <v>29</v>
      </c>
      <c r="H5" s="2" t="s">
        <v>30</v>
      </c>
      <c r="I5" s="2" t="str">
        <f>IFERROR(__xludf.DUMMYFUNCTION("GOOGLETRANSLATE(C5,""fr"",""en"")"),"Very pleasant welcome, always of very good quality with very good advice. Customer for many years we do not intend to change insurance. Solutions always found with advisers.")</f>
        <v>Very pleasant welcome, always of very good quality with very good advice. Customer for many years we do not intend to change insurance. Solutions always found with advisers.</v>
      </c>
    </row>
    <row r="6">
      <c r="A6" s="2">
        <v>1.0</v>
      </c>
      <c r="B6" s="2" t="s">
        <v>31</v>
      </c>
      <c r="C6" s="2" t="s">
        <v>32</v>
      </c>
      <c r="D6" s="2" t="s">
        <v>33</v>
      </c>
      <c r="E6" s="2" t="s">
        <v>34</v>
      </c>
      <c r="F6" s="2" t="s">
        <v>15</v>
      </c>
      <c r="G6" s="2" t="s">
        <v>35</v>
      </c>
      <c r="H6" s="2" t="s">
        <v>36</v>
      </c>
      <c r="I6" s="2" t="str">
        <f>IFERROR(__xludf.DUMMYFUNCTION("GOOGLETRANSLATE(C6,""fr"",""en"")"),"Mutual overpriced, real shipping to have someone on the phone, laughable reimbursements and reimbursements pending still not paid. A shame, run away!")</f>
        <v>Mutual overpriced, real shipping to have someone on the phone, laughable reimbursements and reimbursements pending still not paid. A shame, run away!</v>
      </c>
    </row>
    <row r="7">
      <c r="A7" s="2">
        <v>2.0</v>
      </c>
      <c r="B7" s="2" t="s">
        <v>37</v>
      </c>
      <c r="C7" s="2" t="s">
        <v>38</v>
      </c>
      <c r="D7" s="2" t="s">
        <v>39</v>
      </c>
      <c r="E7" s="2" t="s">
        <v>40</v>
      </c>
      <c r="F7" s="2" t="s">
        <v>15</v>
      </c>
      <c r="G7" s="2" t="s">
        <v>41</v>
      </c>
      <c r="H7" s="2" t="s">
        <v>42</v>
      </c>
      <c r="I7" s="2" t="str">
        <f>IFERROR(__xludf.DUMMYFUNCTION("GOOGLETRANSLATE(C7,""fr"",""en"")"),"To be fleeing absolutely .... I have been paying for 10 years two non -occupying proprietary insurance .... one of my houses without a tenant has just experienced a water damage on an interior wall.
From the 1st contact The answer was a non -management.
"&amp;"
I fight to obtain an expertise which I discover to have 178 euros in franchise.
Problem on the roof and the joints of the terrace.
And there I get to say any care not even the damaged wall.
I am disgusted and am scandalized !!!!! To take the money the"&amp;"y are good but to assume their insurer roles they are never there.
Long live the GMF")</f>
        <v>To be fleeing absolutely .... I have been paying for 10 years two non -occupying proprietary insurance .... one of my houses without a tenant has just experienced a water damage on an interior wall.
From the 1st contact The answer was a non -management.
I fight to obtain an expertise which I discover to have 178 euros in franchise.
Problem on the roof and the joints of the terrace.
And there I get to say any care not even the damaged wall.
I am disgusted and am scandalized !!!!! To take the money they are good but to assume their insurer roles they are never there.
Long live the GMF</v>
      </c>
    </row>
    <row r="8">
      <c r="A8" s="2">
        <v>1.0</v>
      </c>
      <c r="B8" s="2" t="s">
        <v>43</v>
      </c>
      <c r="C8" s="2" t="s">
        <v>44</v>
      </c>
      <c r="D8" s="2" t="s">
        <v>45</v>
      </c>
      <c r="E8" s="2" t="s">
        <v>46</v>
      </c>
      <c r="F8" s="2" t="s">
        <v>15</v>
      </c>
      <c r="G8" s="2" t="s">
        <v>47</v>
      </c>
      <c r="H8" s="2" t="s">
        <v>48</v>
      </c>
      <c r="I8" s="2" t="str">
        <f>IFERROR(__xludf.DUMMYFUNCTION("GOOGLETRANSLATE(C8,""fr"",""en"")"),"companies to flee,")</f>
        <v>companies to flee,</v>
      </c>
    </row>
    <row r="9">
      <c r="A9" s="2">
        <v>4.0</v>
      </c>
      <c r="B9" s="2" t="s">
        <v>49</v>
      </c>
      <c r="C9" s="2" t="s">
        <v>50</v>
      </c>
      <c r="D9" s="2" t="s">
        <v>13</v>
      </c>
      <c r="E9" s="2" t="s">
        <v>14</v>
      </c>
      <c r="F9" s="2" t="s">
        <v>15</v>
      </c>
      <c r="G9" s="2" t="s">
        <v>51</v>
      </c>
      <c r="H9" s="2" t="s">
        <v>52</v>
      </c>
      <c r="I9" s="2" t="str">
        <f>IFERROR(__xludf.DUMMYFUNCTION("GOOGLETRANSLATE(C9,""fr"",""en"")"),"hello, 
I am really satisfied the prices suit me, I find that it is reasonable. Clear and well explained contract, quick response; good listening.
")</f>
        <v>hello, 
I am really satisfied the prices suit me, I find that it is reasonable. Clear and well explained contract, quick response; good listening.
</v>
      </c>
    </row>
    <row r="10">
      <c r="A10" s="2">
        <v>5.0</v>
      </c>
      <c r="B10" s="2" t="s">
        <v>53</v>
      </c>
      <c r="C10" s="2" t="s">
        <v>54</v>
      </c>
      <c r="D10" s="2" t="s">
        <v>55</v>
      </c>
      <c r="E10" s="2" t="s">
        <v>56</v>
      </c>
      <c r="F10" s="2" t="s">
        <v>15</v>
      </c>
      <c r="G10" s="2" t="s">
        <v>57</v>
      </c>
      <c r="H10" s="2" t="s">
        <v>21</v>
      </c>
      <c r="I10" s="2" t="str">
        <f>IFERROR(__xludf.DUMMYFUNCTION("GOOGLETRANSLATE(C10,""fr"",""en"")"),"Satisfied, speed, prices, are more than reasonable, thank you again, for your presence, with bikers.
The assistance option may be written in Formula 4 even if it means re -evaluating it.")</f>
        <v>Satisfied, speed, prices, are more than reasonable, thank you again, for your presence, with bikers.
The assistance option may be written in Formula 4 even if it means re -evaluating it.</v>
      </c>
    </row>
    <row r="11">
      <c r="A11" s="2">
        <v>1.0</v>
      </c>
      <c r="B11" s="2" t="s">
        <v>58</v>
      </c>
      <c r="C11" s="2" t="s">
        <v>59</v>
      </c>
      <c r="D11" s="2" t="s">
        <v>60</v>
      </c>
      <c r="E11" s="2" t="s">
        <v>40</v>
      </c>
      <c r="F11" s="2" t="s">
        <v>15</v>
      </c>
      <c r="G11" s="2" t="s">
        <v>61</v>
      </c>
      <c r="H11" s="2" t="s">
        <v>62</v>
      </c>
      <c r="I11" s="2" t="str">
        <f>IFERROR(__xludf.DUMMYFUNCTION("GOOGLETRANSLATE(C11,""fr"",""en"")"),"I regret having signed with this insurer. The service they render is regrettable: two months after having declared a disaster, I always expect the report of the plumber specialist. The water leak continues and I feel unnecessary not to be able to do nothi"&amp;"ng and I must continue to wait to receive a simple report before being able to complete the amicable observation.")</f>
        <v>I regret having signed with this insurer. The service they render is regrettable: two months after having declared a disaster, I always expect the report of the plumber specialist. The water leak continues and I feel unnecessary not to be able to do nothing and I must continue to wait to receive a simple report before being able to complete the amicable observation.</v>
      </c>
    </row>
    <row r="12">
      <c r="A12" s="2">
        <v>3.0</v>
      </c>
      <c r="B12" s="2" t="s">
        <v>63</v>
      </c>
      <c r="C12" s="2" t="s">
        <v>64</v>
      </c>
      <c r="D12" s="2" t="s">
        <v>65</v>
      </c>
      <c r="E12" s="2" t="s">
        <v>66</v>
      </c>
      <c r="F12" s="2" t="s">
        <v>15</v>
      </c>
      <c r="G12" s="2" t="s">
        <v>67</v>
      </c>
      <c r="H12" s="2" t="s">
        <v>68</v>
      </c>
      <c r="I12" s="2" t="str">
        <f>IFERROR(__xludf.DUMMYFUNCTION("GOOGLETRANSLATE(C12,""fr"",""en"")"),"Gives all the necessary information if necessary and quickly and very good pleasant reception advisers on the phone.
Very good day
")</f>
        <v>Gives all the necessary information if necessary and quickly and very good pleasant reception advisers on the phone.
Very good day
</v>
      </c>
    </row>
    <row r="13">
      <c r="A13" s="2">
        <v>1.0</v>
      </c>
      <c r="B13" s="2" t="s">
        <v>69</v>
      </c>
      <c r="C13" s="2" t="s">
        <v>70</v>
      </c>
      <c r="D13" s="2" t="s">
        <v>71</v>
      </c>
      <c r="E13" s="2" t="s">
        <v>14</v>
      </c>
      <c r="F13" s="2" t="s">
        <v>15</v>
      </c>
      <c r="G13" s="2" t="s">
        <v>72</v>
      </c>
      <c r="H13" s="2" t="s">
        <v>73</v>
      </c>
      <c r="I13" s="2" t="str">
        <f>IFERROR(__xludf.DUMMYFUNCTION("GOOGLETRANSLATE(C13,""fr"",""en"")"),"Society since 1993, signs of Society for more logtemps, I ask for 1 quote for auto insurance (VAM) on the phone on 06/06/20 at 1008.35 €,
Then a few days later on 06/10/20, I call to subscribe, and pretext an error, after having put me on hold 20 minutes"&amp;", I am refused the quote and offers me a new contradictory quote with increase in price € 1408.62.
I ask for an appointment in an agency to see more clearly, and today on 15/06, a young adviser tells me a new error on the quote and he goes to the 3rd pro"&amp;"posal to € 1905.83.
Unbelievable.
At the end of this meeting, 3 contradictory quotes I find myself without any consideration and even fewer excuses.
Cold, freezing, no commercial gesture no, resolutely maif is no longer what it was alas.
A disappointe"&amp;"d member client.
")</f>
        <v>Society since 1993, signs of Society for more logtemps, I ask for 1 quote for auto insurance (VAM) on the phone on 06/06/20 at 1008.35 €,
Then a few days later on 06/10/20, I call to subscribe, and pretext an error, after having put me on hold 20 minutes, I am refused the quote and offers me a new contradictory quote with increase in price € 1408.62.
I ask for an appointment in an agency to see more clearly, and today on 15/06, a young adviser tells me a new error on the quote and he goes to the 3rd proposal to € 1905.83.
Unbelievable.
At the end of this meeting, 3 contradictory quotes I find myself without any consideration and even fewer excuses.
Cold, freezing, no commercial gesture no, resolutely maif is no longer what it was alas.
A disappointed member client.
</v>
      </c>
    </row>
    <row r="14">
      <c r="A14" s="2">
        <v>4.0</v>
      </c>
      <c r="B14" s="2" t="s">
        <v>74</v>
      </c>
      <c r="C14" s="2" t="s">
        <v>75</v>
      </c>
      <c r="D14" s="2" t="s">
        <v>13</v>
      </c>
      <c r="E14" s="2" t="s">
        <v>14</v>
      </c>
      <c r="F14" s="2" t="s">
        <v>15</v>
      </c>
      <c r="G14" s="2" t="s">
        <v>76</v>
      </c>
      <c r="H14" s="2" t="s">
        <v>42</v>
      </c>
      <c r="I14" s="2" t="str">
        <f>IFERROR(__xludf.DUMMYFUNCTION("GOOGLETRANSLATE(C14,""fr"",""en"")"),"The quote is done very quickly with standard information plus options to the end with several contracts offered
Very simple to use
")</f>
        <v>The quote is done very quickly with standard information plus options to the end with several contracts offered
Very simple to use
</v>
      </c>
    </row>
    <row r="15">
      <c r="A15" s="2">
        <v>1.0</v>
      </c>
      <c r="B15" s="2" t="s">
        <v>77</v>
      </c>
      <c r="C15" s="2" t="s">
        <v>78</v>
      </c>
      <c r="D15" s="2" t="s">
        <v>79</v>
      </c>
      <c r="E15" s="2" t="s">
        <v>14</v>
      </c>
      <c r="F15" s="2" t="s">
        <v>15</v>
      </c>
      <c r="G15" s="2" t="s">
        <v>80</v>
      </c>
      <c r="H15" s="2" t="s">
        <v>81</v>
      </c>
      <c r="I15" s="2" t="str">
        <f>IFERROR(__xludf.DUMMYFUNCTION("GOOGLETRANSLATE(C15,""fr"",""en"")"),"I have been waiting for my green card for 15 days. Department taken. Daily demand for new documents already provided. Obvious bad faith")</f>
        <v>I have been waiting for my green card for 15 days. Department taken. Daily demand for new documents already provided. Obvious bad faith</v>
      </c>
    </row>
    <row r="16">
      <c r="A16" s="2">
        <v>1.0</v>
      </c>
      <c r="B16" s="2" t="s">
        <v>82</v>
      </c>
      <c r="C16" s="2" t="s">
        <v>83</v>
      </c>
      <c r="D16" s="2" t="s">
        <v>13</v>
      </c>
      <c r="E16" s="2" t="s">
        <v>14</v>
      </c>
      <c r="F16" s="2" t="s">
        <v>15</v>
      </c>
      <c r="G16" s="2" t="s">
        <v>84</v>
      </c>
      <c r="H16" s="2" t="s">
        <v>84</v>
      </c>
      <c r="I16" s="2" t="str">
        <f>IFERROR(__xludf.DUMMYFUNCTION("GOOGLETRANSLATE(C16,""fr"",""en"")"),"I am not satisfied with the services, which is why I terminated. Having had a claim with the 207, I lost a vehicle when I was in no way in wrong.")</f>
        <v>I am not satisfied with the services, which is why I terminated. Having had a claim with the 207, I lost a vehicle when I was in no way in wrong.</v>
      </c>
    </row>
    <row r="17">
      <c r="A17" s="2">
        <v>2.0</v>
      </c>
      <c r="B17" s="2" t="s">
        <v>85</v>
      </c>
      <c r="C17" s="2" t="s">
        <v>86</v>
      </c>
      <c r="D17" s="2" t="s">
        <v>13</v>
      </c>
      <c r="E17" s="2" t="s">
        <v>14</v>
      </c>
      <c r="F17" s="2" t="s">
        <v>15</v>
      </c>
      <c r="G17" s="2" t="s">
        <v>87</v>
      </c>
      <c r="H17" s="2" t="s">
        <v>17</v>
      </c>
      <c r="I17" s="2" t="str">
        <f>IFERROR(__xludf.DUMMYFUNCTION("GOOGLETRANSLATE(C17,""fr"",""en"")"),"I am not satisfied with your services which solves me for administrative reason, however, my documents have been scanned on my personal space in the time given time")</f>
        <v>I am not satisfied with your services which solves me for administrative reason, however, my documents have been scanned on my personal space in the time given time</v>
      </c>
    </row>
    <row r="18">
      <c r="A18" s="2">
        <v>2.0</v>
      </c>
      <c r="B18" s="2" t="s">
        <v>88</v>
      </c>
      <c r="C18" s="2" t="s">
        <v>89</v>
      </c>
      <c r="D18" s="2" t="s">
        <v>71</v>
      </c>
      <c r="E18" s="2" t="s">
        <v>40</v>
      </c>
      <c r="F18" s="2" t="s">
        <v>15</v>
      </c>
      <c r="G18" s="2" t="s">
        <v>90</v>
      </c>
      <c r="H18" s="2" t="s">
        <v>36</v>
      </c>
      <c r="I18" s="2" t="str">
        <f>IFERROR(__xludf.DUMMYFUNCTION("GOOGLETRANSLATE(C18,""fr"",""en"")"),"In Maif for over 15 years, we have always been satisfied. Customer service for car insurance is very competent and responsive in the event of a claim. On the other hand, we are very unhappy with our home insurance. We have made the effort to put our house"&amp;" under remote monitoring as well as an adjacent building and have also been reassessed our heritage but this is not taken into account when you are robbed your garage. There was break -up last November and to this day, we have no news from the so -called "&amp;"expertise firm who criticized us for not putting our garage under remote monitoring when this is technically impossible! No news from the MAIF which should see that the file is pending! Even if it means not being reimbursed as much to pay less elsewhere!")</f>
        <v>In Maif for over 15 years, we have always been satisfied. Customer service for car insurance is very competent and responsive in the event of a claim. On the other hand, we are very unhappy with our home insurance. We have made the effort to put our house under remote monitoring as well as an adjacent building and have also been reassessed our heritage but this is not taken into account when you are robbed your garage. There was break -up last November and to this day, we have no news from the so -called expertise firm who criticized us for not putting our garage under remote monitoring when this is technically impossible! No news from the MAIF which should see that the file is pending! Even if it means not being reimbursed as much to pay less elsewhere!</v>
      </c>
    </row>
    <row r="19">
      <c r="A19" s="2">
        <v>4.0</v>
      </c>
      <c r="B19" s="2" t="s">
        <v>91</v>
      </c>
      <c r="C19" s="2" t="s">
        <v>92</v>
      </c>
      <c r="D19" s="2" t="s">
        <v>13</v>
      </c>
      <c r="E19" s="2" t="s">
        <v>14</v>
      </c>
      <c r="F19" s="2" t="s">
        <v>15</v>
      </c>
      <c r="G19" s="2" t="s">
        <v>93</v>
      </c>
      <c r="H19" s="2" t="s">
        <v>21</v>
      </c>
      <c r="I19" s="2" t="str">
        <f>IFERROR(__xludf.DUMMYFUNCTION("GOOGLETRANSLATE(C19,""fr"",""en"")"),"
I am satisfied with your services. And I am happy to have chosen direct insurance
I will recommend direct insurance to my friends and families")</f>
        <v>
I am satisfied with your services. And I am happy to have chosen direct insurance
I will recommend direct insurance to my friends and families</v>
      </c>
    </row>
    <row r="20">
      <c r="A20" s="2">
        <v>1.0</v>
      </c>
      <c r="B20" s="2" t="s">
        <v>94</v>
      </c>
      <c r="C20" s="2" t="s">
        <v>95</v>
      </c>
      <c r="D20" s="2" t="s">
        <v>96</v>
      </c>
      <c r="E20" s="2" t="s">
        <v>97</v>
      </c>
      <c r="F20" s="2" t="s">
        <v>15</v>
      </c>
      <c r="G20" s="2" t="s">
        <v>98</v>
      </c>
      <c r="H20" s="2" t="s">
        <v>99</v>
      </c>
      <c r="I20" s="2" t="str">
        <f>IFERROR(__xludf.DUMMYFUNCTION("GOOGLETRANSLATE(C20,""fr"",""en"")"),"What to say. The cardif delegation ... Be careful, if you have cardif medical history is not for you; Even if these concerns have passed, without any chance of recurrences (I am by medical profession). Their doctor asks you several times the same document"&amp;"s ... that he does not read (impossible). You are made to fill questionnaires by your doctor who are not even related to what you have had. Once these questionnaires are filled and indicating that everything is finished and especially that there is nothin"&amp;"g (and still I speak of small surgery, I am not talking about cancer ...). We give you an answer where only the death is covered! So be rich, with a vital card where the chip did not serve once, the insurance promised low cost are done for you. However if"&amp;" you are young and sporty, read the exclusions well.")</f>
        <v>What to say. The cardif delegation ... Be careful, if you have cardif medical history is not for you; Even if these concerns have passed, without any chance of recurrences (I am by medical profession). Their doctor asks you several times the same documents ... that he does not read (impossible). You are made to fill questionnaires by your doctor who are not even related to what you have had. Once these questionnaires are filled and indicating that everything is finished and especially that there is nothing (and still I speak of small surgery, I am not talking about cancer ...). We give you an answer where only the death is covered! So be rich, with a vital card where the chip did not serve once, the insurance promised low cost are done for you. However if you are young and sporty, read the exclusions well.</v>
      </c>
    </row>
    <row r="21" ht="15.75" customHeight="1">
      <c r="A21" s="2">
        <v>2.0</v>
      </c>
      <c r="B21" s="2" t="s">
        <v>100</v>
      </c>
      <c r="C21" s="2" t="s">
        <v>101</v>
      </c>
      <c r="D21" s="2" t="s">
        <v>28</v>
      </c>
      <c r="E21" s="2" t="s">
        <v>40</v>
      </c>
      <c r="F21" s="2" t="s">
        <v>15</v>
      </c>
      <c r="G21" s="2" t="s">
        <v>102</v>
      </c>
      <c r="H21" s="2" t="s">
        <v>103</v>
      </c>
      <c r="I21" s="2" t="str">
        <f>IFERROR(__xludf.DUMMYFUNCTION("GOOGLETRANSLATE(C21,""fr"",""en"")"),"Matmut client for near 20 years, my home was the victim of an attempted break -in. Fortunately for us our alarm system made the burglars flee, but the front door was fractured (massive oak door of cabinetmaker with protective grid).
Insurance mandates "&amp;"a company to secure it and establish a repair quote (ras intervention in less than 24 hours).
Finding the addition too high (surroundings 3700th), the Matmut mandates an expert who, as if by magic, believes that it is only necessary to replace the amou"&amp;"nt of the door and the lock mechanism which is damaged (660th) (it remained Less than 10 minutes at my home, and it was I who is remarked by the defective lock that he had not even bored to examine).
After a few weeks of waiting during which I changed "&amp;"myself the lock which remained randomly blocked, a partner company of the Matmut, presses and notes that the order of work is under estimated. She makes a return to insurance with the missing elements, and of course does not make any repair in the meantim"&amp;"e.
Total silence on the part of the insurance, I am forced to relaunch them for two months: ""We are waiting for the return of the expert"", ""no, it is the company that made no return"", ""we recovery "", etc.
I am asked to make quotes on my side t"&amp;"o try to get things done (already 4 months that my door is in this state).
Exasperated, I ask to be compensated in order to have the door replaced on my side since all the professionals I met do not want to guarantee me the solidity of the repair recomme"&amp;"nded by the expert.
After 6 months, I am compensated only 2/3 of the amount initially estimated by the expert (660th) or 421st for ""expert estimate in self -reparation"".
A real repair that guarantees the original solidity costs much more than 660t"&amp;"h, I mean 421st, but I am tired of fighting against incompetent windmills.
So in the end, I will replace my original door with an armored vehicle to be quiet and judiciously invest the 421st compensation that I perceived.
For the cost, I can say t"&amp;"hat the Matmut and really like these knight and Laspalès ambassadors; These are real comics!
To run away absolutely.")</f>
        <v>Matmut client for near 20 years, my home was the victim of an attempted break -in. Fortunately for us our alarm system made the burglars flee, but the front door was fractured (massive oak door of cabinetmaker with protective grid).
Insurance mandates a company to secure it and establish a repair quote (ras intervention in less than 24 hours).
Finding the addition too high (surroundings 3700th), the Matmut mandates an expert who, as if by magic, believes that it is only necessary to replace the amount of the door and the lock mechanism which is damaged (660th) (it remained Less than 10 minutes at my home, and it was I who is remarked by the defective lock that he had not even bored to examine).
After a few weeks of waiting during which I changed myself the lock which remained randomly blocked, a partner company of the Matmut, presses and notes that the order of work is under estimated. She makes a return to insurance with the missing elements, and of course does not make any repair in the meantime.
Total silence on the part of the insurance, I am forced to relaunch them for two months: "We are waiting for the return of the expert", "no, it is the company that made no return", "we recovery ", etc.
I am asked to make quotes on my side to try to get things done (already 4 months that my door is in this state).
Exasperated, I ask to be compensated in order to have the door replaced on my side since all the professionals I met do not want to guarantee me the solidity of the repair recommended by the expert.
After 6 months, I am compensated only 2/3 of the amount initially estimated by the expert (660th) or 421st for "expert estimate in self -reparation".
A real repair that guarantees the original solidity costs much more than 660th, I mean 421st, but I am tired of fighting against incompetent windmills.
So in the end, I will replace my original door with an armored vehicle to be quiet and judiciously invest the 421st compensation that I perceived.
For the cost, I can say that the Matmut and really like these knight and Laspalès ambassadors; These are real comics!
To run away absolutely.</v>
      </c>
    </row>
    <row r="22" ht="15.75" customHeight="1">
      <c r="A22" s="2">
        <v>2.0</v>
      </c>
      <c r="B22" s="2" t="s">
        <v>104</v>
      </c>
      <c r="C22" s="2" t="s">
        <v>105</v>
      </c>
      <c r="D22" s="2" t="s">
        <v>106</v>
      </c>
      <c r="E22" s="2" t="s">
        <v>14</v>
      </c>
      <c r="F22" s="2" t="s">
        <v>15</v>
      </c>
      <c r="G22" s="2" t="s">
        <v>107</v>
      </c>
      <c r="H22" s="2" t="s">
        <v>108</v>
      </c>
      <c r="I22" s="2" t="str">
        <f>IFERROR(__xludf.DUMMYFUNCTION("GOOGLETRANSLATE(C22,""fr"",""en"")"),"Following a self -disaster in auto occurring 3 months ago, I restart each week, insurance, garage, expert no one knows where the car is, nor or is its expertise, I have a different call, none call, none Response to my letters, the service and the follow -"&amp;"up of the files is scandalous I pay a loan car for 3 months, I do not recommend this insurance to anyone to my worst enemies")</f>
        <v>Following a self -disaster in auto occurring 3 months ago, I restart each week, insurance, garage, expert no one knows where the car is, nor or is its expertise, I have a different call, none call, none Response to my letters, the service and the follow -up of the files is scandalous I pay a loan car for 3 months, I do not recommend this insurance to anyone to my worst enemies</v>
      </c>
    </row>
    <row r="23" ht="15.75" customHeight="1">
      <c r="A23" s="2">
        <v>5.0</v>
      </c>
      <c r="B23" s="2" t="s">
        <v>109</v>
      </c>
      <c r="C23" s="2" t="s">
        <v>110</v>
      </c>
      <c r="D23" s="2" t="s">
        <v>13</v>
      </c>
      <c r="E23" s="2" t="s">
        <v>14</v>
      </c>
      <c r="F23" s="2" t="s">
        <v>15</v>
      </c>
      <c r="G23" s="2" t="s">
        <v>111</v>
      </c>
      <c r="H23" s="2" t="s">
        <v>52</v>
      </c>
      <c r="I23" s="2" t="str">
        <f>IFERROR(__xludf.DUMMYFUNCTION("GOOGLETRANSLATE(C23,""fr"",""en"")"),"I am satisfied with all the offers. When there is a concern they answer us as soon as possible.
The prices are very attractive. Good value for money")</f>
        <v>I am satisfied with all the offers. When there is a concern they answer us as soon as possible.
The prices are very attractive. Good value for money</v>
      </c>
    </row>
    <row r="24" ht="15.75" customHeight="1">
      <c r="A24" s="2">
        <v>1.0</v>
      </c>
      <c r="B24" s="2" t="s">
        <v>112</v>
      </c>
      <c r="C24" s="2" t="s">
        <v>113</v>
      </c>
      <c r="D24" s="2" t="s">
        <v>106</v>
      </c>
      <c r="E24" s="2" t="s">
        <v>14</v>
      </c>
      <c r="F24" s="2" t="s">
        <v>15</v>
      </c>
      <c r="G24" s="2" t="s">
        <v>114</v>
      </c>
      <c r="H24" s="2" t="s">
        <v>42</v>
      </c>
      <c r="I24" s="2" t="str">
        <f>IFERROR(__xludf.DUMMYFUNCTION("GOOGLETRANSLATE(C24,""fr"",""en"")"),"We regret being 20 years of insurance at Macif, for a simple claim, he asks us to have the premises assembled by another expert by us clean .? !!! !!!
Insurance to avoid and I do not recommend it to anyone.
We regret fully.
")</f>
        <v>We regret being 20 years of insurance at Macif, for a simple claim, he asks us to have the premises assembled by another expert by us clean .? !!! !!!
Insurance to avoid and I do not recommend it to anyone.
We regret fully.
</v>
      </c>
    </row>
    <row r="25" ht="15.75" customHeight="1">
      <c r="A25" s="2">
        <v>1.0</v>
      </c>
      <c r="B25" s="2" t="s">
        <v>115</v>
      </c>
      <c r="C25" s="2" t="s">
        <v>116</v>
      </c>
      <c r="D25" s="2" t="s">
        <v>117</v>
      </c>
      <c r="E25" s="2" t="s">
        <v>40</v>
      </c>
      <c r="F25" s="2" t="s">
        <v>15</v>
      </c>
      <c r="G25" s="2" t="s">
        <v>118</v>
      </c>
      <c r="H25" s="2" t="s">
        <v>119</v>
      </c>
      <c r="I25" s="2" t="str">
        <f>IFERROR(__xludf.DUMMYFUNCTION("GOOGLETRANSLATE(C25,""fr"",""en"")"),"A star is far too generous ... sinister discovered in September, a small private water leak immediately repaired but which was discovered late and has done significant damage in the apartment. 7 months later, no refund. No one is personally responsible fo"&amp;"r the file. We have contacted Allianz dozens of times by email and telephone and always have different interlocutors. No one knows or understands what's going on, and anyone doesn't care anyway. We are given completely contradictory information. The Sedge"&amp;"wick (Expert) company takes over to drag things as much as possible, months have passed between each expertise / visit. The calls have not returned. The sale of our apartment ended up falling into the water because our buyers feared never being reimbursed"&amp;". What seemed to be incompetence and a total lack of professionalism is increasingly like a deliberate strategy so as not to reimburse the damage.")</f>
        <v>A star is far too generous ... sinister discovered in September, a small private water leak immediately repaired but which was discovered late and has done significant damage in the apartment. 7 months later, no refund. No one is personally responsible for the file. We have contacted Allianz dozens of times by email and telephone and always have different interlocutors. No one knows or understands what's going on, and anyone doesn't care anyway. We are given completely contradictory information. The Sedgewick (Expert) company takes over to drag things as much as possible, months have passed between each expertise / visit. The calls have not returned. The sale of our apartment ended up falling into the water because our buyers feared never being reimbursed. What seemed to be incompetence and a total lack of professionalism is increasingly like a deliberate strategy so as not to reimburse the damage.</v>
      </c>
    </row>
    <row r="26" ht="15.75" customHeight="1">
      <c r="A26" s="2">
        <v>4.0</v>
      </c>
      <c r="B26" s="2" t="s">
        <v>120</v>
      </c>
      <c r="C26" s="2" t="s">
        <v>121</v>
      </c>
      <c r="D26" s="2" t="s">
        <v>122</v>
      </c>
      <c r="E26" s="2" t="s">
        <v>123</v>
      </c>
      <c r="F26" s="2" t="s">
        <v>15</v>
      </c>
      <c r="G26" s="2" t="s">
        <v>124</v>
      </c>
      <c r="H26" s="2" t="s">
        <v>68</v>
      </c>
      <c r="I26" s="2" t="str">
        <f>IFERROR(__xludf.DUMMYFUNCTION("GOOGLETRANSLATE(C26,""fr"",""en"")"),"Clear and detailed explanations, price adapted to the need, available and attentive advisor.
RV taking and administrative processing of quick files")</f>
        <v>Clear and detailed explanations, price adapted to the need, available and attentive advisor.
RV taking and administrative processing of quick files</v>
      </c>
    </row>
    <row r="27" ht="15.75" customHeight="1">
      <c r="A27" s="2">
        <v>3.0</v>
      </c>
      <c r="B27" s="2" t="s">
        <v>125</v>
      </c>
      <c r="C27" s="2" t="s">
        <v>126</v>
      </c>
      <c r="D27" s="2" t="s">
        <v>13</v>
      </c>
      <c r="E27" s="2" t="s">
        <v>14</v>
      </c>
      <c r="F27" s="2" t="s">
        <v>15</v>
      </c>
      <c r="G27" s="2" t="s">
        <v>127</v>
      </c>
      <c r="H27" s="2" t="s">
        <v>128</v>
      </c>
      <c r="I27" s="2" t="str">
        <f>IFERROR(__xludf.DUMMYFUNCTION("GOOGLETRANSLATE(C27,""fr"",""en"")"),"Prices are increasing every year.
Even during confinements!
The departure prices are attractive and then the increases are linked!")</f>
        <v>Prices are increasing every year.
Even during confinements!
The departure prices are attractive and then the increases are linked!</v>
      </c>
    </row>
    <row r="28" ht="15.75" customHeight="1">
      <c r="A28" s="2">
        <v>1.0</v>
      </c>
      <c r="B28" s="2" t="s">
        <v>129</v>
      </c>
      <c r="C28" s="2" t="s">
        <v>130</v>
      </c>
      <c r="D28" s="2" t="s">
        <v>13</v>
      </c>
      <c r="E28" s="2" t="s">
        <v>14</v>
      </c>
      <c r="F28" s="2" t="s">
        <v>15</v>
      </c>
      <c r="G28" s="2" t="s">
        <v>131</v>
      </c>
      <c r="H28" s="2" t="s">
        <v>131</v>
      </c>
      <c r="I28" s="2" t="str">
        <f>IFERROR(__xludf.DUMMYFUNCTION("GOOGLETRANSLATE(C28,""fr"",""en"")"),"Prime increase of 150% without justifications. No claims or change of address.")</f>
        <v>Prime increase of 150% without justifications. No claims or change of address.</v>
      </c>
    </row>
    <row r="29" ht="15.75" customHeight="1">
      <c r="A29" s="2">
        <v>5.0</v>
      </c>
      <c r="B29" s="2" t="s">
        <v>132</v>
      </c>
      <c r="C29" s="2" t="s">
        <v>133</v>
      </c>
      <c r="D29" s="2" t="s">
        <v>134</v>
      </c>
      <c r="E29" s="2" t="s">
        <v>56</v>
      </c>
      <c r="F29" s="2" t="s">
        <v>15</v>
      </c>
      <c r="G29" s="2" t="s">
        <v>135</v>
      </c>
      <c r="H29" s="2" t="s">
        <v>42</v>
      </c>
      <c r="I29" s="2" t="str">
        <f>IFERROR(__xludf.DUMMYFUNCTION("GOOGLETRANSLATE(C29,""fr"",""en"")"),"Quick simple nice price. In short, that happiness to subscribe online.
I will not hesitate to recommend my friends Sibings need to ensure a motorcycle or a scooter")</f>
        <v>Quick simple nice price. In short, that happiness to subscribe online.
I will not hesitate to recommend my friends Sibings need to ensure a motorcycle or a scooter</v>
      </c>
    </row>
    <row r="30" ht="15.75" customHeight="1">
      <c r="A30" s="2">
        <v>1.0</v>
      </c>
      <c r="B30" s="2" t="s">
        <v>136</v>
      </c>
      <c r="C30" s="2" t="s">
        <v>137</v>
      </c>
      <c r="D30" s="2" t="s">
        <v>138</v>
      </c>
      <c r="E30" s="2" t="s">
        <v>40</v>
      </c>
      <c r="F30" s="2" t="s">
        <v>15</v>
      </c>
      <c r="G30" s="2" t="s">
        <v>139</v>
      </c>
      <c r="H30" s="2" t="s">
        <v>140</v>
      </c>
      <c r="I30" s="2" t="str">
        <f>IFERROR(__xludf.DUMMYFUNCTION("GOOGLETRANSLATE(C30,""fr"",""en"")"),"I have been a customer for over 30 years at Groupama. At the first real estate disaster, it is a disaster. The file has been open for 2 years. When I point out that nothing is advancing, the Groupama inspector said to me: ""If you are not happy you can go"&amp;" and see elsewhere"". I should have left this insurance a long time ago.")</f>
        <v>I have been a customer for over 30 years at Groupama. At the first real estate disaster, it is a disaster. The file has been open for 2 years. When I point out that nothing is advancing, the Groupama inspector said to me: "If you are not happy you can go and see elsewhere". I should have left this insurance a long time ago.</v>
      </c>
    </row>
    <row r="31" ht="15.75" customHeight="1">
      <c r="A31" s="2">
        <v>1.0</v>
      </c>
      <c r="B31" s="2" t="s">
        <v>141</v>
      </c>
      <c r="C31" s="2" t="s">
        <v>142</v>
      </c>
      <c r="D31" s="2" t="s">
        <v>33</v>
      </c>
      <c r="E31" s="2" t="s">
        <v>34</v>
      </c>
      <c r="F31" s="2" t="s">
        <v>15</v>
      </c>
      <c r="G31" s="2" t="s">
        <v>143</v>
      </c>
      <c r="H31" s="2" t="s">
        <v>144</v>
      </c>
      <c r="I31" s="2" t="str">
        <f>IFERROR(__xludf.DUMMYFUNCTION("GOOGLETRANSLATE(C31,""fr"",""en"")"),"- Very difficult to find a phone number
- Impossible to reach then (too long waiting time, recall later ...)
- Inoperative site (no way to send documents for reimbursements for example)
- High prices
2 hours of lost for a nullissime mutual, it really "&amp;"feels like you are taken for good pears just good to pay!")</f>
        <v>- Very difficult to find a phone number
- Impossible to reach then (too long waiting time, recall later ...)
- Inoperative site (no way to send documents for reimbursements for example)
- High prices
2 hours of lost for a nullissime mutual, it really feels like you are taken for good pears just good to pay!</v>
      </c>
    </row>
    <row r="32" ht="15.75" customHeight="1">
      <c r="A32" s="2">
        <v>3.0</v>
      </c>
      <c r="B32" s="2" t="s">
        <v>145</v>
      </c>
      <c r="C32" s="2" t="s">
        <v>146</v>
      </c>
      <c r="D32" s="2" t="s">
        <v>134</v>
      </c>
      <c r="E32" s="2" t="s">
        <v>56</v>
      </c>
      <c r="F32" s="2" t="s">
        <v>15</v>
      </c>
      <c r="G32" s="2" t="s">
        <v>147</v>
      </c>
      <c r="H32" s="2" t="s">
        <v>68</v>
      </c>
      <c r="I32" s="2" t="str">
        <f>IFERROR(__xludf.DUMMYFUNCTION("GOOGLETRANSLATE(C32,""fr"",""en"")"),"At the price level you are at the top quality too and thank you very much for the assurance that you have given me for my scooter is very kind of you")</f>
        <v>At the price level you are at the top quality too and thank you very much for the assurance that you have given me for my scooter is very kind of you</v>
      </c>
    </row>
    <row r="33" ht="15.75" customHeight="1">
      <c r="A33" s="2">
        <v>5.0</v>
      </c>
      <c r="B33" s="2" t="s">
        <v>148</v>
      </c>
      <c r="C33" s="2" t="s">
        <v>149</v>
      </c>
      <c r="D33" s="2" t="s">
        <v>106</v>
      </c>
      <c r="E33" s="2" t="s">
        <v>14</v>
      </c>
      <c r="F33" s="2" t="s">
        <v>15</v>
      </c>
      <c r="G33" s="2" t="s">
        <v>150</v>
      </c>
      <c r="H33" s="2" t="s">
        <v>140</v>
      </c>
      <c r="I33" s="2" t="str">
        <f>IFERROR(__xludf.DUMMYFUNCTION("GOOGLETRANSLATE(C33,""fr"",""en"")"),"Hello insured has macif there since 1983 following a car breakdown in the countryside I was help out in an hour and repatriate to a rental company at 8 p.m. for a replacement vehicle real estate degas of storm water reimbursed in a broken week of your int"&amp;"erior Refunded immediately I highly recommend")</f>
        <v>Hello insured has macif there since 1983 following a car breakdown in the countryside I was help out in an hour and repatriate to a rental company at 8 p.m. for a replacement vehicle real estate degas of storm water reimbursed in a broken week of your interior Refunded immediately I highly recommend</v>
      </c>
    </row>
    <row r="34" ht="15.75" customHeight="1">
      <c r="A34" s="2">
        <v>1.0</v>
      </c>
      <c r="B34" s="2" t="s">
        <v>151</v>
      </c>
      <c r="C34" s="2" t="s">
        <v>152</v>
      </c>
      <c r="D34" s="2" t="s">
        <v>71</v>
      </c>
      <c r="E34" s="2" t="s">
        <v>14</v>
      </c>
      <c r="F34" s="2" t="s">
        <v>15</v>
      </c>
      <c r="G34" s="2" t="s">
        <v>153</v>
      </c>
      <c r="H34" s="2" t="s">
        <v>73</v>
      </c>
      <c r="I34" s="2" t="str">
        <f>IFERROR(__xludf.DUMMYFUNCTION("GOOGLETRANSLATE(C34,""fr"",""en"")"),"MAIF is no longer what it was: cold and commercial welcome, services without relief. The worst part is that after 20 years of house, you can refuse you a maximum bonus that you had preciously maintained, under the pretext that you have in the meantime a m"&amp;"otorbike 125 rather than an automobile. No respect for the customer, very disappointing!")</f>
        <v>MAIF is no longer what it was: cold and commercial welcome, services without relief. The worst part is that after 20 years of house, you can refuse you a maximum bonus that you had preciously maintained, under the pretext that you have in the meantime a motorbike 125 rather than an automobile. No respect for the customer, very disappointing!</v>
      </c>
    </row>
    <row r="35" ht="15.75" customHeight="1">
      <c r="A35" s="2">
        <v>5.0</v>
      </c>
      <c r="B35" s="2" t="s">
        <v>154</v>
      </c>
      <c r="C35" s="2" t="s">
        <v>155</v>
      </c>
      <c r="D35" s="2" t="s">
        <v>134</v>
      </c>
      <c r="E35" s="2" t="s">
        <v>56</v>
      </c>
      <c r="F35" s="2" t="s">
        <v>15</v>
      </c>
      <c r="G35" s="2" t="s">
        <v>93</v>
      </c>
      <c r="H35" s="2" t="s">
        <v>21</v>
      </c>
      <c r="I35" s="2" t="str">
        <f>IFERROR(__xludf.DUMMYFUNCTION("GOOGLETRANSLATE(C35,""fr"",""en"")"),"Very good and fast and simple to subscribe to insurance with ease and quickly. I recommend this insurance. Maybe improving the interface")</f>
        <v>Very good and fast and simple to subscribe to insurance with ease and quickly. I recommend this insurance. Maybe improving the interface</v>
      </c>
    </row>
    <row r="36" ht="15.75" customHeight="1">
      <c r="A36" s="2">
        <v>4.0</v>
      </c>
      <c r="B36" s="2" t="s">
        <v>156</v>
      </c>
      <c r="C36" s="2" t="s">
        <v>157</v>
      </c>
      <c r="D36" s="2" t="s">
        <v>13</v>
      </c>
      <c r="E36" s="2" t="s">
        <v>14</v>
      </c>
      <c r="F36" s="2" t="s">
        <v>15</v>
      </c>
      <c r="G36" s="2" t="s">
        <v>158</v>
      </c>
      <c r="H36" s="2" t="s">
        <v>84</v>
      </c>
      <c r="I36" s="2" t="str">
        <f>IFERROR(__xludf.DUMMYFUNCTION("GOOGLETRANSLATE(C36,""fr"",""en"")"),"I am satisfied with the service, the prices suit me except for the habitat insurance that I find a little high (subscribed very recently online); Cheaper previous quote.
The site is really very complete and, the emails sent are received very quickly.
I "&amp;"hope that my satisfaction will extend.")</f>
        <v>I am satisfied with the service, the prices suit me except for the habitat insurance that I find a little high (subscribed very recently online); Cheaper previous quote.
The site is really very complete and, the emails sent are received very quickly.
I hope that my satisfaction will extend.</v>
      </c>
    </row>
    <row r="37" ht="15.75" customHeight="1">
      <c r="A37" s="2">
        <v>5.0</v>
      </c>
      <c r="B37" s="2" t="s">
        <v>159</v>
      </c>
      <c r="C37" s="2" t="s">
        <v>160</v>
      </c>
      <c r="D37" s="2" t="s">
        <v>161</v>
      </c>
      <c r="E37" s="2" t="s">
        <v>56</v>
      </c>
      <c r="F37" s="2" t="s">
        <v>15</v>
      </c>
      <c r="G37" s="2" t="s">
        <v>162</v>
      </c>
      <c r="H37" s="2" t="s">
        <v>163</v>
      </c>
      <c r="I37" s="2" t="str">
        <f>IFERROR(__xludf.DUMMYFUNCTION("GOOGLETRANSLATE(C37,""fr"",""en"")"),"To your listening, sympathetic, very effective and human .... available,")</f>
        <v>To your listening, sympathetic, very effective and human .... available,</v>
      </c>
    </row>
    <row r="38" ht="15.75" customHeight="1">
      <c r="A38" s="2">
        <v>4.0</v>
      </c>
      <c r="B38" s="2" t="s">
        <v>164</v>
      </c>
      <c r="C38" s="2" t="s">
        <v>165</v>
      </c>
      <c r="D38" s="2" t="s">
        <v>39</v>
      </c>
      <c r="E38" s="2" t="s">
        <v>14</v>
      </c>
      <c r="F38" s="2" t="s">
        <v>15</v>
      </c>
      <c r="G38" s="2" t="s">
        <v>166</v>
      </c>
      <c r="H38" s="2" t="s">
        <v>167</v>
      </c>
      <c r="I38" s="2" t="str">
        <f>IFERROR(__xludf.DUMMYFUNCTION("GOOGLETRANSLATE(C38,""fr"",""en"")"),"Ras I am satisfied with the speed of the telephone contact and the competence of the interlocutor not other observations thank you cordially")</f>
        <v>Ras I am satisfied with the speed of the telephone contact and the competence of the interlocutor not other observations thank you cordially</v>
      </c>
    </row>
    <row r="39" ht="15.75" customHeight="1">
      <c r="A39" s="2">
        <v>4.0</v>
      </c>
      <c r="B39" s="2" t="s">
        <v>168</v>
      </c>
      <c r="C39" s="2" t="s">
        <v>169</v>
      </c>
      <c r="D39" s="2" t="s">
        <v>13</v>
      </c>
      <c r="E39" s="2" t="s">
        <v>14</v>
      </c>
      <c r="F39" s="2" t="s">
        <v>15</v>
      </c>
      <c r="G39" s="2" t="s">
        <v>170</v>
      </c>
      <c r="H39" s="2" t="s">
        <v>84</v>
      </c>
      <c r="I39" s="2" t="str">
        <f>IFERROR(__xludf.DUMMYFUNCTION("GOOGLETRANSLATE(C39,""fr"",""en"")"),"I'm happy for the moment; J4AI A D2CLAUTION 0 Do and I cannot easily find direct access. Otherwise the assistance is still as efficient. It would be desirable to bring together motorcycle car vehicles
")</f>
        <v>I'm happy for the moment; J4AI A D2CLAUTION 0 Do and I cannot easily find direct access. Otherwise the assistance is still as efficient. It would be desirable to bring together motorcycle car vehicles
</v>
      </c>
    </row>
    <row r="40" ht="15.75" customHeight="1">
      <c r="A40" s="2">
        <v>4.0</v>
      </c>
      <c r="B40" s="2" t="s">
        <v>171</v>
      </c>
      <c r="C40" s="2" t="s">
        <v>172</v>
      </c>
      <c r="D40" s="2" t="s">
        <v>13</v>
      </c>
      <c r="E40" s="2" t="s">
        <v>14</v>
      </c>
      <c r="F40" s="2" t="s">
        <v>15</v>
      </c>
      <c r="G40" s="2" t="s">
        <v>173</v>
      </c>
      <c r="H40" s="2" t="s">
        <v>167</v>
      </c>
      <c r="I40" s="2" t="str">
        <f>IFERROR(__xludf.DUMMYFUNCTION("GOOGLETRANSLATE(C40,""fr"",""en"")"),"I am satisfied with the various interviews I had with people when I had a need for information.
I am also satisfied with prices.")</f>
        <v>I am satisfied with the various interviews I had with people when I had a need for information.
I am also satisfied with prices.</v>
      </c>
    </row>
    <row r="41" ht="15.75" customHeight="1">
      <c r="A41" s="2">
        <v>4.0</v>
      </c>
      <c r="B41" s="2" t="s">
        <v>174</v>
      </c>
      <c r="C41" s="2" t="s">
        <v>175</v>
      </c>
      <c r="D41" s="2" t="s">
        <v>13</v>
      </c>
      <c r="E41" s="2" t="s">
        <v>14</v>
      </c>
      <c r="F41" s="2" t="s">
        <v>15</v>
      </c>
      <c r="G41" s="2" t="s">
        <v>158</v>
      </c>
      <c r="H41" s="2" t="s">
        <v>84</v>
      </c>
      <c r="I41" s="2" t="str">
        <f>IFERROR(__xludf.DUMMYFUNCTION("GOOGLETRANSLATE(C41,""fr"",""en"")"),"This is correct for what I want in my insurance. Like everyone I would like much cheaper ... but I had what I wanted with a correct price")</f>
        <v>This is correct for what I want in my insurance. Like everyone I would like much cheaper ... but I had what I wanted with a correct price</v>
      </c>
    </row>
    <row r="42" ht="15.75" customHeight="1">
      <c r="A42" s="2">
        <v>1.0</v>
      </c>
      <c r="B42" s="2" t="s">
        <v>176</v>
      </c>
      <c r="C42" s="2" t="s">
        <v>177</v>
      </c>
      <c r="D42" s="2" t="s">
        <v>178</v>
      </c>
      <c r="E42" s="2" t="s">
        <v>66</v>
      </c>
      <c r="F42" s="2" t="s">
        <v>15</v>
      </c>
      <c r="G42" s="2" t="s">
        <v>179</v>
      </c>
      <c r="H42" s="2" t="s">
        <v>180</v>
      </c>
      <c r="I42" s="2" t="str">
        <f>IFERROR(__xludf.DUMMYFUNCTION("GOOGLETRANSLATE(C42,""fr"",""en"")"),"For two, the fifty spent is € 1900 in contributions per year. Think before signing. If it is already done, possibility of giving up within 14 days during a canvassing at home. This is what I just did")</f>
        <v>For two, the fifty spent is € 1900 in contributions per year. Think before signing. If it is already done, possibility of giving up within 14 days during a canvassing at home. This is what I just did</v>
      </c>
    </row>
    <row r="43" ht="15.75" customHeight="1">
      <c r="A43" s="2">
        <v>4.0</v>
      </c>
      <c r="B43" s="2" t="s">
        <v>181</v>
      </c>
      <c r="C43" s="2" t="s">
        <v>182</v>
      </c>
      <c r="D43" s="2" t="s">
        <v>183</v>
      </c>
      <c r="E43" s="2" t="s">
        <v>97</v>
      </c>
      <c r="F43" s="2" t="s">
        <v>15</v>
      </c>
      <c r="G43" s="2" t="s">
        <v>184</v>
      </c>
      <c r="H43" s="2" t="s">
        <v>167</v>
      </c>
      <c r="I43" s="2" t="str">
        <f>IFERROR(__xludf.DUMMYFUNCTION("GOOGLETRANSLATE(C43,""fr"",""en"")"),"Good advice, reactive. Things are explained clearly
Fast and effective.
The price is not the most competitive but the service seems suitable for me.
Too bad there is no choice on the date of sampling.")</f>
        <v>Good advice, reactive. Things are explained clearly
Fast and effective.
The price is not the most competitive but the service seems suitable for me.
Too bad there is no choice on the date of sampling.</v>
      </c>
    </row>
    <row r="44" ht="15.75" customHeight="1">
      <c r="A44" s="2">
        <v>1.0</v>
      </c>
      <c r="B44" s="2" t="s">
        <v>185</v>
      </c>
      <c r="C44" s="2" t="s">
        <v>186</v>
      </c>
      <c r="D44" s="2" t="s">
        <v>106</v>
      </c>
      <c r="E44" s="2" t="s">
        <v>14</v>
      </c>
      <c r="F44" s="2" t="s">
        <v>15</v>
      </c>
      <c r="G44" s="2" t="s">
        <v>187</v>
      </c>
      <c r="H44" s="2" t="s">
        <v>131</v>
      </c>
      <c r="I44" s="2" t="str">
        <f>IFERROR(__xludf.DUMMYFUNCTION("GOOGLETRANSLATE(C44,""fr"",""en"")"),"The Macif has been sure for over 6 years without any worries. Today, I have just known that I was no longer assured (since when .... good question ...) because of my penalty. In addition, the reflections of the technicians on the phone was limited ... whi"&amp;"le I am a serious client and which does not groan when they take time for reimbursements with regard to health ... Total desception !!! I do not advise this insurance in any case!")</f>
        <v>The Macif has been sure for over 6 years without any worries. Today, I have just known that I was no longer assured (since when .... good question ...) because of my penalty. In addition, the reflections of the technicians on the phone was limited ... while I am a serious client and which does not groan when they take time for reimbursements with regard to health ... Total desception !!! I do not advise this insurance in any case!</v>
      </c>
    </row>
    <row r="45" ht="15.75" customHeight="1">
      <c r="A45" s="2">
        <v>5.0</v>
      </c>
      <c r="B45" s="2" t="s">
        <v>188</v>
      </c>
      <c r="C45" s="2" t="s">
        <v>189</v>
      </c>
      <c r="D45" s="2" t="s">
        <v>24</v>
      </c>
      <c r="E45" s="2" t="s">
        <v>14</v>
      </c>
      <c r="F45" s="2" t="s">
        <v>15</v>
      </c>
      <c r="G45" s="2" t="s">
        <v>190</v>
      </c>
      <c r="H45" s="2" t="s">
        <v>68</v>
      </c>
      <c r="I45" s="2" t="str">
        <f>IFERROR(__xludf.DUMMYFUNCTION("GOOGLETRANSLATE(C45,""fr"",""en"")"),"Very satisfied with the prices and the reception of all the advisers I had on the phone. I was well accompanied throughout my subscription procedures.")</f>
        <v>Very satisfied with the prices and the reception of all the advisers I had on the phone. I was well accompanied throughout my subscription procedures.</v>
      </c>
    </row>
    <row r="46" ht="15.75" customHeight="1">
      <c r="A46" s="2">
        <v>3.0</v>
      </c>
      <c r="B46" s="2" t="s">
        <v>191</v>
      </c>
      <c r="C46" s="2" t="s">
        <v>192</v>
      </c>
      <c r="D46" s="2" t="s">
        <v>28</v>
      </c>
      <c r="E46" s="2" t="s">
        <v>40</v>
      </c>
      <c r="F46" s="2" t="s">
        <v>15</v>
      </c>
      <c r="G46" s="2" t="s">
        <v>193</v>
      </c>
      <c r="H46" s="2" t="s">
        <v>194</v>
      </c>
      <c r="I46" s="2" t="str">
        <f>IFERROR(__xludf.DUMMYFUNCTION("GOOGLETRANSLATE(C46,""fr"",""en"")"),"Very disappointed I have been in the matmut for over 40 years I have been paying the smac since that date I dropped fracture of the femur I underwent 7 operations I am 74 years 6 months of armchair I can no longer move alone So no more exit without help r"&amp;"efusal of the matmut I do not have 50/00 percent of disability to benefit from the SMAC for them you have to attack the hospital having caught a bacteria that I have caught at home by the Domicile care")</f>
        <v>Very disappointed I have been in the matmut for over 40 years I have been paying the smac since that date I dropped fracture of the femur I underwent 7 operations I am 74 years 6 months of armchair I can no longer move alone So no more exit without help refusal of the matmut I do not have 50/00 percent of disability to benefit from the SMAC for them you have to attack the hospital having caught a bacteria that I have caught at home by the Domicile care</v>
      </c>
    </row>
    <row r="47" ht="15.75" customHeight="1">
      <c r="A47" s="2">
        <v>5.0</v>
      </c>
      <c r="B47" s="2" t="s">
        <v>195</v>
      </c>
      <c r="C47" s="2" t="s">
        <v>196</v>
      </c>
      <c r="D47" s="2" t="s">
        <v>24</v>
      </c>
      <c r="E47" s="2" t="s">
        <v>14</v>
      </c>
      <c r="F47" s="2" t="s">
        <v>15</v>
      </c>
      <c r="G47" s="2" t="s">
        <v>197</v>
      </c>
      <c r="H47" s="2" t="s">
        <v>128</v>
      </c>
      <c r="I47" s="2" t="str">
        <f>IFERROR(__xludf.DUMMYFUNCTION("GOOGLETRANSLATE(C47,""fr"",""en"")"),"Very suitable rapidity and price. The website is very simple to use and easy to send documents.
Very friendly and professional staff.")</f>
        <v>Very suitable rapidity and price. The website is very simple to use and easy to send documents.
Very friendly and professional staff.</v>
      </c>
    </row>
    <row r="48" ht="15.75" customHeight="1">
      <c r="A48" s="2">
        <v>4.0</v>
      </c>
      <c r="B48" s="2" t="s">
        <v>198</v>
      </c>
      <c r="C48" s="2" t="s">
        <v>199</v>
      </c>
      <c r="D48" s="2" t="s">
        <v>13</v>
      </c>
      <c r="E48" s="2" t="s">
        <v>14</v>
      </c>
      <c r="F48" s="2" t="s">
        <v>15</v>
      </c>
      <c r="G48" s="2" t="s">
        <v>200</v>
      </c>
      <c r="H48" s="2" t="s">
        <v>84</v>
      </c>
      <c r="I48" s="2" t="str">
        <f>IFERROR(__xludf.DUMMYFUNCTION("GOOGLETRANSLATE(C48,""fr"",""en"")"),"Simple, practical, the price suits me. No worries with ""Direct Insurance"" insurance services. I will recommend insurance to a direct friend insurance.")</f>
        <v>Simple, practical, the price suits me. No worries with "Direct Insurance" insurance services. I will recommend insurance to a direct friend insurance.</v>
      </c>
    </row>
    <row r="49" ht="15.75" customHeight="1">
      <c r="A49" s="2">
        <v>2.0</v>
      </c>
      <c r="B49" s="2" t="s">
        <v>201</v>
      </c>
      <c r="C49" s="2" t="s">
        <v>202</v>
      </c>
      <c r="D49" s="2" t="s">
        <v>13</v>
      </c>
      <c r="E49" s="2" t="s">
        <v>14</v>
      </c>
      <c r="F49" s="2" t="s">
        <v>15</v>
      </c>
      <c r="G49" s="2" t="s">
        <v>203</v>
      </c>
      <c r="H49" s="2" t="s">
        <v>42</v>
      </c>
      <c r="I49" s="2" t="str">
        <f>IFERROR(__xludf.DUMMYFUNCTION("GOOGLETRANSLATE(C49,""fr"",""en"")"),"Client for 15 years+. The prices for contract renewals are always more expensive (average 80 to 200 euros+) than a new contract.
In 2020, I shifted the start of my contract for a fortnight and they made my new contract for this request. But since then,"&amp;" I have been harassed by phone by a recovery firm every day (and often telephone messages several times a day) for more than a year for less than 50 euros in insurance costs covering this fifteen days! No matter what I called Direct Insurance and their re"&amp;"covery firm, but they persist in claiming this undue sum to me !!!")</f>
        <v>Client for 15 years+. The prices for contract renewals are always more expensive (average 80 to 200 euros+) than a new contract.
In 2020, I shifted the start of my contract for a fortnight and they made my new contract for this request. But since then, I have been harassed by phone by a recovery firm every day (and often telephone messages several times a day) for more than a year for less than 50 euros in insurance costs covering this fifteen days! No matter what I called Direct Insurance and their recovery firm, but they persist in claiming this undue sum to me !!!</v>
      </c>
    </row>
    <row r="50" ht="15.75" customHeight="1">
      <c r="A50" s="2">
        <v>1.0</v>
      </c>
      <c r="B50" s="2" t="s">
        <v>204</v>
      </c>
      <c r="C50" s="2" t="s">
        <v>205</v>
      </c>
      <c r="D50" s="2" t="s">
        <v>13</v>
      </c>
      <c r="E50" s="2" t="s">
        <v>14</v>
      </c>
      <c r="F50" s="2" t="s">
        <v>15</v>
      </c>
      <c r="G50" s="2" t="s">
        <v>206</v>
      </c>
      <c r="H50" s="2" t="s">
        <v>140</v>
      </c>
      <c r="I50" s="2" t="str">
        <f>IFERROR(__xludf.DUMMYFUNCTION("GOOGLETRANSLATE(C50,""fr"",""en"")"),"To flee, I have 15 years of license, without responsible accidents, they do not want to make me a car of 272 horsepower, as what it is too powerful, it's really crazy.")</f>
        <v>To flee, I have 15 years of license, without responsible accidents, they do not want to make me a car of 272 horsepower, as what it is too powerful, it's really crazy.</v>
      </c>
    </row>
    <row r="51" ht="15.75" customHeight="1">
      <c r="A51" s="2">
        <v>4.0</v>
      </c>
      <c r="B51" s="2" t="s">
        <v>207</v>
      </c>
      <c r="C51" s="2" t="s">
        <v>208</v>
      </c>
      <c r="D51" s="2" t="s">
        <v>209</v>
      </c>
      <c r="E51" s="2" t="s">
        <v>14</v>
      </c>
      <c r="F51" s="2" t="s">
        <v>15</v>
      </c>
      <c r="G51" s="2" t="s">
        <v>210</v>
      </c>
      <c r="H51" s="2" t="s">
        <v>211</v>
      </c>
      <c r="I51" s="2" t="str">
        <f>IFERROR(__xludf.DUMMYFUNCTION("GOOGLETRANSLATE(C51,""fr"",""en"")"),"I had a non-responsible disaster on Friday, loan car 4 hours after the disaster, expert Le Mercedi who follows, non-reparable vehicle (given the state of it no surprises), compensation of the vehicle 2 weeks after the accident. My advisor awarded during t"&amp;"he accident kept informed of the situation as you go. I am totally satisfied with Pacifica.")</f>
        <v>I had a non-responsible disaster on Friday, loan car 4 hours after the disaster, expert Le Mercedi who follows, non-reparable vehicle (given the state of it no surprises), compensation of the vehicle 2 weeks after the accident. My advisor awarded during the accident kept informed of the situation as you go. I am totally satisfied with Pacifica.</v>
      </c>
    </row>
    <row r="52" ht="15.75" customHeight="1">
      <c r="A52" s="2">
        <v>4.0</v>
      </c>
      <c r="B52" s="2" t="s">
        <v>212</v>
      </c>
      <c r="C52" s="2" t="s">
        <v>213</v>
      </c>
      <c r="D52" s="2" t="s">
        <v>24</v>
      </c>
      <c r="E52" s="2" t="s">
        <v>14</v>
      </c>
      <c r="F52" s="2" t="s">
        <v>15</v>
      </c>
      <c r="G52" s="2" t="s">
        <v>214</v>
      </c>
      <c r="H52" s="2" t="s">
        <v>167</v>
      </c>
      <c r="I52" s="2" t="str">
        <f>IFERROR(__xludf.DUMMYFUNCTION("GOOGLETRANSLATE(C52,""fr"",""en"")"),"The prices suit me, the information is clear and precise, the site is very readable and easy to take in hand, pleasant advisor and answered all my questions")</f>
        <v>The prices suit me, the information is clear and precise, the site is very readable and easy to take in hand, pleasant advisor and answered all my questions</v>
      </c>
    </row>
    <row r="53" ht="15.75" customHeight="1">
      <c r="A53" s="2">
        <v>1.0</v>
      </c>
      <c r="B53" s="2" t="s">
        <v>215</v>
      </c>
      <c r="C53" s="2" t="s">
        <v>216</v>
      </c>
      <c r="D53" s="2" t="s">
        <v>13</v>
      </c>
      <c r="E53" s="2" t="s">
        <v>14</v>
      </c>
      <c r="F53" s="2" t="s">
        <v>15</v>
      </c>
      <c r="G53" s="2" t="s">
        <v>217</v>
      </c>
      <c r="H53" s="2" t="s">
        <v>140</v>
      </c>
      <c r="I53" s="2" t="str">
        <f>IFERROR(__xludf.DUMMYFUNCTION("GOOGLETRANSLATE(C53,""fr"",""en"")"),"39 € per month in 2020 and 44 € for 2021 when I had no claim and when I phone for explanations it tells me that it depends on the vehicle and where I live knowing that I live in Charente And I don't think that is where it fears the most. He takes advantag"&amp;"e of being forced to have insurance to do what they want. Insurance to avoid")</f>
        <v>39 € per month in 2020 and 44 € for 2021 when I had no claim and when I phone for explanations it tells me that it depends on the vehicle and where I live knowing that I live in Charente And I don't think that is where it fears the most. He takes advantage of being forced to have insurance to do what they want. Insurance to avoid</v>
      </c>
    </row>
    <row r="54" ht="15.75" customHeight="1">
      <c r="A54" s="2">
        <v>1.0</v>
      </c>
      <c r="B54" s="2" t="s">
        <v>218</v>
      </c>
      <c r="C54" s="2" t="s">
        <v>219</v>
      </c>
      <c r="D54" s="2" t="s">
        <v>28</v>
      </c>
      <c r="E54" s="2" t="s">
        <v>14</v>
      </c>
      <c r="F54" s="2" t="s">
        <v>15</v>
      </c>
      <c r="G54" s="2" t="s">
        <v>220</v>
      </c>
      <c r="H54" s="2" t="s">
        <v>221</v>
      </c>
      <c r="I54" s="2" t="str">
        <f>IFERROR(__xludf.DUMMYFUNCTION("GOOGLETRANSLATE(C54,""fr"",""en"")"),"Too bad we can't put 0 stars! Never go to them in the event of theft they do not compensate you for nothing and they make fun of you to flee there is still time !!!!")</f>
        <v>Too bad we can't put 0 stars! Never go to them in the event of theft they do not compensate you for nothing and they make fun of you to flee there is still time !!!!</v>
      </c>
    </row>
    <row r="55" ht="15.75" customHeight="1">
      <c r="A55" s="2">
        <v>3.0</v>
      </c>
      <c r="B55" s="2" t="s">
        <v>222</v>
      </c>
      <c r="C55" s="2" t="s">
        <v>223</v>
      </c>
      <c r="D55" s="2" t="s">
        <v>209</v>
      </c>
      <c r="E55" s="2" t="s">
        <v>14</v>
      </c>
      <c r="F55" s="2" t="s">
        <v>15</v>
      </c>
      <c r="G55" s="2" t="s">
        <v>224</v>
      </c>
      <c r="H55" s="2" t="s">
        <v>225</v>
      </c>
      <c r="I55" s="2" t="str">
        <f>IFERROR(__xludf.DUMMYFUNCTION("GOOGLETRANSLATE(C55,""fr"",""en"")"),"I tried in vain tried to negotiate a commercial gesture for my 2021 car insurance (after 4 years at home). Answer: I can't do anything. On € 860 annual. I therefore leave them for a competitor who offers me almost € 200 less with equivalent guarantees.
I"&amp;"n conclusion: good guarantees but not commercial!
")</f>
        <v>I tried in vain tried to negotiate a commercial gesture for my 2021 car insurance (after 4 years at home). Answer: I can't do anything. On € 860 annual. I therefore leave them for a competitor who offers me almost € 200 less with equivalent guarantees.
In conclusion: good guarantees but not commercial!
</v>
      </c>
    </row>
    <row r="56" ht="15.75" customHeight="1">
      <c r="A56" s="2">
        <v>1.0</v>
      </c>
      <c r="B56" s="2" t="s">
        <v>226</v>
      </c>
      <c r="C56" s="2" t="s">
        <v>227</v>
      </c>
      <c r="D56" s="2" t="s">
        <v>209</v>
      </c>
      <c r="E56" s="2" t="s">
        <v>14</v>
      </c>
      <c r="F56" s="2" t="s">
        <v>15</v>
      </c>
      <c r="G56" s="2" t="s">
        <v>228</v>
      </c>
      <c r="H56" s="2" t="s">
        <v>17</v>
      </c>
      <c r="I56" s="2" t="str">
        <f>IFERROR(__xludf.DUMMYFUNCTION("GOOGLETRANSLATE(C56,""fr"",""en"")"),"Customers since 1972 with our family. I myself manage all the contracts of my parents, children and mine. This year, the manager of the Troyes agency notifies the passage of my franchise at 300 euros instead of 100 euros per email. If negative response. H"&amp;"e terminates my contract. One loss responsible! In 6 years for my vehicle. Never been annoyed before. 2 times this year for a bit of mesh with a breeze to change too. In short, telephone appointment Friday 16 with him. If he wishes my departure and well I"&amp;" would go elsewhere nearly 5000 euros in the year more year of life insurance Dynalto. We transfer to another establishment. Disappointed anyway. Not very professional.")</f>
        <v>Customers since 1972 with our family. I myself manage all the contracts of my parents, children and mine. This year, the manager of the Troyes agency notifies the passage of my franchise at 300 euros instead of 100 euros per email. If negative response. He terminates my contract. One loss responsible! In 6 years for my vehicle. Never been annoyed before. 2 times this year for a bit of mesh with a breeze to change too. In short, telephone appointment Friday 16 with him. If he wishes my departure and well I would go elsewhere nearly 5000 euros in the year more year of life insurance Dynalto. We transfer to another establishment. Disappointed anyway. Not very professional.</v>
      </c>
    </row>
    <row r="57" ht="15.75" customHeight="1">
      <c r="A57" s="2">
        <v>4.0</v>
      </c>
      <c r="B57" s="2" t="s">
        <v>229</v>
      </c>
      <c r="C57" s="2" t="s">
        <v>230</v>
      </c>
      <c r="D57" s="2" t="s">
        <v>231</v>
      </c>
      <c r="E57" s="2" t="s">
        <v>34</v>
      </c>
      <c r="F57" s="2" t="s">
        <v>15</v>
      </c>
      <c r="G57" s="2" t="s">
        <v>232</v>
      </c>
      <c r="H57" s="2" t="s">
        <v>68</v>
      </c>
      <c r="I57" s="2" t="str">
        <f>IFERROR(__xludf.DUMMYFUNCTION("GOOGLETRANSLATE(C57,""fr"",""en"")"),"Amina TA was very competent and very pleasant following my request on a dental reimbursement
Promise to reimburse here the end of the week I hope that the delay will be held !!!
")</f>
        <v>Amina TA was very competent and very pleasant following my request on a dental reimbursement
Promise to reimburse here the end of the week I hope that the delay will be held !!!
</v>
      </c>
    </row>
    <row r="58" ht="15.75" customHeight="1">
      <c r="A58" s="2">
        <v>3.0</v>
      </c>
      <c r="B58" s="2" t="s">
        <v>233</v>
      </c>
      <c r="C58" s="2" t="s">
        <v>234</v>
      </c>
      <c r="D58" s="2" t="s">
        <v>13</v>
      </c>
      <c r="E58" s="2" t="s">
        <v>14</v>
      </c>
      <c r="F58" s="2" t="s">
        <v>15</v>
      </c>
      <c r="G58" s="2" t="s">
        <v>235</v>
      </c>
      <c r="H58" s="2" t="s">
        <v>167</v>
      </c>
      <c r="I58" s="2" t="str">
        <f>IFERROR(__xludf.DUMMYFUNCTION("GOOGLETRANSLATE(C58,""fr"",""en"")"),"Well - simple and effective price for the moment .. not too much waiting at the phone
I hope I have no claims but if this is the case, hopes that the treatment of the claim will be simple and effective.
")</f>
        <v>Well - simple and effective price for the moment .. not too much waiting at the phone
I hope I have no claims but if this is the case, hopes that the treatment of the claim will be simple and effective.
</v>
      </c>
    </row>
    <row r="59" ht="15.75" customHeight="1">
      <c r="A59" s="2">
        <v>1.0</v>
      </c>
      <c r="B59" s="2" t="s">
        <v>236</v>
      </c>
      <c r="C59" s="2" t="s">
        <v>237</v>
      </c>
      <c r="D59" s="2" t="s">
        <v>238</v>
      </c>
      <c r="E59" s="2" t="s">
        <v>56</v>
      </c>
      <c r="F59" s="2" t="s">
        <v>15</v>
      </c>
      <c r="G59" s="2" t="s">
        <v>239</v>
      </c>
      <c r="H59" s="2" t="s">
        <v>167</v>
      </c>
      <c r="I59" s="2" t="str">
        <f>IFERROR(__xludf.DUMMYFUNCTION("GOOGLETRANSLATE(C59,""fr"",""en"")"),"Uen catastrophe, they have put me in notice to pay when it is they who are a bad mandate to take and that I regularly pay by bank card.
By correction I await their answer to all that and the diffuse it
I am furious against these kinds of people. Flee th"&amp;"is insurance which attracts you with their mutual rating but it is false .. apart from your money they want nothing for you.")</f>
        <v>Uen catastrophe, they have put me in notice to pay when it is they who are a bad mandate to take and that I regularly pay by bank card.
By correction I await their answer to all that and the diffuse it
I am furious against these kinds of people. Flee this insurance which attracts you with their mutual rating but it is false .. apart from your money they want nothing for you.</v>
      </c>
    </row>
    <row r="60" ht="15.75" customHeight="1">
      <c r="A60" s="2">
        <v>1.0</v>
      </c>
      <c r="B60" s="2" t="s">
        <v>240</v>
      </c>
      <c r="C60" s="2" t="s">
        <v>241</v>
      </c>
      <c r="D60" s="2" t="s">
        <v>117</v>
      </c>
      <c r="E60" s="2" t="s">
        <v>40</v>
      </c>
      <c r="F60" s="2" t="s">
        <v>15</v>
      </c>
      <c r="G60" s="2" t="s">
        <v>242</v>
      </c>
      <c r="H60" s="2" t="s">
        <v>243</v>
      </c>
      <c r="I60" s="2" t="str">
        <f>IFERROR(__xludf.DUMMYFUNCTION("GOOGLETRANSLATE(C60,""fr"",""en"")"),"No loss file follow -up. After recovery, the file is accepted then nothing and no compensation after 6 months for less than 1000th of claims. Unacceptable. Contacted by phone, an interl busy on the verge of depression of having to work in such conditions.")</f>
        <v>No loss file follow -up. After recovery, the file is accepted then nothing and no compensation after 6 months for less than 1000th of claims. Unacceptable. Contacted by phone, an interl busy on the verge of depression of having to work in such conditions.</v>
      </c>
    </row>
    <row r="61" ht="15.75" customHeight="1">
      <c r="A61" s="2">
        <v>3.0</v>
      </c>
      <c r="B61" s="2" t="s">
        <v>244</v>
      </c>
      <c r="C61" s="2" t="s">
        <v>245</v>
      </c>
      <c r="D61" s="2" t="s">
        <v>246</v>
      </c>
      <c r="E61" s="2" t="s">
        <v>34</v>
      </c>
      <c r="F61" s="2" t="s">
        <v>15</v>
      </c>
      <c r="G61" s="2" t="s">
        <v>247</v>
      </c>
      <c r="H61" s="2" t="s">
        <v>42</v>
      </c>
      <c r="I61" s="2" t="str">
        <f>IFERROR(__xludf.DUMMYFUNCTION("GOOGLETRANSLATE(C61,""fr"",""en"")"),"After telephone contact, my Soufiane interlocutor met my expectations. I had problems activating my customer area, and it's done. Bravo and thank you for your advice")</f>
        <v>After telephone contact, my Soufiane interlocutor met my expectations. I had problems activating my customer area, and it's done. Bravo and thank you for your advice</v>
      </c>
    </row>
    <row r="62" ht="15.75" customHeight="1">
      <c r="A62" s="2">
        <v>1.0</v>
      </c>
      <c r="B62" s="2" t="s">
        <v>248</v>
      </c>
      <c r="C62" s="2" t="s">
        <v>249</v>
      </c>
      <c r="D62" s="2" t="s">
        <v>13</v>
      </c>
      <c r="E62" s="2" t="s">
        <v>14</v>
      </c>
      <c r="F62" s="2" t="s">
        <v>15</v>
      </c>
      <c r="G62" s="2" t="s">
        <v>250</v>
      </c>
      <c r="H62" s="2" t="s">
        <v>62</v>
      </c>
      <c r="I62" s="2" t="str">
        <f>IFERROR(__xludf.DUMMYFUNCTION("GOOGLETRANSLATE(C62,""fr"",""en"")"),"This attractive company when it is called to subscribe, shows its true face to the first disaster. I have 5 contracts at home that I will terminate as soon as possible.")</f>
        <v>This attractive company when it is called to subscribe, shows its true face to the first disaster. I have 5 contracts at home that I will terminate as soon as possible.</v>
      </c>
    </row>
    <row r="63" ht="15.75" customHeight="1">
      <c r="A63" s="2">
        <v>1.0</v>
      </c>
      <c r="B63" s="2" t="s">
        <v>251</v>
      </c>
      <c r="C63" s="2" t="s">
        <v>252</v>
      </c>
      <c r="D63" s="2" t="s">
        <v>253</v>
      </c>
      <c r="E63" s="2" t="s">
        <v>97</v>
      </c>
      <c r="F63" s="2" t="s">
        <v>15</v>
      </c>
      <c r="G63" s="2" t="s">
        <v>254</v>
      </c>
      <c r="H63" s="2" t="s">
        <v>211</v>
      </c>
      <c r="I63" s="2" t="str">
        <f>IFERROR(__xludf.DUMMYFUNCTION("GOOGLETRANSLATE(C63,""fr"",""en"")"),"I have just lost 6566 euros because this placement was only to tumble down and following termination after 9 years of contributions here is the result. AFIESCA winning and small losing savers")</f>
        <v>I have just lost 6566 euros because this placement was only to tumble down and following termination after 9 years of contributions here is the result. AFIESCA winning and small losing savers</v>
      </c>
    </row>
    <row r="64" ht="15.75" customHeight="1">
      <c r="A64" s="2">
        <v>4.0</v>
      </c>
      <c r="B64" s="2" t="s">
        <v>255</v>
      </c>
      <c r="C64" s="2" t="s">
        <v>256</v>
      </c>
      <c r="D64" s="2" t="s">
        <v>257</v>
      </c>
      <c r="E64" s="2" t="s">
        <v>34</v>
      </c>
      <c r="F64" s="2" t="s">
        <v>15</v>
      </c>
      <c r="G64" s="2" t="s">
        <v>258</v>
      </c>
      <c r="H64" s="2" t="s">
        <v>259</v>
      </c>
      <c r="I64" s="2" t="str">
        <f>IFERROR(__xludf.DUMMYFUNCTION("GOOGLETRANSLATE(C64,""fr"",""en"")"),"Very good mutual based on a good part of the medical expenses and a very good support service, listening and answers all the questions.")</f>
        <v>Very good mutual based on a good part of the medical expenses and a very good support service, listening and answers all the questions.</v>
      </c>
    </row>
    <row r="65" ht="15.75" customHeight="1">
      <c r="A65" s="2">
        <v>5.0</v>
      </c>
      <c r="B65" s="2" t="s">
        <v>260</v>
      </c>
      <c r="C65" s="2" t="s">
        <v>261</v>
      </c>
      <c r="D65" s="2" t="s">
        <v>13</v>
      </c>
      <c r="E65" s="2" t="s">
        <v>14</v>
      </c>
      <c r="F65" s="2" t="s">
        <v>15</v>
      </c>
      <c r="G65" s="2" t="s">
        <v>57</v>
      </c>
      <c r="H65" s="2" t="s">
        <v>21</v>
      </c>
      <c r="I65" s="2" t="str">
        <f>IFERROR(__xludf.DUMMYFUNCTION("GOOGLETRANSLATE(C65,""fr"",""en"")"),"I am very satisfied with the service and the prices charged, as well as very practical means of contacts like Messenger or WhatsApp when you don't have time to stay on the phone.")</f>
        <v>I am very satisfied with the service and the prices charged, as well as very practical means of contacts like Messenger or WhatsApp when you don't have time to stay on the phone.</v>
      </c>
    </row>
    <row r="66" ht="15.75" customHeight="1">
      <c r="A66" s="2">
        <v>1.0</v>
      </c>
      <c r="B66" s="2" t="s">
        <v>262</v>
      </c>
      <c r="C66" s="2" t="s">
        <v>263</v>
      </c>
      <c r="D66" s="2" t="s">
        <v>13</v>
      </c>
      <c r="E66" s="2" t="s">
        <v>14</v>
      </c>
      <c r="F66" s="2" t="s">
        <v>15</v>
      </c>
      <c r="G66" s="2" t="s">
        <v>264</v>
      </c>
      <c r="H66" s="2" t="s">
        <v>17</v>
      </c>
      <c r="I66" s="2" t="str">
        <f>IFERROR(__xludf.DUMMYFUNCTION("GOOGLETRANSLATE(C66,""fr"",""en"")"),"No one, no listening, want to get rid of you on the phone
I subscribed to an insurance on 07/01/2021 and I can not benefit from the promo in court to have a better price")</f>
        <v>No one, no listening, want to get rid of you on the phone
I subscribed to an insurance on 07/01/2021 and I can not benefit from the promo in court to have a better price</v>
      </c>
    </row>
    <row r="67" ht="15.75" customHeight="1">
      <c r="A67" s="2">
        <v>1.0</v>
      </c>
      <c r="B67" s="2" t="s">
        <v>265</v>
      </c>
      <c r="C67" s="2" t="s">
        <v>266</v>
      </c>
      <c r="D67" s="2" t="s">
        <v>267</v>
      </c>
      <c r="E67" s="2" t="s">
        <v>268</v>
      </c>
      <c r="F67" s="2" t="s">
        <v>15</v>
      </c>
      <c r="G67" s="2" t="s">
        <v>269</v>
      </c>
      <c r="H67" s="2" t="s">
        <v>211</v>
      </c>
      <c r="I67" s="2" t="str">
        <f>IFERROR(__xludf.DUMMYFUNCTION("GOOGLETRANSLATE(C67,""fr"",""en"")"),"To be absolutely commercial policy deplorable customer service below all")</f>
        <v>To be absolutely commercial policy deplorable customer service below all</v>
      </c>
    </row>
    <row r="68" ht="15.75" customHeight="1">
      <c r="A68" s="2">
        <v>1.0</v>
      </c>
      <c r="B68" s="2" t="s">
        <v>270</v>
      </c>
      <c r="C68" s="2" t="s">
        <v>271</v>
      </c>
      <c r="D68" s="2" t="s">
        <v>79</v>
      </c>
      <c r="E68" s="2" t="s">
        <v>14</v>
      </c>
      <c r="F68" s="2" t="s">
        <v>15</v>
      </c>
      <c r="G68" s="2" t="s">
        <v>194</v>
      </c>
      <c r="H68" s="2" t="s">
        <v>194</v>
      </c>
      <c r="I68" s="2" t="str">
        <f>IFERROR(__xludf.DUMMYFUNCTION("GOOGLETRANSLATE(C68,""fr"",""en"")"),"TO FLEE!!! Very fast to subscribe but impossible to find on their site a traceability of the contacts and 6 months after refund of a disaster victims and sent to the breakage, we are still taken without the possibility of finding an interlocutor capable o"&amp;"f indicating the necessary steps and documents To close the file !!!")</f>
        <v>TO FLEE!!! Very fast to subscribe but impossible to find on their site a traceability of the contacts and 6 months after refund of a disaster victims and sent to the breakage, we are still taken without the possibility of finding an interlocutor capable of indicating the necessary steps and documents To close the file !!!</v>
      </c>
    </row>
    <row r="69" ht="15.75" customHeight="1">
      <c r="A69" s="2">
        <v>2.0</v>
      </c>
      <c r="B69" s="2" t="s">
        <v>272</v>
      </c>
      <c r="C69" s="2" t="s">
        <v>273</v>
      </c>
      <c r="D69" s="2" t="s">
        <v>134</v>
      </c>
      <c r="E69" s="2" t="s">
        <v>56</v>
      </c>
      <c r="F69" s="2" t="s">
        <v>15</v>
      </c>
      <c r="G69" s="2" t="s">
        <v>274</v>
      </c>
      <c r="H69" s="2" t="s">
        <v>128</v>
      </c>
      <c r="I69" s="2" t="str">
        <f>IFERROR(__xludf.DUMMYFUNCTION("GOOGLETRANSLATE(C69,""fr"",""en"")"),"Hello .
I contracted a motorcycle insurance on 04/03/2021 and I paid 2 deadlines by CB. Since we received a schedule which started on 04/06/2021. We sent the SEPA mandate.
The big joke, I receive a formal notice on 27/04. I call them and explain to them"&amp;" that the schedule starts in June and that 2 deadlines were paid. They apologize and say they do not take it into account. , today I still receive a formal notice.
I call and even answer. We don't care about the world. It's really the brothel. I hope I d"&amp;"on't have a claim because if it's as much the mess, I don't know how it will be managed !! Gentlemen. responsible for the Compta service, follow your files. Thank you. In any case I will not stay at April !!!")</f>
        <v>Hello .
I contracted a motorcycle insurance on 04/03/2021 and I paid 2 deadlines by CB. Since we received a schedule which started on 04/06/2021. We sent the SEPA mandate.
The big joke, I receive a formal notice on 27/04. I call them and explain to them that the schedule starts in June and that 2 deadlines were paid. They apologize and say they do not take it into account. , today I still receive a formal notice.
I call and even answer. We don't care about the world. It's really the brothel. I hope I don't have a claim because if it's as much the mess, I don't know how it will be managed !! Gentlemen. responsible for the Compta service, follow your files. Thank you. In any case I will not stay at April !!!</v>
      </c>
    </row>
    <row r="70" ht="15.75" customHeight="1">
      <c r="A70" s="2">
        <v>1.0</v>
      </c>
      <c r="B70" s="2" t="s">
        <v>275</v>
      </c>
      <c r="C70" s="2" t="s">
        <v>276</v>
      </c>
      <c r="D70" s="2" t="s">
        <v>246</v>
      </c>
      <c r="E70" s="2" t="s">
        <v>34</v>
      </c>
      <c r="F70" s="2" t="s">
        <v>15</v>
      </c>
      <c r="G70" s="2" t="s">
        <v>277</v>
      </c>
      <c r="H70" s="2" t="s">
        <v>108</v>
      </c>
      <c r="I70" s="2" t="str">
        <f>IFERROR(__xludf.DUMMYFUNCTION("GOOGLETRANSLATE(C70,""fr"",""en"")"),"I do not recommend this insurance
Following a contract cancellation
Due to non -compliance with their commitments
They blocked my Secu account with a duplicate registration and have a lot of trouble refunding me from the direct debit from my account")</f>
        <v>I do not recommend this insurance
Following a contract cancellation
Due to non -compliance with their commitments
They blocked my Secu account with a duplicate registration and have a lot of trouble refunding me from the direct debit from my account</v>
      </c>
    </row>
    <row r="71" ht="15.75" customHeight="1">
      <c r="A71" s="2">
        <v>4.0</v>
      </c>
      <c r="B71" s="2" t="s">
        <v>278</v>
      </c>
      <c r="C71" s="2" t="s">
        <v>279</v>
      </c>
      <c r="D71" s="2" t="s">
        <v>55</v>
      </c>
      <c r="E71" s="2" t="s">
        <v>56</v>
      </c>
      <c r="F71" s="2" t="s">
        <v>15</v>
      </c>
      <c r="G71" s="2" t="s">
        <v>280</v>
      </c>
      <c r="H71" s="2" t="s">
        <v>17</v>
      </c>
      <c r="I71" s="2" t="str">
        <f>IFERROR(__xludf.DUMMYFUNCTION("GOOGLETRANSLATE(C71,""fr"",""en"")"),"There is a Beug on your document. On the page where you have to restore its address, the postal code and the city are pre -saved and it is impossible to change it. So I have a mixture between my place of residence and the place where my motorcycle is stor"&amp;"ed. My address is as it is indicated on the information statement and not to Saint Martin de Fenouillet. My motorcycle is stored in Saint Martin. The 2 villages have the same postal code which can prepare confusion. So please correct the error on the insu"&amp;"rance green card. Thank you")</f>
        <v>There is a Beug on your document. On the page where you have to restore its address, the postal code and the city are pre -saved and it is impossible to change it. So I have a mixture between my place of residence and the place where my motorcycle is stored. My address is as it is indicated on the information statement and not to Saint Martin de Fenouillet. My motorcycle is stored in Saint Martin. The 2 villages have the same postal code which can prepare confusion. So please correct the error on the insurance green card. Thank you</v>
      </c>
    </row>
    <row r="72" ht="15.75" customHeight="1">
      <c r="A72" s="2">
        <v>2.0</v>
      </c>
      <c r="B72" s="2" t="s">
        <v>281</v>
      </c>
      <c r="C72" s="2" t="s">
        <v>282</v>
      </c>
      <c r="D72" s="2" t="s">
        <v>183</v>
      </c>
      <c r="E72" s="2" t="s">
        <v>97</v>
      </c>
      <c r="F72" s="2" t="s">
        <v>15</v>
      </c>
      <c r="G72" s="2" t="s">
        <v>283</v>
      </c>
      <c r="H72" s="2" t="s">
        <v>68</v>
      </c>
      <c r="I72" s="2" t="str">
        <f>IFERROR(__xludf.DUMMYFUNCTION("GOOGLETRANSLATE(C72,""fr"",""en"")"),"A disaster !
With my wife we ​​wanted to make economies by wanting to change ready insurance, and we chose Zenup who was best rated, but we quickly disillusioned.
We started the procedures in June 2021, and today in October the file has always been fi"&amp;"nished, and even worse we find ourselves paid for the old loan insurance of € 120/month and the news of around 80 €/month, great economies, all that because there are big problems with them, indeed we thought that Zenup was our new assurreur and that he w"&amp;"as going to take care of all while in the fact they are only intermediate in Insurance, Deplus after about 1 month they we had no news from them because they returned to us on another platform called multi -quantity which is said to be our new interlocuto"&amp;"r, but in the fact after a dozen calls and emails, even with them they do not know which platform to direct their customers to.
Then we had to fight with them because the access to the multi -MPACT customer area of ​​my wife did not work, we lost another"&amp;" 1 month!
To summarize according to what I understood by their social milfeuilles:
1st company = Styles Insurance Comparcher: Les Furets.com
2nd company = Zenup, which compares you and offers you the best insurance
3rd company = for us = general (wh"&amp;"ich is the real insurer!)
4th company = MultiIMPACT, which is used to say the links with our new insurer
5th company = our Credit Agricole group insurance (former insurance)
It makes an intermediary package!
In the end to summarize, forgot these i"&amp;"ncompetent from Zenup, and directly requested your new insurance from the insurer you have chosen.
We have lost 4 months of our time with them and € 360 + the 8 recommended letters because in the end it is we even do the intermediary between the old and "&amp;"the new insurance!")</f>
        <v>A disaster !
With my wife we ​​wanted to make economies by wanting to change ready insurance, and we chose Zenup who was best rated, but we quickly disillusioned.
We started the procedures in June 2021, and today in October the file has always been finished, and even worse we find ourselves paid for the old loan insurance of € 120/month and the news of around 80 €/month, great economies, all that because there are big problems with them, indeed we thought that Zenup was our new assurreur and that he was going to take care of all while in the fact they are only intermediate in Insurance, Deplus after about 1 month they we had no news from them because they returned to us on another platform called multi -quantity which is said to be our new interlocutor, but in the fact after a dozen calls and emails, even with them they do not know which platform to direct their customers to.
Then we had to fight with them because the access to the multi -MPACT customer area of ​​my wife did not work, we lost another 1 month!
To summarize according to what I understood by their social milfeuilles:
1st company = Styles Insurance Comparcher: Les Furets.com
2nd company = Zenup, which compares you and offers you the best insurance
3rd company = for us = general (which is the real insurer!)
4th company = MultiIMPACT, which is used to say the links with our new insurer
5th company = our Credit Agricole group insurance (former insurance)
It makes an intermediary package!
In the end to summarize, forgot these incompetent from Zenup, and directly requested your new insurance from the insurer you have chosen.
We have lost 4 months of our time with them and € 360 + the 8 recommended letters because in the end it is we even do the intermediary between the old and the new insurance!</v>
      </c>
    </row>
    <row r="73" ht="15.75" customHeight="1">
      <c r="A73" s="2">
        <v>4.0</v>
      </c>
      <c r="B73" s="2" t="s">
        <v>284</v>
      </c>
      <c r="C73" s="2" t="s">
        <v>285</v>
      </c>
      <c r="D73" s="2" t="s">
        <v>13</v>
      </c>
      <c r="E73" s="2" t="s">
        <v>14</v>
      </c>
      <c r="F73" s="2" t="s">
        <v>15</v>
      </c>
      <c r="G73" s="2" t="s">
        <v>42</v>
      </c>
      <c r="H73" s="2" t="s">
        <v>42</v>
      </c>
      <c r="I73" s="2" t="str">
        <f>IFERROR(__xludf.DUMMYFUNCTION("GOOGLETRANSLATE(C73,""fr"",""en"")"),"I am satisfied with the service and the guarantees, it suits me.
Even if I wanted to have even cheaper :)
Above all, thank you direct insurance.
Cordially")</f>
        <v>I am satisfied with the service and the guarantees, it suits me.
Even if I wanted to have even cheaper :)
Above all, thank you direct insurance.
Cordially</v>
      </c>
    </row>
    <row r="74" ht="15.75" customHeight="1">
      <c r="A74" s="2">
        <v>3.0</v>
      </c>
      <c r="B74" s="2" t="s">
        <v>286</v>
      </c>
      <c r="C74" s="2" t="s">
        <v>287</v>
      </c>
      <c r="D74" s="2" t="s">
        <v>13</v>
      </c>
      <c r="E74" s="2" t="s">
        <v>14</v>
      </c>
      <c r="F74" s="2" t="s">
        <v>15</v>
      </c>
      <c r="G74" s="2" t="s">
        <v>288</v>
      </c>
      <c r="H74" s="2" t="s">
        <v>52</v>
      </c>
      <c r="I74" s="2" t="str">
        <f>IFERROR(__xludf.DUMMYFUNCTION("GOOGLETRANSLATE(C74,""fr"",""en"")"),"Like all insurances, you increase your prices every year significantly which ""encourages"" us to go and see elsewhere ... and very often these increases are not justified.")</f>
        <v>Like all insurances, you increase your prices every year significantly which "encourages" us to go and see elsewhere ... and very often these increases are not justified.</v>
      </c>
    </row>
    <row r="75" ht="15.75" customHeight="1">
      <c r="A75" s="2">
        <v>4.0</v>
      </c>
      <c r="B75" s="2" t="s">
        <v>289</v>
      </c>
      <c r="C75" s="2" t="s">
        <v>290</v>
      </c>
      <c r="D75" s="2" t="s">
        <v>65</v>
      </c>
      <c r="E75" s="2" t="s">
        <v>34</v>
      </c>
      <c r="F75" s="2" t="s">
        <v>15</v>
      </c>
      <c r="G75" s="2" t="s">
        <v>291</v>
      </c>
      <c r="H75" s="2" t="s">
        <v>292</v>
      </c>
      <c r="I75" s="2" t="str">
        <f>IFERROR(__xludf.DUMMYFUNCTION("GOOGLETRANSLATE(C75,""fr"",""en"")"),"Member of the Mutual General of the Police for many years, I have seen a permanent development of our mutual insurance company to provide the best services and services to members.
 Despite this multiplication of services, the presence of hostesses, thei"&amp;"r work their effectiveness on the phone makes the mutual insurance company more human and fraternal.
 The provision of payment operations, lists of partners etc ..., the maintenance of paper mail despite the wave of dematerialized mail, all this is the m"&amp;"ark of MGP solidarity.")</f>
        <v>Member of the Mutual General of the Police for many years, I have seen a permanent development of our mutual insurance company to provide the best services and services to members.
 Despite this multiplication of services, the presence of hostesses, their work their effectiveness on the phone makes the mutual insurance company more human and fraternal.
 The provision of payment operations, lists of partners etc ..., the maintenance of paper mail despite the wave of dematerialized mail, all this is the mark of MGP solidarity.</v>
      </c>
    </row>
    <row r="76" ht="15.75" customHeight="1">
      <c r="A76" s="2">
        <v>4.0</v>
      </c>
      <c r="B76" s="2" t="s">
        <v>293</v>
      </c>
      <c r="C76" s="2" t="s">
        <v>294</v>
      </c>
      <c r="D76" s="2" t="s">
        <v>13</v>
      </c>
      <c r="E76" s="2" t="s">
        <v>14</v>
      </c>
      <c r="F76" s="2" t="s">
        <v>15</v>
      </c>
      <c r="G76" s="2" t="s">
        <v>295</v>
      </c>
      <c r="H76" s="2" t="s">
        <v>17</v>
      </c>
      <c r="I76" s="2" t="str">
        <f>IFERROR(__xludf.DUMMYFUNCTION("GOOGLETRANSLATE(C76,""fr"",""en"")"),"I am satisfied with your online service affordable price and facilitated on the internet and ease of payment thank you cordially I really satisfied thank you")</f>
        <v>I am satisfied with your online service affordable price and facilitated on the internet and ease of payment thank you cordially I really satisfied thank you</v>
      </c>
    </row>
    <row r="77" ht="15.75" customHeight="1">
      <c r="A77" s="2">
        <v>3.0</v>
      </c>
      <c r="B77" s="2" t="s">
        <v>296</v>
      </c>
      <c r="C77" s="2" t="s">
        <v>297</v>
      </c>
      <c r="D77" s="2" t="s">
        <v>45</v>
      </c>
      <c r="E77" s="2" t="s">
        <v>14</v>
      </c>
      <c r="F77" s="2" t="s">
        <v>15</v>
      </c>
      <c r="G77" s="2" t="s">
        <v>298</v>
      </c>
      <c r="H77" s="2" t="s">
        <v>259</v>
      </c>
      <c r="I77" s="2" t="str">
        <f>IFERROR(__xludf.DUMMYFUNCTION("GOOGLETRANSLATE(C77,""fr"",""en"")"),"No alignment with the competition due to a single contract ... but already requested for 2 other contracts in vain ... so no multi -risk contracts! Left at April!")</f>
        <v>No alignment with the competition due to a single contract ... but already requested for 2 other contracts in vain ... so no multi -risk contracts! Left at April!</v>
      </c>
    </row>
    <row r="78" ht="15.75" customHeight="1">
      <c r="A78" s="2">
        <v>1.0</v>
      </c>
      <c r="B78" s="2" t="s">
        <v>299</v>
      </c>
      <c r="C78" s="2" t="s">
        <v>300</v>
      </c>
      <c r="D78" s="2" t="s">
        <v>39</v>
      </c>
      <c r="E78" s="2" t="s">
        <v>14</v>
      </c>
      <c r="F78" s="2" t="s">
        <v>15</v>
      </c>
      <c r="G78" s="2" t="s">
        <v>111</v>
      </c>
      <c r="H78" s="2" t="s">
        <v>52</v>
      </c>
      <c r="I78" s="2" t="str">
        <f>IFERROR(__xludf.DUMMYFUNCTION("GOOGLETRANSLATE(C78,""fr"",""en"")"),"To flee! .......... After 3 claims including 2 non -responsible, the GMF ejects you by terminating your contract. Do not waste your time making an appointment with an advisor, no possible negotiations ........ ""It is impossible for us to derogate from th"&amp;"e decisions taken by the management of Paris!"". (A computer algorithm that processes in automatic the contracts). But do not have any fear, the GMF will not abandon you, it will offer you a contract with Joker Insurance ......... GMF subsidiary which wil"&amp;"l be happy to reassure you by increasing your deadlines by 50% and By doubling your franchise! A good process to improve the group's results! After consultations I signed a contract with a specialist in ""rejected"" at half price of the GMF! Afterwards, I"&amp;" am not unhappy with this termination which allowed me to save money!")</f>
        <v>To flee! .......... After 3 claims including 2 non -responsible, the GMF ejects you by terminating your contract. Do not waste your time making an appointment with an advisor, no possible negotiations ........ "It is impossible for us to derogate from the decisions taken by the management of Paris!". (A computer algorithm that processes in automatic the contracts). But do not have any fear, the GMF will not abandon you, it will offer you a contract with Joker Insurance ......... GMF subsidiary which will be happy to reassure you by increasing your deadlines by 50% and By doubling your franchise! A good process to improve the group's results! After consultations I signed a contract with a specialist in "rejected" at half price of the GMF! Afterwards, I am not unhappy with this termination which allowed me to save money!</v>
      </c>
    </row>
    <row r="79" ht="15.75" customHeight="1">
      <c r="A79" s="2">
        <v>5.0</v>
      </c>
      <c r="B79" s="2" t="s">
        <v>301</v>
      </c>
      <c r="C79" s="2" t="s">
        <v>302</v>
      </c>
      <c r="D79" s="2" t="s">
        <v>24</v>
      </c>
      <c r="E79" s="2" t="s">
        <v>14</v>
      </c>
      <c r="F79" s="2" t="s">
        <v>15</v>
      </c>
      <c r="G79" s="2" t="s">
        <v>303</v>
      </c>
      <c r="H79" s="2" t="s">
        <v>128</v>
      </c>
      <c r="I79" s="2" t="str">
        <f>IFERROR(__xludf.DUMMYFUNCTION("GOOGLETRANSLATE(C79,""fr"",""en"")"),"The advisor I had online was very professional and attentive! The prices are more than correct (€ 55/month cheaper for the same car) I recommend.")</f>
        <v>The advisor I had online was very professional and attentive! The prices are more than correct (€ 55/month cheaper for the same car) I recommend.</v>
      </c>
    </row>
    <row r="80" ht="15.75" customHeight="1">
      <c r="A80" s="2">
        <v>3.0</v>
      </c>
      <c r="B80" s="2" t="s">
        <v>304</v>
      </c>
      <c r="C80" s="2" t="s">
        <v>305</v>
      </c>
      <c r="D80" s="2" t="s">
        <v>13</v>
      </c>
      <c r="E80" s="2" t="s">
        <v>14</v>
      </c>
      <c r="F80" s="2" t="s">
        <v>15</v>
      </c>
      <c r="G80" s="2" t="s">
        <v>306</v>
      </c>
      <c r="H80" s="2" t="s">
        <v>42</v>
      </c>
      <c r="I80" s="2" t="str">
        <f>IFERROR(__xludf.DUMMYFUNCTION("GOOGLETRANSLATE(C80,""fr"",""en"")"),"I am moderately satisfied with the price and rather satisfied with the service following the telephone conversation with your subscription service. fast and effective.")</f>
        <v>I am moderately satisfied with the price and rather satisfied with the service following the telephone conversation with your subscription service. fast and effective.</v>
      </c>
    </row>
    <row r="81" ht="15.75" customHeight="1">
      <c r="A81" s="2">
        <v>2.0</v>
      </c>
      <c r="B81" s="2" t="s">
        <v>307</v>
      </c>
      <c r="C81" s="2" t="s">
        <v>308</v>
      </c>
      <c r="D81" s="2" t="s">
        <v>209</v>
      </c>
      <c r="E81" s="2" t="s">
        <v>56</v>
      </c>
      <c r="F81" s="2" t="s">
        <v>15</v>
      </c>
      <c r="G81" s="2" t="s">
        <v>309</v>
      </c>
      <c r="H81" s="2" t="s">
        <v>52</v>
      </c>
      <c r="I81" s="2" t="str">
        <f>IFERROR(__xludf.DUMMYFUNCTION("GOOGLETRANSLATE(C81,""fr"",""en"")"),"Hello I am short; 3 motorcycle/car/housing contract. 1- In 2018 I am looted/bite my motorcycle and I come back for a few months bitter with a less powerful motorcycle, certainly new and in a category of less looting, and ""paff"" '' tells me well no we ca"&amp;"n not assure you .. .... only motorcycle sinister, 50%+3 years and hop! In summary, you did not have made us report € tan to reassure you. 2- At the end of 2019 impacts, and cracks by breeze, not repairable to the resin therefore change by breeze. 3-2020 "&amp;"I am parked and a bus disaster the left side of my vehicle not responsible observation). 4-end 2020 I am forced my door to my box I report to ""paff"" (sending photos) viewing the damage (just a side scratch) I don't say to myself to change a port for tha"&amp;"t (I can't say What a ""puff"" approach would have executed ?? 5-Et for Christmas the gifts: the pretty termination letter already formatted and send to all those who do not enter the mold: ""three years three sinister outside"" (yes yes paff Such well in"&amp;"formed with competition on these mails I have even seen your ex client in other agency). In summary today to be on I assume that it is necessary to change insurance every year.
Thank you for your opinions and advice. PS: As soon as you should not blame t"&amp;"he agent in the agency because there must be figure ........ but there are very nice but not those of your agency. Regards to all")</f>
        <v>Hello I am short; 3 motorcycle/car/housing contract. 1- In 2018 I am looted/bite my motorcycle and I come back for a few months bitter with a less powerful motorcycle, certainly new and in a category of less looting, and "paff" '' tells me well no we can not assure you .. .... only motorcycle sinister, 50%+3 years and hop! In summary, you did not have made us report € tan to reassure you. 2- At the end of 2019 impacts, and cracks by breeze, not repairable to the resin therefore change by breeze. 3-2020 I am parked and a bus disaster the left side of my vehicle not responsible observation). 4-end 2020 I am forced my door to my box I report to "paff" (sending photos) viewing the damage (just a side scratch) I don't say to myself to change a port for that (I can't say What a "puff" approach would have executed ?? 5-Et for Christmas the gifts: the pretty termination letter already formatted and send to all those who do not enter the mold: "three years three sinister outside" (yes yes paff Such well informed with competition on these mails I have even seen your ex client in other agency). In summary today to be on I assume that it is necessary to change insurance every year.
Thank you for your opinions and advice. PS: As soon as you should not blame the agent in the agency because there must be figure ........ but there are very nice but not those of your agency. Regards to all</v>
      </c>
    </row>
    <row r="82" ht="15.75" customHeight="1">
      <c r="A82" s="2">
        <v>2.0</v>
      </c>
      <c r="B82" s="2" t="s">
        <v>310</v>
      </c>
      <c r="C82" s="2" t="s">
        <v>311</v>
      </c>
      <c r="D82" s="2" t="s">
        <v>117</v>
      </c>
      <c r="E82" s="2" t="s">
        <v>14</v>
      </c>
      <c r="F82" s="2" t="s">
        <v>15</v>
      </c>
      <c r="G82" s="2" t="s">
        <v>312</v>
      </c>
      <c r="H82" s="2" t="s">
        <v>292</v>
      </c>
      <c r="I82" s="2" t="str">
        <f>IFERROR(__xludf.DUMMYFUNCTION("GOOGLETRANSLATE(C82,""fr"",""en"")"),"The details of the insurance contracted is not detailed in the month, which lends to disastrous forgetfulness. Two free months for the 2nd car insurance has not been applied as a new contract!")</f>
        <v>The details of the insurance contracted is not detailed in the month, which lends to disastrous forgetfulness. Two free months for the 2nd car insurance has not been applied as a new contract!</v>
      </c>
    </row>
    <row r="83" ht="15.75" customHeight="1">
      <c r="A83" s="2">
        <v>3.0</v>
      </c>
      <c r="B83" s="2" t="s">
        <v>313</v>
      </c>
      <c r="C83" s="2" t="s">
        <v>314</v>
      </c>
      <c r="D83" s="2" t="s">
        <v>39</v>
      </c>
      <c r="E83" s="2" t="s">
        <v>14</v>
      </c>
      <c r="F83" s="2" t="s">
        <v>15</v>
      </c>
      <c r="G83" s="2" t="s">
        <v>315</v>
      </c>
      <c r="H83" s="2" t="s">
        <v>21</v>
      </c>
      <c r="I83" s="2" t="str">
        <f>IFERROR(__xludf.DUMMYFUNCTION("GOOGLETRANSLATE(C83,""fr"",""en"")"),"I have been insured at GMF for a long time. Two or three years ago, my car underwent three broken ice successively for different reasons. You threatened me to terminate my contract very little courteous and increased my franchise. Your service is very eff"&amp;"ective in some cases: modification of the contract on the phone, assistance but this difficult exchange for an ice cream gave me a relatively negative idea of ​​your services. I inquired to leave the GMF for the MAIF.")</f>
        <v>I have been insured at GMF for a long time. Two or three years ago, my car underwent three broken ice successively for different reasons. You threatened me to terminate my contract very little courteous and increased my franchise. Your service is very effective in some cases: modification of the contract on the phone, assistance but this difficult exchange for an ice cream gave me a relatively negative idea of ​​your services. I inquired to leave the GMF for the MAIF.</v>
      </c>
    </row>
    <row r="84" ht="15.75" customHeight="1">
      <c r="A84" s="2">
        <v>4.0</v>
      </c>
      <c r="B84" s="2" t="s">
        <v>316</v>
      </c>
      <c r="C84" s="2" t="s">
        <v>317</v>
      </c>
      <c r="D84" s="2" t="s">
        <v>13</v>
      </c>
      <c r="E84" s="2" t="s">
        <v>14</v>
      </c>
      <c r="F84" s="2" t="s">
        <v>15</v>
      </c>
      <c r="G84" s="2" t="s">
        <v>318</v>
      </c>
      <c r="H84" s="2" t="s">
        <v>17</v>
      </c>
      <c r="I84" s="2" t="str">
        <f>IFERROR(__xludf.DUMMYFUNCTION("GOOGLETRANSLATE(C84,""fr"",""en"")"),"The services for claims are very responsive and the customer services offer prices corresponding to the needs and are very satisfactory.
I recommend this insurance.")</f>
        <v>The services for claims are very responsive and the customer services offer prices corresponding to the needs and are very satisfactory.
I recommend this insurance.</v>
      </c>
    </row>
    <row r="85" ht="15.75" customHeight="1">
      <c r="A85" s="2">
        <v>2.0</v>
      </c>
      <c r="B85" s="2" t="s">
        <v>319</v>
      </c>
      <c r="C85" s="2" t="s">
        <v>320</v>
      </c>
      <c r="D85" s="2" t="s">
        <v>24</v>
      </c>
      <c r="E85" s="2" t="s">
        <v>14</v>
      </c>
      <c r="F85" s="2" t="s">
        <v>15</v>
      </c>
      <c r="G85" s="2" t="s">
        <v>321</v>
      </c>
      <c r="H85" s="2" t="s">
        <v>140</v>
      </c>
      <c r="I85" s="2" t="str">
        <f>IFERROR(__xludf.DUMMYFUNCTION("GOOGLETRANSLATE(C85,""fr"",""en"")")," Non -recturable decomination fees. Not for foreigners: ""Unfortunately, we do not resume foreign history."" More: they answer on FB.")</f>
        <v> Non -recturable decomination fees. Not for foreigners: "Unfortunately, we do not resume foreign history." More: they answer on FB.</v>
      </c>
    </row>
    <row r="86" ht="15.75" customHeight="1">
      <c r="A86" s="2">
        <v>3.0</v>
      </c>
      <c r="B86" s="2" t="s">
        <v>322</v>
      </c>
      <c r="C86" s="2" t="s">
        <v>323</v>
      </c>
      <c r="D86" s="2" t="s">
        <v>60</v>
      </c>
      <c r="E86" s="2" t="s">
        <v>14</v>
      </c>
      <c r="F86" s="2" t="s">
        <v>15</v>
      </c>
      <c r="G86" s="2" t="s">
        <v>324</v>
      </c>
      <c r="H86" s="2" t="s">
        <v>221</v>
      </c>
      <c r="I86" s="2" t="str">
        <f>IFERROR(__xludf.DUMMYFUNCTION("GOOGLETRANSLATE(C86,""fr"",""en"")"),"Big problem to terminate our car insurance. No accident to our credit, so we can judge the service in the event of an accident. Our future insurer to send a letter of termination as the law authorizes it, with acknowledgment of receipt, they claim to have"&amp;" received nothing when we know that this is false. Pacifica refuses any relationship with the insurer we have chosen but is completely incorrect with us.
Ditto for home insurance.")</f>
        <v>Big problem to terminate our car insurance. No accident to our credit, so we can judge the service in the event of an accident. Our future insurer to send a letter of termination as the law authorizes it, with acknowledgment of receipt, they claim to have received nothing when we know that this is false. Pacifica refuses any relationship with the insurer we have chosen but is completely incorrect with us.
Ditto for home insurance.</v>
      </c>
    </row>
    <row r="87" ht="15.75" customHeight="1">
      <c r="A87" s="2">
        <v>4.0</v>
      </c>
      <c r="B87" s="2" t="s">
        <v>325</v>
      </c>
      <c r="C87" s="2" t="s">
        <v>326</v>
      </c>
      <c r="D87" s="2" t="s">
        <v>13</v>
      </c>
      <c r="E87" s="2" t="s">
        <v>14</v>
      </c>
      <c r="F87" s="2" t="s">
        <v>15</v>
      </c>
      <c r="G87" s="2" t="s">
        <v>327</v>
      </c>
      <c r="H87" s="2" t="s">
        <v>42</v>
      </c>
      <c r="I87" s="2" t="str">
        <f>IFERROR(__xludf.DUMMYFUNCTION("GOOGLETRANSLATE(C87,""fr"",""en"")"),"The correct price for a car watch that is almost 30 years old and with 13 years of bonus at 0.50
 fast and clear site now remains more to test direct insurance to do this")</f>
        <v>The correct price for a car watch that is almost 30 years old and with 13 years of bonus at 0.50
 fast and clear site now remains more to test direct insurance to do this</v>
      </c>
    </row>
    <row r="88" ht="15.75" customHeight="1">
      <c r="A88" s="2">
        <v>5.0</v>
      </c>
      <c r="B88" s="2" t="s">
        <v>328</v>
      </c>
      <c r="C88" s="2" t="s">
        <v>329</v>
      </c>
      <c r="D88" s="2" t="s">
        <v>13</v>
      </c>
      <c r="E88" s="2" t="s">
        <v>14</v>
      </c>
      <c r="F88" s="2" t="s">
        <v>15</v>
      </c>
      <c r="G88" s="2" t="s">
        <v>330</v>
      </c>
      <c r="H88" s="2" t="s">
        <v>331</v>
      </c>
      <c r="I88" s="2" t="str">
        <f>IFERROR(__xludf.DUMMYFUNCTION("GOOGLETRANSLATE(C88,""fr"",""en"")"),"Prices are correct compared to competition. In addition, family discounts are great.
However, I made several requests between yesterday and today, the questions as well as the amounts have changed")</f>
        <v>Prices are correct compared to competition. In addition, family discounts are great.
However, I made several requests between yesterday and today, the questions as well as the amounts have changed</v>
      </c>
    </row>
    <row r="89" ht="15.75" customHeight="1">
      <c r="A89" s="2">
        <v>4.0</v>
      </c>
      <c r="B89" s="2" t="s">
        <v>332</v>
      </c>
      <c r="C89" s="2" t="s">
        <v>333</v>
      </c>
      <c r="D89" s="2" t="s">
        <v>55</v>
      </c>
      <c r="E89" s="2" t="s">
        <v>56</v>
      </c>
      <c r="F89" s="2" t="s">
        <v>15</v>
      </c>
      <c r="G89" s="2" t="s">
        <v>334</v>
      </c>
      <c r="H89" s="2" t="s">
        <v>335</v>
      </c>
      <c r="I89" s="2" t="str">
        <f>IFERROR(__xludf.DUMMYFUNCTION("GOOGLETRANSLATE(C89,""fr"",""en"")"),"Client for several years I am really pleasantly satisfied with all the services from which I benefit from the price paid.")</f>
        <v>Client for several years I am really pleasantly satisfied with all the services from which I benefit from the price paid.</v>
      </c>
    </row>
    <row r="90" ht="15.75" customHeight="1">
      <c r="A90" s="2">
        <v>1.0</v>
      </c>
      <c r="B90" s="2" t="s">
        <v>336</v>
      </c>
      <c r="C90" s="2" t="s">
        <v>337</v>
      </c>
      <c r="D90" s="2" t="s">
        <v>106</v>
      </c>
      <c r="E90" s="2" t="s">
        <v>40</v>
      </c>
      <c r="F90" s="2" t="s">
        <v>15</v>
      </c>
      <c r="G90" s="2" t="s">
        <v>338</v>
      </c>
      <c r="H90" s="2" t="s">
        <v>339</v>
      </c>
      <c r="I90" s="2" t="str">
        <f>IFERROR(__xludf.DUMMYFUNCTION("GOOGLETRANSLATE(C90,""fr"",""en"")"),"Not taking care of a sinister water damage, a single letter of refusal, no response to emails and letter
recommended. We no longer exist. Total incorporation to avoid because for less care? You can find better")</f>
        <v>Not taking care of a sinister water damage, a single letter of refusal, no response to emails and letter
recommended. We no longer exist. Total incorporation to avoid because for less care? You can find better</v>
      </c>
    </row>
    <row r="91" ht="15.75" customHeight="1">
      <c r="A91" s="2">
        <v>5.0</v>
      </c>
      <c r="B91" s="2" t="s">
        <v>340</v>
      </c>
      <c r="C91" s="2" t="s">
        <v>341</v>
      </c>
      <c r="D91" s="2" t="s">
        <v>24</v>
      </c>
      <c r="E91" s="2" t="s">
        <v>14</v>
      </c>
      <c r="F91" s="2" t="s">
        <v>15</v>
      </c>
      <c r="G91" s="2" t="s">
        <v>342</v>
      </c>
      <c r="H91" s="2" t="s">
        <v>167</v>
      </c>
      <c r="I91" s="2" t="str">
        <f>IFERROR(__xludf.DUMMYFUNCTION("GOOGLETRANSLATE(C91,""fr"",""en"")"),"I am very satisfied with the service, a very friendly and responsive team. Very interesting prices, I had several quotes from other companies, and I did not find better ... I recommend ??")</f>
        <v>I am very satisfied with the service, a very friendly and responsive team. Very interesting prices, I had several quotes from other companies, and I did not find better ... I recommend ??</v>
      </c>
    </row>
    <row r="92" ht="15.75" customHeight="1">
      <c r="A92" s="2">
        <v>5.0</v>
      </c>
      <c r="B92" s="2" t="s">
        <v>343</v>
      </c>
      <c r="C92" s="2" t="s">
        <v>344</v>
      </c>
      <c r="D92" s="2" t="s">
        <v>24</v>
      </c>
      <c r="E92" s="2" t="s">
        <v>14</v>
      </c>
      <c r="F92" s="2" t="s">
        <v>15</v>
      </c>
      <c r="G92" s="2" t="s">
        <v>345</v>
      </c>
      <c r="H92" s="2" t="s">
        <v>17</v>
      </c>
      <c r="I92" s="2" t="str">
        <f>IFERROR(__xludf.DUMMYFUNCTION("GOOGLETRANSLATE(C92,""fr"",""en"")"),"Very responsive to any request! I recommend!
Contracts very well explained by advisers and always listening to customers nothing to add thank you")</f>
        <v>Very responsive to any request! I recommend!
Contracts very well explained by advisers and always listening to customers nothing to add thank you</v>
      </c>
    </row>
    <row r="93" ht="15.75" customHeight="1">
      <c r="A93" s="2">
        <v>1.0</v>
      </c>
      <c r="B93" s="2" t="s">
        <v>346</v>
      </c>
      <c r="C93" s="2" t="s">
        <v>347</v>
      </c>
      <c r="D93" s="2" t="s">
        <v>106</v>
      </c>
      <c r="E93" s="2" t="s">
        <v>14</v>
      </c>
      <c r="F93" s="2" t="s">
        <v>15</v>
      </c>
      <c r="G93" s="2" t="s">
        <v>348</v>
      </c>
      <c r="H93" s="2" t="s">
        <v>349</v>
      </c>
      <c r="I93" s="2" t="str">
        <f>IFERROR(__xludf.DUMMYFUNCTION("GOOGLETRANSLATE(C93,""fr"",""en"")"),"I received a questioning of a self -loss without even being aware, in a parking lot I put my turn signal in order to make my maneuver to park in reverse normally without embarrassment and without problem the little lady behind me (why ????) Stops its reve"&amp;"rsing apparently strikes another vehicle .. well I continue my day and here is not only 15 days after I receive a letter to imply and the height my insurance puts me 100% responsible I think dreams .. ... Macif very bad advice and does not take the lead t"&amp;"o understand you and defend you ????????????")</f>
        <v>I received a questioning of a self -loss without even being aware, in a parking lot I put my turn signal in order to make my maneuver to park in reverse normally without embarrassment and without problem the little lady behind me (why ????) Stops its reversing apparently strikes another vehicle .. well I continue my day and here is not only 15 days after I receive a letter to imply and the height my insurance puts me 100% responsible I think dreams .. ... Macif very bad advice and does not take the lead to understand you and defend you ????????????</v>
      </c>
    </row>
    <row r="94" ht="15.75" customHeight="1">
      <c r="A94" s="2">
        <v>4.0</v>
      </c>
      <c r="B94" s="2" t="s">
        <v>350</v>
      </c>
      <c r="C94" s="2" t="s">
        <v>351</v>
      </c>
      <c r="D94" s="2" t="s">
        <v>13</v>
      </c>
      <c r="E94" s="2" t="s">
        <v>14</v>
      </c>
      <c r="F94" s="2" t="s">
        <v>15</v>
      </c>
      <c r="G94" s="2" t="s">
        <v>352</v>
      </c>
      <c r="H94" s="2" t="s">
        <v>52</v>
      </c>
      <c r="I94" s="2" t="str">
        <f>IFERROR(__xludf.DUMMYFUNCTION("GOOGLETRANSLATE(C94,""fr"",""en"")"),"Satisfied with prices and service. However, I regret not having been able to ensure another vehicle or being able to give the explanations that seemed necessary to me.")</f>
        <v>Satisfied with prices and service. However, I regret not having been able to ensure another vehicle or being able to give the explanations that seemed necessary to me.</v>
      </c>
    </row>
    <row r="95" ht="15.75" customHeight="1">
      <c r="A95" s="2">
        <v>2.0</v>
      </c>
      <c r="B95" s="2" t="s">
        <v>353</v>
      </c>
      <c r="C95" s="2" t="s">
        <v>354</v>
      </c>
      <c r="D95" s="2" t="s">
        <v>24</v>
      </c>
      <c r="E95" s="2" t="s">
        <v>14</v>
      </c>
      <c r="F95" s="2" t="s">
        <v>15</v>
      </c>
      <c r="G95" s="2" t="s">
        <v>355</v>
      </c>
      <c r="H95" s="2" t="s">
        <v>21</v>
      </c>
      <c r="I95" s="2" t="str">
        <f>IFERROR(__xludf.DUMMYFUNCTION("GOOGLETRANSLATE(C95,""fr"",""en"")"),"Everything is fine during the subscription .... but on the 1st claim they throw you outside with unsecured procedures, putting you unable to know that your insurance is terminated and thus placing you in an incredible situation; They confuse the cancellat"&amp;"ion of the insurance of a housing with another, and of the same resilient home insurance without notifying you.
And when you discover all this fortuitously and ask to speak to a manager, you spend hours on the phone, without ever having a coherent or def"&amp;"initive response .... and you find that in addition, they do not find certain files ! And when they make an answer to your complaint, they send it .... to my son, who has nothing to do with this file.
It would be a gag if it did not immerse us in names w"&amp;"ithout name for several days ...
To flee urgently!")</f>
        <v>Everything is fine during the subscription .... but on the 1st claim they throw you outside with unsecured procedures, putting you unable to know that your insurance is terminated and thus placing you in an incredible situation; They confuse the cancellation of the insurance of a housing with another, and of the same resilient home insurance without notifying you.
And when you discover all this fortuitously and ask to speak to a manager, you spend hours on the phone, without ever having a coherent or definitive response .... and you find that in addition, they do not find certain files ! And when they make an answer to your complaint, they send it .... to my son, who has nothing to do with this file.
It would be a gag if it did not immerse us in names without name for several days ...
To flee urgently!</v>
      </c>
    </row>
    <row r="96" ht="15.75" customHeight="1">
      <c r="A96" s="2">
        <v>4.0</v>
      </c>
      <c r="B96" s="2" t="s">
        <v>356</v>
      </c>
      <c r="C96" s="2" t="s">
        <v>357</v>
      </c>
      <c r="D96" s="2" t="s">
        <v>24</v>
      </c>
      <c r="E96" s="2" t="s">
        <v>14</v>
      </c>
      <c r="F96" s="2" t="s">
        <v>15</v>
      </c>
      <c r="G96" s="2" t="s">
        <v>358</v>
      </c>
      <c r="H96" s="2" t="s">
        <v>84</v>
      </c>
      <c r="I96" s="2" t="str">
        <f>IFERROR(__xludf.DUMMYFUNCTION("GOOGLETRANSLATE(C96,""fr"",""en"")"),"Simple and practical the price suits me I give a note for the whole of 19 out of 20 because even the troubleshooting and very practical and fast that the cavec from other insurance was born")</f>
        <v>Simple and practical the price suits me I give a note for the whole of 19 out of 20 because even the troubleshooting and very practical and fast that the cavec from other insurance was born</v>
      </c>
    </row>
    <row r="97" ht="15.75" customHeight="1">
      <c r="A97" s="2">
        <v>1.0</v>
      </c>
      <c r="B97" s="2" t="s">
        <v>359</v>
      </c>
      <c r="C97" s="2" t="s">
        <v>360</v>
      </c>
      <c r="D97" s="2" t="s">
        <v>361</v>
      </c>
      <c r="E97" s="2" t="s">
        <v>40</v>
      </c>
      <c r="F97" s="2" t="s">
        <v>15</v>
      </c>
      <c r="G97" s="2" t="s">
        <v>362</v>
      </c>
      <c r="H97" s="2" t="s">
        <v>363</v>
      </c>
      <c r="I97" s="2" t="str">
        <f>IFERROR(__xludf.DUMMYFUNCTION("GOOGLETRANSLATE(C97,""fr"",""en"")"),"Total dissatisfaction !!!!
CLIENT SOGESSUR for 20 years pr housing, a price which has more than doubled in 10 years and this year 160th annual compared to the previous one, call for explanation, as very vague coats, and after several minutes, my interloc"&amp;"utor warns me that he must put an end to our interview. I know a bit of platform work and I know that it is not the employee who decides but an automatic system (profitability obliges) especially if no product subscribed at the end.
So let's go to see el"&amp;"sewhere if the sky is more blue, MS not very optimistic in view of the comments read on competitors
")</f>
        <v>Total dissatisfaction !!!!
CLIENT SOGESSUR for 20 years pr housing, a price which has more than doubled in 10 years and this year 160th annual compared to the previous one, call for explanation, as very vague coats, and after several minutes, my interlocutor warns me that he must put an end to our interview. I know a bit of platform work and I know that it is not the employee who decides but an automatic system (profitability obliges) especially if no product subscribed at the end.
So let's go to see elsewhere if the sky is more blue, MS not very optimistic in view of the comments read on competitors
</v>
      </c>
    </row>
    <row r="98" ht="15.75" customHeight="1">
      <c r="A98" s="2">
        <v>1.0</v>
      </c>
      <c r="B98" s="2" t="s">
        <v>364</v>
      </c>
      <c r="C98" s="2" t="s">
        <v>365</v>
      </c>
      <c r="D98" s="2" t="s">
        <v>45</v>
      </c>
      <c r="E98" s="2" t="s">
        <v>40</v>
      </c>
      <c r="F98" s="2" t="s">
        <v>15</v>
      </c>
      <c r="G98" s="2" t="s">
        <v>366</v>
      </c>
      <c r="H98" s="2" t="s">
        <v>367</v>
      </c>
      <c r="I98" s="2" t="str">
        <f>IFERROR(__xludf.DUMMYFUNCTION("GOOGLETRANSLATE(C98,""fr"",""en"")"),"You are the most expensive on the market, so no need to stay at")</f>
        <v>You are the most expensive on the market, so no need to stay at</v>
      </c>
    </row>
    <row r="99" ht="15.75" customHeight="1">
      <c r="A99" s="2">
        <v>2.0</v>
      </c>
      <c r="B99" s="2" t="s">
        <v>368</v>
      </c>
      <c r="C99" s="2" t="s">
        <v>369</v>
      </c>
      <c r="D99" s="2" t="s">
        <v>106</v>
      </c>
      <c r="E99" s="2" t="s">
        <v>40</v>
      </c>
      <c r="F99" s="2" t="s">
        <v>15</v>
      </c>
      <c r="G99" s="2" t="s">
        <v>370</v>
      </c>
      <c r="H99" s="2" t="s">
        <v>221</v>
      </c>
      <c r="I99" s="2" t="str">
        <f>IFERROR(__xludf.DUMMYFUNCTION("GOOGLETRANSLATE(C99,""fr"",""en"")"),"Member for more than 20 years, now at the first glitch on my home, the Macif refuses any compensation .... We must go to the conflict ... heartbreaking")</f>
        <v>Member for more than 20 years, now at the first glitch on my home, the Macif refuses any compensation .... We must go to the conflict ... heartbreaking</v>
      </c>
    </row>
    <row r="100" ht="15.75" customHeight="1">
      <c r="A100" s="2">
        <v>3.0</v>
      </c>
      <c r="B100" s="2" t="s">
        <v>371</v>
      </c>
      <c r="C100" s="2" t="s">
        <v>372</v>
      </c>
      <c r="D100" s="2" t="s">
        <v>24</v>
      </c>
      <c r="E100" s="2" t="s">
        <v>14</v>
      </c>
      <c r="F100" s="2" t="s">
        <v>15</v>
      </c>
      <c r="G100" s="2" t="s">
        <v>373</v>
      </c>
      <c r="H100" s="2" t="s">
        <v>84</v>
      </c>
      <c r="I100" s="2" t="str">
        <f>IFERROR(__xludf.DUMMYFUNCTION("GOOGLETRANSLATE(C100,""fr"",""en"")"),"Despite the time spent on the phone, a sympathetic and patient man to validate my request. The prices are correct and easy subscription conditions.")</f>
        <v>Despite the time spent on the phone, a sympathetic and patient man to validate my request. The prices are correct and easy subscription conditions.</v>
      </c>
    </row>
    <row r="101" ht="15.75" customHeight="1">
      <c r="A101" s="2">
        <v>1.0</v>
      </c>
      <c r="B101" s="2" t="s">
        <v>374</v>
      </c>
      <c r="C101" s="2" t="s">
        <v>375</v>
      </c>
      <c r="D101" s="2" t="s">
        <v>376</v>
      </c>
      <c r="E101" s="2" t="s">
        <v>34</v>
      </c>
      <c r="F101" s="2" t="s">
        <v>15</v>
      </c>
      <c r="G101" s="2" t="s">
        <v>377</v>
      </c>
      <c r="H101" s="2" t="s">
        <v>292</v>
      </c>
      <c r="I101" s="2" t="str">
        <f>IFERROR(__xludf.DUMMYFUNCTION("GOOGLETRANSLATE(C101,""fr"",""en"")"),"When I was an employee, this mutual worked very well, I was reimbursed quickly. She also reimbursed my orthodontic and optical care very well. But since I am unemployed in portability of the law has been hell !!!!! They drag the reimbursements (+3 months)"&amp;", ask for supporting documents that I have already given them to further extend the reimbursement times. Although unemployment, I still have the right to over -compulsory health, however they reimburse me on the basis of the amounts of basic guarantees. I"&amp;" may send them by mail the invoices with a word specifying my situation does nothing. They continue to make mistakes in my reimbursements !! Not one of my reimbursements has been correct since. They abuse!")</f>
        <v>When I was an employee, this mutual worked very well, I was reimbursed quickly. She also reimbursed my orthodontic and optical care very well. But since I am unemployed in portability of the law has been hell !!!!! They drag the reimbursements (+3 months), ask for supporting documents that I have already given them to further extend the reimbursement times. Although unemployment, I still have the right to over -compulsory health, however they reimburse me on the basis of the amounts of basic guarantees. I may send them by mail the invoices with a word specifying my situation does nothing. They continue to make mistakes in my reimbursements !! Not one of my reimbursements has been correct since. They abuse!</v>
      </c>
    </row>
    <row r="102" ht="15.75" customHeight="1">
      <c r="A102" s="2">
        <v>2.0</v>
      </c>
      <c r="B102" s="2" t="s">
        <v>378</v>
      </c>
      <c r="C102" s="2" t="s">
        <v>379</v>
      </c>
      <c r="D102" s="2" t="s">
        <v>28</v>
      </c>
      <c r="E102" s="2" t="s">
        <v>14</v>
      </c>
      <c r="F102" s="2" t="s">
        <v>15</v>
      </c>
      <c r="G102" s="2" t="s">
        <v>380</v>
      </c>
      <c r="H102" s="2" t="s">
        <v>381</v>
      </c>
      <c r="I102" s="2" t="str">
        <f>IFERROR(__xludf.DUMMYFUNCTION("GOOGLETRANSLATE(C102,""fr"",""en"")"),"Staff at the very unpleasant welcome I could not make sure the person refers me by telling myself that they would be too expensive
And called my former insurer to inquire before me I think about being in a police station while I am in a bonus and had no "&amp;"termination or license")</f>
        <v>Staff at the very unpleasant welcome I could not make sure the person refers me by telling myself that they would be too expensive
And called my former insurer to inquire before me I think about being in a police station while I am in a bonus and had no termination or license</v>
      </c>
    </row>
    <row r="103" ht="15.75" customHeight="1">
      <c r="A103" s="2">
        <v>4.0</v>
      </c>
      <c r="B103" s="2" t="s">
        <v>382</v>
      </c>
      <c r="C103" s="2" t="s">
        <v>383</v>
      </c>
      <c r="D103" s="2" t="s">
        <v>39</v>
      </c>
      <c r="E103" s="2" t="s">
        <v>14</v>
      </c>
      <c r="F103" s="2" t="s">
        <v>15</v>
      </c>
      <c r="G103" s="2" t="s">
        <v>384</v>
      </c>
      <c r="H103" s="2" t="s">
        <v>21</v>
      </c>
      <c r="I103" s="2" t="str">
        <f>IFERROR(__xludf.DUMMYFUNCTION("GOOGLETRANSLATE(C103,""fr"",""en"")"),"The price charged is very competitive in relation to competition.
Whenever I asked, the assistance service has generally been rather effective.")</f>
        <v>The price charged is very competitive in relation to competition.
Whenever I asked, the assistance service has generally been rather effective.</v>
      </c>
    </row>
    <row r="104" ht="15.75" customHeight="1">
      <c r="A104" s="2">
        <v>1.0</v>
      </c>
      <c r="B104" s="2" t="s">
        <v>385</v>
      </c>
      <c r="C104" s="2" t="s">
        <v>386</v>
      </c>
      <c r="D104" s="2" t="s">
        <v>96</v>
      </c>
      <c r="E104" s="2" t="s">
        <v>97</v>
      </c>
      <c r="F104" s="2" t="s">
        <v>15</v>
      </c>
      <c r="G104" s="2" t="s">
        <v>387</v>
      </c>
      <c r="H104" s="2" t="s">
        <v>30</v>
      </c>
      <c r="I104" s="2" t="str">
        <f>IFERROR(__xludf.DUMMYFUNCTION("GOOGLETRANSLATE(C104,""fr"",""en"")"),"With my husband we have taken out 100% insurance in the event of an accident and illness at BNP Paribas my husband had a fracture of the femur since March 2018 we have given all the papers to be compensated")</f>
        <v>With my husband we have taken out 100% insurance in the event of an accident and illness at BNP Paribas my husband had a fracture of the femur since March 2018 we have given all the papers to be compensated</v>
      </c>
    </row>
    <row r="105" ht="15.75" customHeight="1">
      <c r="A105" s="2">
        <v>3.0</v>
      </c>
      <c r="B105" s="2" t="s">
        <v>388</v>
      </c>
      <c r="C105" s="2" t="s">
        <v>389</v>
      </c>
      <c r="D105" s="2" t="s">
        <v>13</v>
      </c>
      <c r="E105" s="2" t="s">
        <v>14</v>
      </c>
      <c r="F105" s="2" t="s">
        <v>15</v>
      </c>
      <c r="G105" s="2" t="s">
        <v>390</v>
      </c>
      <c r="H105" s="2" t="s">
        <v>21</v>
      </c>
      <c r="I105" s="2" t="str">
        <f>IFERROR(__xludf.DUMMYFUNCTION("GOOGLETRANSLATE(C105,""fr"",""en"")"),"Satisfied with the website. Much less from the hotline, the salesperson having tried to sell me at all costs a formula that I did not want (all risks).")</f>
        <v>Satisfied with the website. Much less from the hotline, the salesperson having tried to sell me at all costs a formula that I did not want (all risks).</v>
      </c>
    </row>
    <row r="106" ht="15.75" customHeight="1">
      <c r="A106" s="2">
        <v>1.0</v>
      </c>
      <c r="B106" s="2" t="s">
        <v>391</v>
      </c>
      <c r="C106" s="2" t="s">
        <v>392</v>
      </c>
      <c r="D106" s="2" t="s">
        <v>393</v>
      </c>
      <c r="E106" s="2" t="s">
        <v>66</v>
      </c>
      <c r="F106" s="2" t="s">
        <v>15</v>
      </c>
      <c r="G106" s="2" t="s">
        <v>394</v>
      </c>
      <c r="H106" s="2" t="s">
        <v>381</v>
      </c>
      <c r="I106" s="2" t="str">
        <f>IFERROR(__xludf.DUMMYFUNCTION("GOOGLETRANSLATE(C106,""fr"",""en"")"),"In the workplace of work from 09/10/17 to 05/07/18, I have a pension contract at Swisslife subscribed by my employer. Impossible to obtain my salary supplement. I tried to contact Swisslife but not having a personal member number, they cannot answer me. M"&amp;"y employer tells him that I have done the necessary! I also contacted the labor inspection. Not knowing how to do it, I think I would call on my legal protection, Swisslife not responding to any of my calls and emails.")</f>
        <v>In the workplace of work from 09/10/17 to 05/07/18, I have a pension contract at Swisslife subscribed by my employer. Impossible to obtain my salary supplement. I tried to contact Swisslife but not having a personal member number, they cannot answer me. My employer tells him that I have done the necessary! I also contacted the labor inspection. Not knowing how to do it, I think I would call on my legal protection, Swisslife not responding to any of my calls and emails.</v>
      </c>
    </row>
    <row r="107" ht="15.75" customHeight="1">
      <c r="A107" s="2">
        <v>1.0</v>
      </c>
      <c r="B107" s="2" t="s">
        <v>395</v>
      </c>
      <c r="C107" s="2" t="s">
        <v>396</v>
      </c>
      <c r="D107" s="2" t="s">
        <v>24</v>
      </c>
      <c r="E107" s="2" t="s">
        <v>14</v>
      </c>
      <c r="F107" s="2" t="s">
        <v>15</v>
      </c>
      <c r="G107" s="2" t="s">
        <v>397</v>
      </c>
      <c r="H107" s="2" t="s">
        <v>68</v>
      </c>
      <c r="I107" s="2" t="str">
        <f>IFERROR(__xludf.DUMMYFUNCTION("GOOGLETRANSLATE(C107,""fr"",""en"")"),"The price is high because I changed the windshield
It's not my need (clot), and I had to change the windshield
We must classify claims
Best regards")</f>
        <v>The price is high because I changed the windshield
It's not my need (clot), and I had to change the windshield
We must classify claims
Best regards</v>
      </c>
    </row>
    <row r="108" ht="15.75" customHeight="1">
      <c r="A108" s="2">
        <v>5.0</v>
      </c>
      <c r="B108" s="2" t="s">
        <v>398</v>
      </c>
      <c r="C108" s="2" t="s">
        <v>399</v>
      </c>
      <c r="D108" s="2" t="s">
        <v>13</v>
      </c>
      <c r="E108" s="2" t="s">
        <v>14</v>
      </c>
      <c r="F108" s="2" t="s">
        <v>15</v>
      </c>
      <c r="G108" s="2" t="s">
        <v>197</v>
      </c>
      <c r="H108" s="2" t="s">
        <v>128</v>
      </c>
      <c r="I108" s="2" t="str">
        <f>IFERROR(__xludf.DUMMYFUNCTION("GOOGLETRANSLATE(C108,""fr"",""en"")"),"If I had known earlier that we could terminate after a contract, I would have joined you earlier. So I was waiting for the anniversary of my contract. My economies are very important on this contract")</f>
        <v>If I had known earlier that we could terminate after a contract, I would have joined you earlier. So I was waiting for the anniversary of my contract. My economies are very important on this contract</v>
      </c>
    </row>
    <row r="109" ht="15.75" customHeight="1">
      <c r="A109" s="2">
        <v>2.0</v>
      </c>
      <c r="B109" s="2" t="s">
        <v>400</v>
      </c>
      <c r="C109" s="2" t="s">
        <v>401</v>
      </c>
      <c r="D109" s="2" t="s">
        <v>13</v>
      </c>
      <c r="E109" s="2" t="s">
        <v>14</v>
      </c>
      <c r="F109" s="2" t="s">
        <v>15</v>
      </c>
      <c r="G109" s="2" t="s">
        <v>402</v>
      </c>
      <c r="H109" s="2" t="s">
        <v>403</v>
      </c>
      <c r="I109" s="2" t="str">
        <f>IFERROR(__xludf.DUMMYFUNCTION("GOOGLETRANSLATE(C109,""fr"",""en"")"),"I have a first accident with a stunned door offense, I had a witnesses, I filed a complaint, the insurance would never have managed to reach it !!! except me ! So classified affair, it lasted months, second accident still not in wrong I am back in the bac"&amp;"k and no news from insurance! In the first accident I sold my vehicle 6000 euros, today in financial galley and no news I had to resolve to sell it off at 3500,")</f>
        <v>I have a first accident with a stunned door offense, I had a witnesses, I filed a complaint, the insurance would never have managed to reach it !!! except me ! So classified affair, it lasted months, second accident still not in wrong I am back in the back and no news from insurance! In the first accident I sold my vehicle 6000 euros, today in financial galley and no news I had to resolve to sell it off at 3500,</v>
      </c>
    </row>
    <row r="110" ht="15.75" customHeight="1">
      <c r="A110" s="2">
        <v>2.0</v>
      </c>
      <c r="B110" s="2" t="s">
        <v>404</v>
      </c>
      <c r="C110" s="2" t="s">
        <v>405</v>
      </c>
      <c r="D110" s="2" t="s">
        <v>406</v>
      </c>
      <c r="E110" s="2" t="s">
        <v>40</v>
      </c>
      <c r="F110" s="2" t="s">
        <v>15</v>
      </c>
      <c r="G110" s="2" t="s">
        <v>407</v>
      </c>
      <c r="H110" s="2" t="s">
        <v>335</v>
      </c>
      <c r="I110" s="2" t="str">
        <f>IFERROR(__xludf.DUMMYFUNCTION("GOOGLETRANSLATE(C110,""fr"",""en"")"),"A advice .... forget this insurance. ..
Since March following a storm. .. After I don't know how many emails and phone call. ... Our file is still not dealt with ...")</f>
        <v>A advice .... forget this insurance. ..
Since March following a storm. .. After I don't know how many emails and phone call. ... Our file is still not dealt with ...</v>
      </c>
    </row>
    <row r="111" ht="15.75" customHeight="1">
      <c r="A111" s="2">
        <v>2.0</v>
      </c>
      <c r="B111" s="2" t="s">
        <v>408</v>
      </c>
      <c r="C111" s="2" t="s">
        <v>409</v>
      </c>
      <c r="D111" s="2" t="s">
        <v>28</v>
      </c>
      <c r="E111" s="2" t="s">
        <v>14</v>
      </c>
      <c r="F111" s="2" t="s">
        <v>15</v>
      </c>
      <c r="G111" s="2" t="s">
        <v>410</v>
      </c>
      <c r="H111" s="2" t="s">
        <v>108</v>
      </c>
      <c r="I111" s="2" t="str">
        <f>IFERROR(__xludf.DUMMYFUNCTION("GOOGLETRANSLATE(C111,""fr"",""en"")"),"Hello, I have been a client at Matmut for twenty years, as well as my whole family. I have never had any problems apart from this 01/25/2019. My vehicle was stolen. I am assured at all risk performance. And my advisor explained to me that after 20 days, I"&amp;" am compensated. The 20 days are widely passed and the person who takes care of my file, asks me for a document every Monday, and he announced that the 20 days will start as soon as they have received all the documents. Is it normal that every Monday is s"&amp;"he asking me for a document?
I am without vehicle, we have been 5 family members to be insured for over 20 years, and in the first disaster it happens like that, it's disappointing.
And I relaunched this day, I am told that my file is in progress. I am "&amp;"without vehicle, I work to oppose it, and I have no way of being compensated.
Yet we continue to debit my deadlines, that's normal even if the car has been stolen.")</f>
        <v>Hello, I have been a client at Matmut for twenty years, as well as my whole family. I have never had any problems apart from this 01/25/2019. My vehicle was stolen. I am assured at all risk performance. And my advisor explained to me that after 20 days, I am compensated. The 20 days are widely passed and the person who takes care of my file, asks me for a document every Monday, and he announced that the 20 days will start as soon as they have received all the documents. Is it normal that every Monday is she asking me for a document?
I am without vehicle, we have been 5 family members to be insured for over 20 years, and in the first disaster it happens like that, it's disappointing.
And I relaunched this day, I am told that my file is in progress. I am without vehicle, I work to oppose it, and I have no way of being compensated.
Yet we continue to debit my deadlines, that's normal even if the car has been stolen.</v>
      </c>
    </row>
    <row r="112" ht="15.75" customHeight="1">
      <c r="A112" s="2">
        <v>1.0</v>
      </c>
      <c r="B112" s="2" t="s">
        <v>411</v>
      </c>
      <c r="C112" s="2" t="s">
        <v>412</v>
      </c>
      <c r="D112" s="2" t="s">
        <v>60</v>
      </c>
      <c r="E112" s="2" t="s">
        <v>14</v>
      </c>
      <c r="F112" s="2" t="s">
        <v>15</v>
      </c>
      <c r="G112" s="2" t="s">
        <v>413</v>
      </c>
      <c r="H112" s="2" t="s">
        <v>17</v>
      </c>
      <c r="I112" s="2" t="str">
        <f>IFERROR(__xludf.DUMMYFUNCTION("GOOGLETRANSLATE(C112,""fr"",""en"")"),"Flee this insurance company
We pay off -price insurance and the coverage is shabby
Deplorable customer service and not at all listening to the customer")</f>
        <v>Flee this insurance company
We pay off -price insurance and the coverage is shabby
Deplorable customer service and not at all listening to the customer</v>
      </c>
    </row>
    <row r="113" ht="15.75" customHeight="1">
      <c r="A113" s="2">
        <v>1.0</v>
      </c>
      <c r="B113" s="2" t="s">
        <v>414</v>
      </c>
      <c r="C113" s="2" t="s">
        <v>415</v>
      </c>
      <c r="D113" s="2" t="s">
        <v>416</v>
      </c>
      <c r="E113" s="2" t="s">
        <v>34</v>
      </c>
      <c r="F113" s="2" t="s">
        <v>15</v>
      </c>
      <c r="G113" s="2" t="s">
        <v>417</v>
      </c>
      <c r="H113" s="2" t="s">
        <v>363</v>
      </c>
      <c r="I113" s="2" t="str">
        <f>IFERROR(__xludf.DUMMYFUNCTION("GOOGLETRANSLATE(C113,""fr"",""en"")"),"I strongly advise against I will be factual.
Instead of a subscribed contract, you believe to sign one, it will fuel 3.
You come to sign a mutual insurance company, you will meet in the end, with a mutual insurance company at 25 €, a hospital protection"&amp;" contract at 10 €, injury protection at 10 €. All on the same 3 -page membership bulletin, checked in very little without your knowledge page 2.
You will therefore pay 45 € / month for 25 € real protection. The rest is bogus, it is foresight. At terminat"&amp;"ion, we will terminate the real mutual at 25 €, but the 20 € monthly margin remaining will continue to run. 3 termination letters are needed for 3 contracts.
I know someone who worked there and confirmed to me that these practices are an HR will and ge"&amp;"neral management to ""marry"" on members. It is a real insurance, a mill mill of salespeople full of beautiful words with figures of figure, worse than a bank.
Go running.")</f>
        <v>I strongly advise against I will be factual.
Instead of a subscribed contract, you believe to sign one, it will fuel 3.
You come to sign a mutual insurance company, you will meet in the end, with a mutual insurance company at 25 €, a hospital protection contract at 10 €, injury protection at 10 €. All on the same 3 -page membership bulletin, checked in very little without your knowledge page 2.
You will therefore pay 45 € / month for 25 € real protection. The rest is bogus, it is foresight. At termination, we will terminate the real mutual at 25 €, but the 20 € monthly margin remaining will continue to run. 3 termination letters are needed for 3 contracts.
I know someone who worked there and confirmed to me that these practices are an HR will and general management to "marry" on members. It is a real insurance, a mill mill of salespeople full of beautiful words with figures of figure, worse than a bank.
Go running.</v>
      </c>
    </row>
    <row r="114" ht="15.75" customHeight="1">
      <c r="A114" s="2">
        <v>4.0</v>
      </c>
      <c r="B114" s="2" t="s">
        <v>418</v>
      </c>
      <c r="C114" s="2" t="s">
        <v>419</v>
      </c>
      <c r="D114" s="2" t="s">
        <v>13</v>
      </c>
      <c r="E114" s="2" t="s">
        <v>14</v>
      </c>
      <c r="F114" s="2" t="s">
        <v>15</v>
      </c>
      <c r="G114" s="2" t="s">
        <v>420</v>
      </c>
      <c r="H114" s="2" t="s">
        <v>42</v>
      </c>
      <c r="I114" s="2" t="str">
        <f>IFERROR(__xludf.DUMMYFUNCTION("GOOGLETRANSLATE(C114,""fr"",""en"")"),"I am satisfied with the site. The price suits me .. I would recommend it to other people. This site is very practical, simple and friendly. Thank you for this site.")</f>
        <v>I am satisfied with the site. The price suits me .. I would recommend it to other people. This site is very practical, simple and friendly. Thank you for this site.</v>
      </c>
    </row>
    <row r="115" ht="15.75" customHeight="1">
      <c r="A115" s="2">
        <v>4.0</v>
      </c>
      <c r="B115" s="2" t="s">
        <v>421</v>
      </c>
      <c r="C115" s="2" t="s">
        <v>422</v>
      </c>
      <c r="D115" s="2" t="s">
        <v>24</v>
      </c>
      <c r="E115" s="2" t="s">
        <v>14</v>
      </c>
      <c r="F115" s="2" t="s">
        <v>15</v>
      </c>
      <c r="G115" s="2" t="s">
        <v>345</v>
      </c>
      <c r="H115" s="2" t="s">
        <v>17</v>
      </c>
      <c r="I115" s="2" t="str">
        <f>IFERROR(__xludf.DUMMYFUNCTION("GOOGLETRANSLATE(C115,""fr"",""en"")"),"I am satisfied with the practical and fast service The prices are suitable
Telephone services are also good
The request for advice is too long")</f>
        <v>I am satisfied with the practical and fast service The prices are suitable
Telephone services are also good
The request for advice is too long</v>
      </c>
    </row>
    <row r="116" ht="15.75" customHeight="1">
      <c r="A116" s="2">
        <v>1.0</v>
      </c>
      <c r="B116" s="2" t="s">
        <v>423</v>
      </c>
      <c r="C116" s="2" t="s">
        <v>424</v>
      </c>
      <c r="D116" s="2" t="s">
        <v>106</v>
      </c>
      <c r="E116" s="2" t="s">
        <v>14</v>
      </c>
      <c r="F116" s="2" t="s">
        <v>15</v>
      </c>
      <c r="G116" s="2" t="s">
        <v>425</v>
      </c>
      <c r="H116" s="2" t="s">
        <v>259</v>
      </c>
      <c r="I116" s="2" t="str">
        <f>IFERROR(__xludf.DUMMYFUNCTION("GOOGLETRANSLATE(C116,""fr"",""en"")"),"Dishonest...
We wonder what the highway code is for.
With completely astounding rules.
So even when you are not responsible for the accident, they arrive at their end and do not take care of anything.
Not to mention the waiting time to have someone on"&amp;" the phone and to be helped out!
Disappointed and to avoid.
")</f>
        <v>Dishonest...
We wonder what the highway code is for.
With completely astounding rules.
So even when you are not responsible for the accident, they arrive at their end and do not take care of anything.
Not to mention the waiting time to have someone on the phone and to be helped out!
Disappointed and to avoid.
</v>
      </c>
    </row>
    <row r="117" ht="15.75" customHeight="1">
      <c r="A117" s="2">
        <v>3.0</v>
      </c>
      <c r="B117" s="2" t="s">
        <v>426</v>
      </c>
      <c r="C117" s="2" t="s">
        <v>427</v>
      </c>
      <c r="D117" s="2" t="s">
        <v>393</v>
      </c>
      <c r="E117" s="2" t="s">
        <v>46</v>
      </c>
      <c r="F117" s="2" t="s">
        <v>15</v>
      </c>
      <c r="G117" s="2" t="s">
        <v>428</v>
      </c>
      <c r="H117" s="2" t="s">
        <v>243</v>
      </c>
      <c r="I117" s="2" t="str">
        <f>IFERROR(__xludf.DUMMYFUNCTION("GOOGLETRANSLATE(C117,""fr"",""en"")"),"My mom has had life for 26 years, always paid contributions in time; She died on December 18 and since I was fighting to touch the insurance, at the start I am told that they received the mail on December 26 and that they have 30 days to pay, after 30 day"&amp;"s still I Relaunch by phone (18 cts per minute anyway) and there after a while I am answered that a paper is missing that I am sent and that I fill and refer in the same day, I am waiting for a few days re telephone and there I am told that the file is ve"&amp;"ry complete but that they have 30 days to end the file ...... suddenly after the second 30 days they will find what an excuse ???? I call every week and I always have the same answer ""Your file is in progress ...."" Really not serious I think of stopping"&amp;" all the insurance I have at home if it continues.")</f>
        <v>My mom has had life for 26 years, always paid contributions in time; She died on December 18 and since I was fighting to touch the insurance, at the start I am told that they received the mail on December 26 and that they have 30 days to pay, after 30 days still I Relaunch by phone (18 cts per minute anyway) and there after a while I am answered that a paper is missing that I am sent and that I fill and refer in the same day, I am waiting for a few days re telephone and there I am told that the file is very complete but that they have 30 days to end the file ...... suddenly after the second 30 days they will find what an excuse ???? I call every week and I always have the same answer "Your file is in progress ...." Really not serious I think of stopping all the insurance I have at home if it continues.</v>
      </c>
    </row>
    <row r="118" ht="15.75" customHeight="1">
      <c r="A118" s="2">
        <v>2.0</v>
      </c>
      <c r="B118" s="2" t="s">
        <v>429</v>
      </c>
      <c r="C118" s="2" t="s">
        <v>430</v>
      </c>
      <c r="D118" s="2" t="s">
        <v>71</v>
      </c>
      <c r="E118" s="2" t="s">
        <v>40</v>
      </c>
      <c r="F118" s="2" t="s">
        <v>15</v>
      </c>
      <c r="G118" s="2" t="s">
        <v>93</v>
      </c>
      <c r="H118" s="2" t="s">
        <v>363</v>
      </c>
      <c r="I118" s="2" t="str">
        <f>IFERROR(__xludf.DUMMYFUNCTION("GOOGLETRANSLATE(C118,""fr"",""en"")"),"As much as the MAIF at the level of auto insurance is at the top, as much as regards the housing it is lamentable ...
It's been practically a year since I recovered a property that was rented to reside myself, where many things have been deteriorated by "&amp;"my tenant in addition to unpaid rents, and I was assured as a lessor owner.
The expert has passed, after 3 and a half months, and now that all the quotes are ready, we quibble on many things, the expert has done estimates below real repairs, a craftsman "&amp;"even told me that this lady had to do Couture before ... It will be almost a year old !!!
Still, I am embarrassment with locks to change, the main water pipe to bury before frosts, etc etc ..... ????????????
A fed up
")</f>
        <v>As much as the MAIF at the level of auto insurance is at the top, as much as regards the housing it is lamentable ...
It's been practically a year since I recovered a property that was rented to reside myself, where many things have been deteriorated by my tenant in addition to unpaid rents, and I was assured as a lessor owner.
The expert has passed, after 3 and a half months, and now that all the quotes are ready, we quibble on many things, the expert has done estimates below real repairs, a craftsman even told me that this lady had to do Couture before ... It will be almost a year old !!!
Still, I am embarrassment with locks to change, the main water pipe to bury before frosts, etc etc ..... ????????????
A fed up
</v>
      </c>
    </row>
    <row r="119" ht="15.75" customHeight="1">
      <c r="A119" s="2">
        <v>2.0</v>
      </c>
      <c r="B119" s="2" t="s">
        <v>431</v>
      </c>
      <c r="C119" s="2" t="s">
        <v>432</v>
      </c>
      <c r="D119" s="2" t="s">
        <v>60</v>
      </c>
      <c r="E119" s="2" t="s">
        <v>14</v>
      </c>
      <c r="F119" s="2" t="s">
        <v>15</v>
      </c>
      <c r="G119" s="2" t="s">
        <v>433</v>
      </c>
      <c r="H119" s="2" t="s">
        <v>434</v>
      </c>
      <c r="I119" s="2" t="str">
        <f>IFERROR(__xludf.DUMMYFUNCTION("GOOGLETRANSLATE(C119,""fr"",""en"")"),"Insurance which has the quality of being unfaithful to its customers despite a max bonus for near 20 years ...")</f>
        <v>Insurance which has the quality of being unfaithful to its customers despite a max bonus for near 20 years ...</v>
      </c>
    </row>
    <row r="120" ht="15.75" customHeight="1">
      <c r="A120" s="2">
        <v>3.0</v>
      </c>
      <c r="B120" s="2" t="s">
        <v>435</v>
      </c>
      <c r="C120" s="2" t="s">
        <v>436</v>
      </c>
      <c r="D120" s="2" t="s">
        <v>13</v>
      </c>
      <c r="E120" s="2" t="s">
        <v>14</v>
      </c>
      <c r="F120" s="2" t="s">
        <v>15</v>
      </c>
      <c r="G120" s="2" t="s">
        <v>437</v>
      </c>
      <c r="H120" s="2" t="s">
        <v>52</v>
      </c>
      <c r="I120" s="2" t="str">
        <f>IFERROR(__xludf.DUMMYFUNCTION("GOOGLETRANSLATE(C120,""fr"",""en"")"),"Overall, I am satisfied with the services but the price is quite high. I will be interested in finding a solution to lower the prices of my 3 insurance")</f>
        <v>Overall, I am satisfied with the services but the price is quite high. I will be interested in finding a solution to lower the prices of my 3 insurance</v>
      </c>
    </row>
    <row r="121" ht="15.75" customHeight="1">
      <c r="A121" s="2">
        <v>1.0</v>
      </c>
      <c r="B121" s="2" t="s">
        <v>438</v>
      </c>
      <c r="C121" s="2" t="s">
        <v>439</v>
      </c>
      <c r="D121" s="2" t="s">
        <v>13</v>
      </c>
      <c r="E121" s="2" t="s">
        <v>14</v>
      </c>
      <c r="F121" s="2" t="s">
        <v>15</v>
      </c>
      <c r="G121" s="2" t="s">
        <v>440</v>
      </c>
      <c r="H121" s="2" t="s">
        <v>128</v>
      </c>
      <c r="I121" s="2" t="str">
        <f>IFERROR(__xludf.DUMMYFUNCTION("GOOGLETRANSLATE(C121,""fr"",""en"")"),"At first it was the cheapest ... The thing is that they increase you by at least 3 euros per year without warning, and in the end they are much more expensive than the others !!! So don't get you directly insurance are the most expensive !!!!")</f>
        <v>At first it was the cheapest ... The thing is that they increase you by at least 3 euros per year without warning, and in the end they are much more expensive than the others !!! So don't get you directly insurance are the most expensive !!!!</v>
      </c>
    </row>
    <row r="122" ht="15.75" customHeight="1">
      <c r="A122" s="2">
        <v>5.0</v>
      </c>
      <c r="B122" s="2" t="s">
        <v>441</v>
      </c>
      <c r="C122" s="2" t="s">
        <v>442</v>
      </c>
      <c r="D122" s="2" t="s">
        <v>24</v>
      </c>
      <c r="E122" s="2" t="s">
        <v>14</v>
      </c>
      <c r="F122" s="2" t="s">
        <v>15</v>
      </c>
      <c r="G122" s="2" t="s">
        <v>443</v>
      </c>
      <c r="H122" s="2" t="s">
        <v>444</v>
      </c>
      <c r="I122" s="2" t="str">
        <f>IFERROR(__xludf.DUMMYFUNCTION("GOOGLETRANSLATE(C122,""fr"",""en"")"),"Nothing to report at the moment, I am very happy with this car insurance! Thank you.")</f>
        <v>Nothing to report at the moment, I am very happy with this car insurance! Thank you.</v>
      </c>
    </row>
    <row r="123" ht="15.75" customHeight="1">
      <c r="A123" s="2">
        <v>4.0</v>
      </c>
      <c r="B123" s="2" t="s">
        <v>445</v>
      </c>
      <c r="C123" s="2" t="s">
        <v>446</v>
      </c>
      <c r="D123" s="2" t="s">
        <v>13</v>
      </c>
      <c r="E123" s="2" t="s">
        <v>14</v>
      </c>
      <c r="F123" s="2" t="s">
        <v>15</v>
      </c>
      <c r="G123" s="2" t="s">
        <v>447</v>
      </c>
      <c r="H123" s="2" t="s">
        <v>84</v>
      </c>
      <c r="I123" s="2" t="str">
        <f>IFERROR(__xludf.DUMMYFUNCTION("GOOGLETRANSLATE(C123,""fr"",""en"")"),"The prices remain correct, just an increase of around € 4 on the Twingo and € 4 on the apartment but a slight decrease on the Audi.
We continue together of course!")</f>
        <v>The prices remain correct, just an increase of around € 4 on the Twingo and € 4 on the apartment but a slight decrease on the Audi.
We continue together of course!</v>
      </c>
    </row>
    <row r="124" ht="15.75" customHeight="1">
      <c r="A124" s="2">
        <v>1.0</v>
      </c>
      <c r="B124" s="2" t="s">
        <v>448</v>
      </c>
      <c r="C124" s="2" t="s">
        <v>449</v>
      </c>
      <c r="D124" s="2" t="s">
        <v>117</v>
      </c>
      <c r="E124" s="2" t="s">
        <v>66</v>
      </c>
      <c r="F124" s="2" t="s">
        <v>15</v>
      </c>
      <c r="G124" s="2" t="s">
        <v>450</v>
      </c>
      <c r="H124" s="2" t="s">
        <v>62</v>
      </c>
      <c r="I124" s="2" t="str">
        <f>IFERROR(__xludf.DUMMYFUNCTION("GOOGLETRANSLATE(C124,""fr"",""en"")"),"On stop since February 2018 I have subscribed within the framework of my company a wage care for wage maintenance. At present still no payment no communication from Allianz I live with 50% of my salary and despite many calls for customer service I still e"&amp;"xpect the levy doing very well.
If you are sure you never have a problem in your life go if not think about it ...")</f>
        <v>On stop since February 2018 I have subscribed within the framework of my company a wage care for wage maintenance. At present still no payment no communication from Allianz I live with 50% of my salary and despite many calls for customer service I still expect the levy doing very well.
If you are sure you never have a problem in your life go if not think about it ...</v>
      </c>
    </row>
    <row r="125" ht="15.75" customHeight="1">
      <c r="A125" s="2">
        <v>4.0</v>
      </c>
      <c r="B125" s="2" t="s">
        <v>451</v>
      </c>
      <c r="C125" s="2" t="s">
        <v>452</v>
      </c>
      <c r="D125" s="2" t="s">
        <v>13</v>
      </c>
      <c r="E125" s="2" t="s">
        <v>14</v>
      </c>
      <c r="F125" s="2" t="s">
        <v>15</v>
      </c>
      <c r="G125" s="2" t="s">
        <v>453</v>
      </c>
      <c r="H125" s="2" t="s">
        <v>17</v>
      </c>
      <c r="I125" s="2" t="str">
        <f>IFERROR(__xludf.DUMMYFUNCTION("GOOGLETRANSLATE(C125,""fr"",""en"")"),"I am very happy for your site and I appreciate your high level of professional interest for customers and I wish you success.
thank you so much")</f>
        <v>I am very happy for your site and I appreciate your high level of professional interest for customers and I wish you success.
thank you so much</v>
      </c>
    </row>
    <row r="126" ht="15.75" customHeight="1">
      <c r="A126" s="2">
        <v>4.0</v>
      </c>
      <c r="B126" s="2" t="s">
        <v>454</v>
      </c>
      <c r="C126" s="2" t="s">
        <v>455</v>
      </c>
      <c r="D126" s="2" t="s">
        <v>13</v>
      </c>
      <c r="E126" s="2" t="s">
        <v>14</v>
      </c>
      <c r="F126" s="2" t="s">
        <v>15</v>
      </c>
      <c r="G126" s="2" t="s">
        <v>295</v>
      </c>
      <c r="H126" s="2" t="s">
        <v>17</v>
      </c>
      <c r="I126" s="2" t="str">
        <f>IFERROR(__xludf.DUMMYFUNCTION("GOOGLETRANSLATE(C126,""fr"",""en"")"),"For the use I have of the vehicle the price suits me """".
Remote procedures remain a comfort for what like me not the opportunity to go to an agency without having to lose half a day of work.")</f>
        <v>For the use I have of the vehicle the price suits me "".
Remote procedures remain a comfort for what like me not the opportunity to go to an agency without having to lose half a day of work.</v>
      </c>
    </row>
    <row r="127" ht="15.75" customHeight="1">
      <c r="A127" s="2">
        <v>5.0</v>
      </c>
      <c r="B127" s="2" t="s">
        <v>456</v>
      </c>
      <c r="C127" s="2" t="s">
        <v>457</v>
      </c>
      <c r="D127" s="2" t="s">
        <v>55</v>
      </c>
      <c r="E127" s="2" t="s">
        <v>56</v>
      </c>
      <c r="F127" s="2" t="s">
        <v>15</v>
      </c>
      <c r="G127" s="2" t="s">
        <v>458</v>
      </c>
      <c r="H127" s="2" t="s">
        <v>21</v>
      </c>
      <c r="I127" s="2" t="str">
        <f>IFERROR(__xludf.DUMMYFUNCTION("GOOGLETRANSLATE(C127,""fr"",""en"")"),"Satisfied with the price, the information given
Satisfied with the subscription rapidit
I recommend this insurance
Quality of explanations given by phone")</f>
        <v>Satisfied with the price, the information given
Satisfied with the subscription rapidit
I recommend this insurance
Quality of explanations given by phone</v>
      </c>
    </row>
    <row r="128" ht="15.75" customHeight="1">
      <c r="A128" s="2">
        <v>1.0</v>
      </c>
      <c r="B128" s="2" t="s">
        <v>459</v>
      </c>
      <c r="C128" s="2" t="s">
        <v>460</v>
      </c>
      <c r="D128" s="2" t="s">
        <v>117</v>
      </c>
      <c r="E128" s="2" t="s">
        <v>14</v>
      </c>
      <c r="F128" s="2" t="s">
        <v>15</v>
      </c>
      <c r="G128" s="2" t="s">
        <v>428</v>
      </c>
      <c r="H128" s="2" t="s">
        <v>243</v>
      </c>
      <c r="I128" s="2" t="str">
        <f>IFERROR(__xludf.DUMMYFUNCTION("GOOGLETRANSLATE(C128,""fr"",""en"")"),"Hello,
I am shocked to see the level of irresponsibility of a company like yours in the care of the disaster in which I was involved with one of your customers and in which I am 100% not responsible.
Since 5/12/2019 you have been in possession of all "&amp;"the elements concerning this disaster.
I sent you several email to allianzccau@allianz.fr giving you several complementary elements and the name of the person to
Contact for opposing insurance.
Today, I get to say by your employee, in the compensation "&amp;"department, Mr Olivier Elisa, to take a lawyer because Allianz is not ready to reimburse my damage because I am not a customer. If this is your policy, not to reimburse innocent people who are not responsible for road assault on the part of one of your cu"&amp;"stomers. For your personal governance, I have been a customer at home for the automobile, teaching, housing.
I am shocked by your words and if this is the only way out as your collaborator seems to say it, I will therefore go to court against you and
"&amp;"Relator your pseudo professionalism on social networks and in different consumer associations.
A good understanding
Franck Robert
")</f>
        <v>Hello,
I am shocked to see the level of irresponsibility of a company like yours in the care of the disaster in which I was involved with one of your customers and in which I am 100% not responsible.
Since 5/12/2019 you have been in possession of all the elements concerning this disaster.
I sent you several email to allianzccau@allianz.fr giving you several complementary elements and the name of the person to
Contact for opposing insurance.
Today, I get to say by your employee, in the compensation department, Mr Olivier Elisa, to take a lawyer because Allianz is not ready to reimburse my damage because I am not a customer. If this is your policy, not to reimburse innocent people who are not responsible for road assault on the part of one of your customers. For your personal governance, I have been a customer at home for the automobile, teaching, housing.
I am shocked by your words and if this is the only way out as your collaborator seems to say it, I will therefore go to court against you and
Relator your pseudo professionalism on social networks and in different consumer associations.
A good understanding
Franck Robert
</v>
      </c>
    </row>
    <row r="129" ht="15.75" customHeight="1">
      <c r="A129" s="2">
        <v>5.0</v>
      </c>
      <c r="B129" s="2" t="s">
        <v>461</v>
      </c>
      <c r="C129" s="2" t="s">
        <v>462</v>
      </c>
      <c r="D129" s="2" t="s">
        <v>13</v>
      </c>
      <c r="E129" s="2" t="s">
        <v>14</v>
      </c>
      <c r="F129" s="2" t="s">
        <v>15</v>
      </c>
      <c r="G129" s="2" t="s">
        <v>25</v>
      </c>
      <c r="H129" s="2" t="s">
        <v>21</v>
      </c>
      <c r="I129" s="2" t="str">
        <f>IFERROR(__xludf.DUMMYFUNCTION("GOOGLETRANSLATE(C129,""fr"",""en"")"),"Simple, perfect, fast site and more than correct price, I recommend
insurer contract by search engine via the lynx
with different options")</f>
        <v>Simple, perfect, fast site and more than correct price, I recommend
insurer contract by search engine via the lynx
with different options</v>
      </c>
    </row>
    <row r="130" ht="15.75" customHeight="1">
      <c r="A130" s="2">
        <v>5.0</v>
      </c>
      <c r="B130" s="2" t="s">
        <v>463</v>
      </c>
      <c r="C130" s="2" t="s">
        <v>464</v>
      </c>
      <c r="D130" s="2" t="s">
        <v>231</v>
      </c>
      <c r="E130" s="2" t="s">
        <v>34</v>
      </c>
      <c r="F130" s="2" t="s">
        <v>15</v>
      </c>
      <c r="G130" s="2" t="s">
        <v>465</v>
      </c>
      <c r="H130" s="2" t="s">
        <v>466</v>
      </c>
      <c r="I130" s="2" t="str">
        <f>IFERROR(__xludf.DUMMYFUNCTION("GOOGLETRANSLATE(C130,""fr"",""en"")"),"Very satisfied, I do not understand the negative comments, it is a very good insurance. As proof, I recommended it to all my loved ones")</f>
        <v>Very satisfied, I do not understand the negative comments, it is a very good insurance. As proof, I recommended it to all my loved ones</v>
      </c>
    </row>
    <row r="131" ht="15.75" customHeight="1">
      <c r="A131" s="2">
        <v>1.0</v>
      </c>
      <c r="B131" s="2" t="s">
        <v>467</v>
      </c>
      <c r="C131" s="2" t="s">
        <v>468</v>
      </c>
      <c r="D131" s="2" t="s">
        <v>60</v>
      </c>
      <c r="E131" s="2" t="s">
        <v>40</v>
      </c>
      <c r="F131" s="2" t="s">
        <v>15</v>
      </c>
      <c r="G131" s="2" t="s">
        <v>469</v>
      </c>
      <c r="H131" s="2" t="s">
        <v>225</v>
      </c>
      <c r="I131" s="2" t="str">
        <f>IFERROR(__xludf.DUMMYFUNCTION("GOOGLETRANSLATE(C131,""fr"",""en"")"),"To flee. For seven years that I have been insured with them. I am at my first claim and I am very disappointed. We can only reach them by phone and they don't answer all the time. Each time a new adviser who speaks to you and their declarations are contra"&amp;"dictory. We feel that they do not want to reimburse and that was the case. They ask me to paint by myself !!!
He offers me the tier of the quote transmitted and he closes the file.
To avoid.")</f>
        <v>To flee. For seven years that I have been insured with them. I am at my first claim and I am very disappointed. We can only reach them by phone and they don't answer all the time. Each time a new adviser who speaks to you and their declarations are contradictory. We feel that they do not want to reimburse and that was the case. They ask me to paint by myself !!!
He offers me the tier of the quote transmitted and he closes the file.
To avoid.</v>
      </c>
    </row>
    <row r="132" ht="15.75" customHeight="1">
      <c r="A132" s="2">
        <v>5.0</v>
      </c>
      <c r="B132" s="2" t="s">
        <v>470</v>
      </c>
      <c r="C132" s="2" t="s">
        <v>471</v>
      </c>
      <c r="D132" s="2" t="s">
        <v>24</v>
      </c>
      <c r="E132" s="2" t="s">
        <v>14</v>
      </c>
      <c r="F132" s="2" t="s">
        <v>15</v>
      </c>
      <c r="G132" s="2" t="s">
        <v>472</v>
      </c>
      <c r="H132" s="2" t="s">
        <v>17</v>
      </c>
      <c r="I132" s="2" t="str">
        <f>IFERROR(__xludf.DUMMYFUNCTION("GOOGLETRANSLATE(C132,""fr"",""en"")"),"I am satisfied with the simple price I practiced thank you very much for more info or other I contact you and tell the other of the offers to my greetings ?? thank you")</f>
        <v>I am satisfied with the simple price I practiced thank you very much for more info or other I contact you and tell the other of the offers to my greetings ?? thank you</v>
      </c>
    </row>
    <row r="133" ht="15.75" customHeight="1">
      <c r="A133" s="2">
        <v>4.0</v>
      </c>
      <c r="B133" s="2" t="s">
        <v>473</v>
      </c>
      <c r="C133" s="2" t="s">
        <v>474</v>
      </c>
      <c r="D133" s="2" t="s">
        <v>24</v>
      </c>
      <c r="E133" s="2" t="s">
        <v>14</v>
      </c>
      <c r="F133" s="2" t="s">
        <v>15</v>
      </c>
      <c r="G133" s="2" t="s">
        <v>475</v>
      </c>
      <c r="H133" s="2" t="s">
        <v>84</v>
      </c>
      <c r="I133" s="2" t="str">
        <f>IFERROR(__xludf.DUMMYFUNCTION("GOOGLETRANSLATE(C133,""fr"",""en"")"),"Excellent Ansi electronic signature service than support for your salespeople. The latter allowed me to fully understand the challenges of different abbonements, great!")</f>
        <v>Excellent Ansi electronic signature service than support for your salespeople. The latter allowed me to fully understand the challenges of different abbonements, great!</v>
      </c>
    </row>
    <row r="134" ht="15.75" customHeight="1">
      <c r="A134" s="2">
        <v>5.0</v>
      </c>
      <c r="B134" s="2" t="s">
        <v>476</v>
      </c>
      <c r="C134" s="2" t="s">
        <v>477</v>
      </c>
      <c r="D134" s="2" t="s">
        <v>13</v>
      </c>
      <c r="E134" s="2" t="s">
        <v>14</v>
      </c>
      <c r="F134" s="2" t="s">
        <v>15</v>
      </c>
      <c r="G134" s="2" t="s">
        <v>235</v>
      </c>
      <c r="H134" s="2" t="s">
        <v>167</v>
      </c>
      <c r="I134" s="2" t="str">
        <f>IFERROR(__xludf.DUMMYFUNCTION("GOOGLETRANSLATE(C134,""fr"",""en"")"),"I am satisfied with the quotes. I am now waiting for D. Be recalled in order to verify the availability and competence of the staff on the phone.
Thank you
Cordially")</f>
        <v>I am satisfied with the quotes. I am now waiting for D. Be recalled in order to verify the availability and competence of the staff on the phone.
Thank you
Cordially</v>
      </c>
    </row>
    <row r="135" ht="15.75" customHeight="1">
      <c r="A135" s="2">
        <v>3.0</v>
      </c>
      <c r="B135" s="2" t="s">
        <v>478</v>
      </c>
      <c r="C135" s="2" t="s">
        <v>479</v>
      </c>
      <c r="D135" s="2" t="s">
        <v>65</v>
      </c>
      <c r="E135" s="2" t="s">
        <v>34</v>
      </c>
      <c r="F135" s="2" t="s">
        <v>15</v>
      </c>
      <c r="G135" s="2" t="s">
        <v>258</v>
      </c>
      <c r="H135" s="2" t="s">
        <v>259</v>
      </c>
      <c r="I135" s="2" t="str">
        <f>IFERROR(__xludf.DUMMYFUNCTION("GOOGLETRANSLATE(C135,""fr"",""en"")"),"I subscribed to a salary guarantee in 2014.
For the first time, this year I had a work stoppage paid halfway up and made the request to be compensated for this reason. The various interlocutors I had on the phone or in agency received me very well.
The "&amp;"only criticism: I made the request email on September 3 and today, September 21, I have still not been compensated. The procedure is a bit long.")</f>
        <v>I subscribed to a salary guarantee in 2014.
For the first time, this year I had a work stoppage paid halfway up and made the request to be compensated for this reason. The various interlocutors I had on the phone or in agency received me very well.
The only criticism: I made the request email on September 3 and today, September 21, I have still not been compensated. The procedure is a bit long.</v>
      </c>
    </row>
    <row r="136" ht="15.75" customHeight="1">
      <c r="A136" s="2">
        <v>5.0</v>
      </c>
      <c r="B136" s="2" t="s">
        <v>480</v>
      </c>
      <c r="C136" s="2" t="s">
        <v>481</v>
      </c>
      <c r="D136" s="2" t="s">
        <v>246</v>
      </c>
      <c r="E136" s="2" t="s">
        <v>34</v>
      </c>
      <c r="F136" s="2" t="s">
        <v>15</v>
      </c>
      <c r="G136" s="2" t="s">
        <v>355</v>
      </c>
      <c r="H136" s="2" t="s">
        <v>21</v>
      </c>
      <c r="I136" s="2" t="str">
        <f>IFERROR(__xludf.DUMMYFUNCTION("GOOGLETRANSLATE(C136,""fr"",""en"")"),"Very well informed and resolved Émeline was very attentive and helpful. I would talk about it to loved ones that in addition to listening she has informed me very well and settled my concern")</f>
        <v>Very well informed and resolved Émeline was very attentive and helpful. I would talk about it to loved ones that in addition to listening she has informed me very well and settled my concern</v>
      </c>
    </row>
    <row r="137" ht="15.75" customHeight="1">
      <c r="A137" s="2">
        <v>1.0</v>
      </c>
      <c r="B137" s="2" t="s">
        <v>482</v>
      </c>
      <c r="C137" s="2" t="s">
        <v>483</v>
      </c>
      <c r="D137" s="2" t="s">
        <v>13</v>
      </c>
      <c r="E137" s="2" t="s">
        <v>14</v>
      </c>
      <c r="F137" s="2" t="s">
        <v>15</v>
      </c>
      <c r="G137" s="2" t="s">
        <v>484</v>
      </c>
      <c r="H137" s="2" t="s">
        <v>36</v>
      </c>
      <c r="I137" s="2" t="str">
        <f>IFERROR(__xludf.DUMMYFUNCTION("GOOGLETRANSLATE(C137,""fr"",""en"")"),"Insured at home since 2012, I got it on the zero kilometer breakdown option, broke down at my home they refuse to intervene, since it is the 50 kilometer from home, so I ask for this option for Others any breakdowns, next year I am remasted the same by th"&amp;"inking that this option was going to be renewed automatically, but not at all I find it unhealthy and not at all commercial so I am happy to get rid of this contract in Selling my car !!!
I really recommend it")</f>
        <v>Insured at home since 2012, I got it on the zero kilometer breakdown option, broke down at my home they refuse to intervene, since it is the 50 kilometer from home, so I ask for this option for Others any breakdowns, next year I am remasted the same by thinking that this option was going to be renewed automatically, but not at all I find it unhealthy and not at all commercial so I am happy to get rid of this contract in Selling my car !!!
I really recommend it</v>
      </c>
    </row>
    <row r="138" ht="15.75" customHeight="1">
      <c r="A138" s="2">
        <v>4.0</v>
      </c>
      <c r="B138" s="2" t="s">
        <v>485</v>
      </c>
      <c r="C138" s="2" t="s">
        <v>486</v>
      </c>
      <c r="D138" s="2" t="s">
        <v>13</v>
      </c>
      <c r="E138" s="2" t="s">
        <v>14</v>
      </c>
      <c r="F138" s="2" t="s">
        <v>15</v>
      </c>
      <c r="G138" s="2" t="s">
        <v>487</v>
      </c>
      <c r="H138" s="2" t="s">
        <v>128</v>
      </c>
      <c r="I138" s="2" t="str">
        <f>IFERROR(__xludf.DUMMYFUNCTION("GOOGLETRANSLATE(C138,""fr"",""en"")"),"Satisfied with this insurance.
I only regret that they do not take into account customers who have no declared disaster and that every year the prices increase. Just this downside.")</f>
        <v>Satisfied with this insurance.
I only regret that they do not take into account customers who have no declared disaster and that every year the prices increase. Just this downside.</v>
      </c>
    </row>
    <row r="139" ht="15.75" customHeight="1">
      <c r="A139" s="2">
        <v>4.0</v>
      </c>
      <c r="B139" s="2" t="s">
        <v>488</v>
      </c>
      <c r="C139" s="2" t="s">
        <v>489</v>
      </c>
      <c r="D139" s="2" t="s">
        <v>13</v>
      </c>
      <c r="E139" s="2" t="s">
        <v>14</v>
      </c>
      <c r="F139" s="2" t="s">
        <v>15</v>
      </c>
      <c r="G139" s="2" t="s">
        <v>490</v>
      </c>
      <c r="H139" s="2" t="s">
        <v>52</v>
      </c>
      <c r="I139" s="2" t="str">
        <f>IFERROR(__xludf.DUMMYFUNCTION("GOOGLETRANSLATE(C139,""fr"",""en"")"),"I am satisfied with the price levels;
Having had no accidents since my registration for Direct Insurance, it is impossible for me to give an opinion on the follow -up of a possible claim.")</f>
        <v>I am satisfied with the price levels;
Having had no accidents since my registration for Direct Insurance, it is impossible for me to give an opinion on the follow -up of a possible claim.</v>
      </c>
    </row>
    <row r="140" ht="15.75" customHeight="1">
      <c r="A140" s="2">
        <v>2.0</v>
      </c>
      <c r="B140" s="2" t="s">
        <v>491</v>
      </c>
      <c r="C140" s="2" t="s">
        <v>492</v>
      </c>
      <c r="D140" s="2" t="s">
        <v>493</v>
      </c>
      <c r="E140" s="2" t="s">
        <v>14</v>
      </c>
      <c r="F140" s="2" t="s">
        <v>15</v>
      </c>
      <c r="G140" s="2" t="s">
        <v>494</v>
      </c>
      <c r="H140" s="2" t="s">
        <v>495</v>
      </c>
      <c r="I140" s="2" t="str">
        <f>IFERROR(__xludf.DUMMYFUNCTION("GOOGLETRANSLATE(C140,""fr"",""en"")"),"We have been customers at Eurofil for 19 years and have asked for a simple quote to update a situation that will change next May.
At the request for Eurofil we had to make this request by writing with information from our son.
Result, Eurofil terminates"&amp;" our car contract for April 2 and must look for another emergency insurer !!!
And yes that's how Eurofil rewards his loyal customers (19 years old), without any commercial effort !!!
We are very disappointed. In recent years, the quality of service of t"&amp;"his insurer has deteriorated more and more. The information communicated is different from one interlocutor to another (lack of reliability) and do not recommend it !!!")</f>
        <v>We have been customers at Eurofil for 19 years and have asked for a simple quote to update a situation that will change next May.
At the request for Eurofil we had to make this request by writing with information from our son.
Result, Eurofil terminates our car contract for April 2 and must look for another emergency insurer !!!
And yes that's how Eurofil rewards his loyal customers (19 years old), without any commercial effort !!!
We are very disappointed. In recent years, the quality of service of this insurer has deteriorated more and more. The information communicated is different from one interlocutor to another (lack of reliability) and do not recommend it !!!</v>
      </c>
    </row>
    <row r="141" ht="15.75" customHeight="1">
      <c r="A141" s="2">
        <v>2.0</v>
      </c>
      <c r="B141" s="2" t="s">
        <v>496</v>
      </c>
      <c r="C141" s="2" t="s">
        <v>497</v>
      </c>
      <c r="D141" s="2" t="s">
        <v>106</v>
      </c>
      <c r="E141" s="2" t="s">
        <v>14</v>
      </c>
      <c r="F141" s="2" t="s">
        <v>15</v>
      </c>
      <c r="G141" s="2" t="s">
        <v>498</v>
      </c>
      <c r="H141" s="2" t="s">
        <v>434</v>
      </c>
      <c r="I141" s="2" t="str">
        <f>IFERROR(__xludf.DUMMYFUNCTION("GOOGLETRANSLATE(C141,""fr"",""en"")"),"On vacation in a campsite, a tree breaks and falls on our car, fortunately no injuries. The owner of the campsite tells us to reach our insurance, despite any risk insurance, no loan vehicle, the car will be towed in a garage on the vacancy. No expert bef"&amp;"ore Friday! We have to hit the road on Saturday to return home! Only repatriation will be possible! We are two adults, my wife is pregnant and a 4 year old child! We are left like idiots without a way to move, and even the better we will have to come back"&amp;" to look for the car when it is repaired! As usual the insurance is there to take the money but on the other hand leave you in shit when it is up to them to take out the currency! A shame! The assistance tells us you will be repatriated with what you can "&amp;"take with you! So the little bike and the business we can't take them! Thank you Macif !!! Obviously when we call it is a platform so the person on the phone does not even know who you are apart from a number! The advisor who is well keeping to say attent"&amp;"ion with our contract any risk you are not covered in the event of an accident. Once back, the contracts will be closed! Really crazy to be fooled for years.")</f>
        <v>On vacation in a campsite, a tree breaks and falls on our car, fortunately no injuries. The owner of the campsite tells us to reach our insurance, despite any risk insurance, no loan vehicle, the car will be towed in a garage on the vacancy. No expert before Friday! We have to hit the road on Saturday to return home! Only repatriation will be possible! We are two adults, my wife is pregnant and a 4 year old child! We are left like idiots without a way to move, and even the better we will have to come back to look for the car when it is repaired! As usual the insurance is there to take the money but on the other hand leave you in shit when it is up to them to take out the currency! A shame! The assistance tells us you will be repatriated with what you can take with you! So the little bike and the business we can't take them! Thank you Macif !!! Obviously when we call it is a platform so the person on the phone does not even know who you are apart from a number! The advisor who is well keeping to say attention with our contract any risk you are not covered in the event of an accident. Once back, the contracts will be closed! Really crazy to be fooled for years.</v>
      </c>
    </row>
    <row r="142" ht="15.75" customHeight="1">
      <c r="A142" s="2">
        <v>1.0</v>
      </c>
      <c r="B142" s="2" t="s">
        <v>499</v>
      </c>
      <c r="C142" s="2" t="s">
        <v>500</v>
      </c>
      <c r="D142" s="2" t="s">
        <v>71</v>
      </c>
      <c r="E142" s="2" t="s">
        <v>40</v>
      </c>
      <c r="F142" s="2" t="s">
        <v>15</v>
      </c>
      <c r="G142" s="2" t="s">
        <v>501</v>
      </c>
      <c r="H142" s="2" t="s">
        <v>73</v>
      </c>
      <c r="I142" s="2" t="str">
        <f>IFERROR(__xludf.DUMMYFUNCTION("GOOGLETRANSLATE(C142,""fr"",""en"")"),"Following bad weather in 2018, wind, intense rain, we suffered water damage in several rooms. The MAIF advised us to allow to dry and intervene on the roof without compensation, the ten -year guarantee having passed, we were able to do the work in 2020. A"&amp;" wall having undergone infiltration saw its crisp deteriorated. The expert has argued that it was a problem of dilapidation while all the other walls are impeccable. MAIF phone calls do nothing, because those who respond are not qualified to give an opini"&amp;"on. Deplorable, I have been contributing for 40 years and I plan to look for another insurance.")</f>
        <v>Following bad weather in 2018, wind, intense rain, we suffered water damage in several rooms. The MAIF advised us to allow to dry and intervene on the roof without compensation, the ten -year guarantee having passed, we were able to do the work in 2020. A wall having undergone infiltration saw its crisp deteriorated. The expert has argued that it was a problem of dilapidation while all the other walls are impeccable. MAIF phone calls do nothing, because those who respond are not qualified to give an opinion. Deplorable, I have been contributing for 40 years and I plan to look for another insurance.</v>
      </c>
    </row>
    <row r="143" ht="15.75" customHeight="1">
      <c r="A143" s="2">
        <v>5.0</v>
      </c>
      <c r="B143" s="2" t="s">
        <v>502</v>
      </c>
      <c r="C143" s="2" t="s">
        <v>503</v>
      </c>
      <c r="D143" s="2" t="s">
        <v>246</v>
      </c>
      <c r="E143" s="2" t="s">
        <v>34</v>
      </c>
      <c r="F143" s="2" t="s">
        <v>15</v>
      </c>
      <c r="G143" s="2" t="s">
        <v>334</v>
      </c>
      <c r="H143" s="2" t="s">
        <v>335</v>
      </c>
      <c r="I143" s="2" t="str">
        <f>IFERROR(__xludf.DUMMYFUNCTION("GOOGLETRANSLATE(C143,""fr"",""en"")"),"Nelly welcome, very well and the explanations are clear.")</f>
        <v>Nelly welcome, very well and the explanations are clear.</v>
      </c>
    </row>
    <row r="144" ht="15.75" customHeight="1">
      <c r="A144" s="2">
        <v>1.0</v>
      </c>
      <c r="B144" s="2" t="s">
        <v>504</v>
      </c>
      <c r="C144" s="2" t="s">
        <v>505</v>
      </c>
      <c r="D144" s="2" t="s">
        <v>376</v>
      </c>
      <c r="E144" s="2" t="s">
        <v>34</v>
      </c>
      <c r="F144" s="2" t="s">
        <v>15</v>
      </c>
      <c r="G144" s="2" t="s">
        <v>506</v>
      </c>
      <c r="H144" s="2" t="s">
        <v>292</v>
      </c>
      <c r="I144" s="2" t="str">
        <f>IFERROR(__xludf.DUMMYFUNCTION("GOOGLETRANSLATE(C144,""fr"",""en"")"),"Catastrophic.
It has been 4 months since Mercer is still not able to convey my certificate as a paying third party.
Digital customer service does not respond. No response to online messages!
Customer service on the phone difficult to reach and lacks se"&amp;"riousness.
My employer had to send them 4 messages directly to them so that someone is looking at my file.
To date, problem still not resolved for a first request 4 months ago !!
I strongly advise against this mutual. To avoid absolutely!")</f>
        <v>Catastrophic.
It has been 4 months since Mercer is still not able to convey my certificate as a paying third party.
Digital customer service does not respond. No response to online messages!
Customer service on the phone difficult to reach and lacks seriousness.
My employer had to send them 4 messages directly to them so that someone is looking at my file.
To date, problem still not resolved for a first request 4 months ago !!
I strongly advise against this mutual. To avoid absolutely!</v>
      </c>
    </row>
    <row r="145" ht="15.75" customHeight="1">
      <c r="A145" s="2">
        <v>5.0</v>
      </c>
      <c r="B145" s="2" t="s">
        <v>507</v>
      </c>
      <c r="C145" s="2" t="s">
        <v>508</v>
      </c>
      <c r="D145" s="2" t="s">
        <v>13</v>
      </c>
      <c r="E145" s="2" t="s">
        <v>14</v>
      </c>
      <c r="F145" s="2" t="s">
        <v>15</v>
      </c>
      <c r="G145" s="2" t="s">
        <v>509</v>
      </c>
      <c r="H145" s="2" t="s">
        <v>167</v>
      </c>
      <c r="I145" s="2" t="str">
        <f>IFERROR(__xludf.DUMMYFUNCTION("GOOGLETRANSLATE(C145,""fr"",""en"")"),"I am very satisfied with the really competitive rates.
I received a very good reception and fast management.
I would easily recommend your company.
thank you for everything")</f>
        <v>I am very satisfied with the really competitive rates.
I received a very good reception and fast management.
I would easily recommend your company.
thank you for everything</v>
      </c>
    </row>
    <row r="146" ht="15.75" customHeight="1">
      <c r="A146" s="2">
        <v>3.0</v>
      </c>
      <c r="B146" s="2" t="s">
        <v>510</v>
      </c>
      <c r="C146" s="2" t="s">
        <v>511</v>
      </c>
      <c r="D146" s="2" t="s">
        <v>28</v>
      </c>
      <c r="E146" s="2" t="s">
        <v>14</v>
      </c>
      <c r="F146" s="2" t="s">
        <v>15</v>
      </c>
      <c r="G146" s="2" t="s">
        <v>512</v>
      </c>
      <c r="H146" s="2" t="s">
        <v>108</v>
      </c>
      <c r="I146" s="2" t="str">
        <f>IFERROR(__xludf.DUMMYFUNCTION("GOOGLETRANSLATE(C146,""fr"",""en"")"),"Victim of a vandalism on 05/26/2018 Vehicle Repair any proof provided for ironing expert who confirms all the repairs and still no regulation to flee customer for 11 years and parent 35 years old")</f>
        <v>Victim of a vandalism on 05/26/2018 Vehicle Repair any proof provided for ironing expert who confirms all the repairs and still no regulation to flee customer for 11 years and parent 35 years old</v>
      </c>
    </row>
    <row r="147" ht="15.75" customHeight="1">
      <c r="A147" s="2">
        <v>3.0</v>
      </c>
      <c r="B147" s="2" t="s">
        <v>513</v>
      </c>
      <c r="C147" s="2" t="s">
        <v>514</v>
      </c>
      <c r="D147" s="2" t="s">
        <v>13</v>
      </c>
      <c r="E147" s="2" t="s">
        <v>14</v>
      </c>
      <c r="F147" s="2" t="s">
        <v>15</v>
      </c>
      <c r="G147" s="2" t="s">
        <v>515</v>
      </c>
      <c r="H147" s="2" t="s">
        <v>52</v>
      </c>
      <c r="I147" s="2" t="str">
        <f>IFERROR(__xludf.DUMMYFUNCTION("GOOGLETRANSLATE(C147,""fr"",""en"")"),"more restrictive online service not relating to my old contract with you.
contact a advice is complicated
rather courteous phone")</f>
        <v>more restrictive online service not relating to my old contract with you.
contact a advice is complicated
rather courteous phone</v>
      </c>
    </row>
    <row r="148" ht="15.75" customHeight="1">
      <c r="A148" s="2">
        <v>1.0</v>
      </c>
      <c r="B148" s="2" t="s">
        <v>516</v>
      </c>
      <c r="C148" s="2" t="s">
        <v>517</v>
      </c>
      <c r="D148" s="2" t="s">
        <v>416</v>
      </c>
      <c r="E148" s="2" t="s">
        <v>34</v>
      </c>
      <c r="F148" s="2" t="s">
        <v>15</v>
      </c>
      <c r="G148" s="2" t="s">
        <v>518</v>
      </c>
      <c r="H148" s="2" t="s">
        <v>403</v>
      </c>
      <c r="I148" s="2" t="str">
        <f>IFERROR(__xludf.DUMMYFUNCTION("GOOGLETRANSLATE(C148,""fr"",""en"")")," + 6 % increase in 2019 and 12.5 % for 2020 Bravo Harmonie Mutuelle! I call it an abusive increase so as not to use another term especially for the same guarantees! Especially when I run an article by Argus Assurances which stipulates: In terms of individ"&amp;"ual contracts, Mutual Harmonie is a particular effort towards seniors over 60, whose contributions will only increase 1.9% against 2.1 % for the rest of the portfolio (figures excluding age effect). They must then explain to me why at 65 years old they as"&amp;"k me +12.5 % especially since in the mail which accompanies the call for contribution 2020 it is well written: in a spirit of solidarity however this increase will be lesser for whom are over 60 years old! Where I missed an episode where it is mutual harm"&amp;"ony that has not missed this unjustified increase ??? It is not a typical and evasive letter without any explanation on this strong increase accompanying a call for contributions which will satisfy me by 12.5% ​​increase! And I will add that it is easy to"&amp;" date a call for contributions to 01/11/2019 so that it was buffered from the post of 01/21/2019 and that it is received in its mailbox on 10/27/2019 Seek the error! Strongly on December 1, 2020 that we can terminate free of charge and at any time and in "&amp;"bonuses by email. HM is concerned with being done. If they want to lose customers he continue like that! When to answer me contact us on our FB page thank you but it's already made and no answer! More capable of increasing than justifying yourself!")</f>
        <v> + 6 % increase in 2019 and 12.5 % for 2020 Bravo Harmonie Mutuelle! I call it an abusive increase so as not to use another term especially for the same guarantees! Especially when I run an article by Argus Assurances which stipulates: In terms of individual contracts, Mutual Harmonie is a particular effort towards seniors over 60, whose contributions will only increase 1.9% against 2.1 % for the rest of the portfolio (figures excluding age effect). They must then explain to me why at 65 years old they ask me +12.5 % especially since in the mail which accompanies the call for contribution 2020 it is well written: in a spirit of solidarity however this increase will be lesser for whom are over 60 years old! Where I missed an episode where it is mutual harmony that has not missed this unjustified increase ??? It is not a typical and evasive letter without any explanation on this strong increase accompanying a call for contributions which will satisfy me by 12.5% ​​increase! And I will add that it is easy to date a call for contributions to 01/11/2019 so that it was buffered from the post of 01/21/2019 and that it is received in its mailbox on 10/27/2019 Seek the error! Strongly on December 1, 2020 that we can terminate free of charge and at any time and in bonuses by email. HM is concerned with being done. If they want to lose customers he continue like that! When to answer me contact us on our FB page thank you but it's already made and no answer! More capable of increasing than justifying yourself!</v>
      </c>
    </row>
    <row r="149" ht="15.75" customHeight="1">
      <c r="A149" s="2">
        <v>1.0</v>
      </c>
      <c r="B149" s="2" t="s">
        <v>519</v>
      </c>
      <c r="C149" s="2" t="s">
        <v>520</v>
      </c>
      <c r="D149" s="2" t="s">
        <v>393</v>
      </c>
      <c r="E149" s="2" t="s">
        <v>46</v>
      </c>
      <c r="F149" s="2" t="s">
        <v>15</v>
      </c>
      <c r="G149" s="2" t="s">
        <v>521</v>
      </c>
      <c r="H149" s="2" t="s">
        <v>292</v>
      </c>
      <c r="I149" s="2" t="str">
        <f>IFERROR(__xludf.DUMMYFUNCTION("GOOGLETRANSLATE(C149,""fr"",""en"")"),"A process of processing my infinitely long file.
No defined deadline
Incompetent advisers
Lack of response from the litigation service
Beginning of the early buyout procedure on 05/29/20
Payment on 02/19/21
Cheer !")</f>
        <v>A process of processing my infinitely long file.
No defined deadline
Incompetent advisers
Lack of response from the litigation service
Beginning of the early buyout procedure on 05/29/20
Payment on 02/19/21
Cheer !</v>
      </c>
    </row>
    <row r="150" ht="15.75" customHeight="1">
      <c r="A150" s="2">
        <v>3.0</v>
      </c>
      <c r="B150" s="2" t="s">
        <v>522</v>
      </c>
      <c r="C150" s="2" t="s">
        <v>523</v>
      </c>
      <c r="D150" s="2" t="s">
        <v>13</v>
      </c>
      <c r="E150" s="2" t="s">
        <v>14</v>
      </c>
      <c r="F150" s="2" t="s">
        <v>15</v>
      </c>
      <c r="G150" s="2" t="s">
        <v>440</v>
      </c>
      <c r="H150" s="2" t="s">
        <v>128</v>
      </c>
      <c r="I150" s="2" t="str">
        <f>IFERROR(__xludf.DUMMYFUNCTION("GOOGLETRANSLATE(C150,""fr"",""en"")"),"I terminated following an increase in the price that I did not understand.
I was satisfied so far. Too bad we had 2 vehicles insured at home.")</f>
        <v>I terminated following an increase in the price that I did not understand.
I was satisfied so far. Too bad we had 2 vehicles insured at home.</v>
      </c>
    </row>
    <row r="151" ht="15.75" customHeight="1">
      <c r="A151" s="2">
        <v>3.0</v>
      </c>
      <c r="B151" s="2" t="s">
        <v>524</v>
      </c>
      <c r="C151" s="2" t="s">
        <v>525</v>
      </c>
      <c r="D151" s="2" t="s">
        <v>65</v>
      </c>
      <c r="E151" s="2" t="s">
        <v>34</v>
      </c>
      <c r="F151" s="2" t="s">
        <v>15</v>
      </c>
      <c r="G151" s="2" t="s">
        <v>526</v>
      </c>
      <c r="H151" s="2" t="s">
        <v>292</v>
      </c>
      <c r="I151" s="2" t="str">
        <f>IFERROR(__xludf.DUMMYFUNCTION("GOOGLETRANSLATE(C151,""fr"",""en"")"),"Very good mutual or I have been for 49 years. No good listening and competitive problem compared to other mutuals on the market. to recommend")</f>
        <v>Very good mutual or I have been for 49 years. No good listening and competitive problem compared to other mutuals on the market. to recommend</v>
      </c>
    </row>
    <row r="152" ht="15.75" customHeight="1">
      <c r="A152" s="2">
        <v>5.0</v>
      </c>
      <c r="B152" s="2" t="s">
        <v>527</v>
      </c>
      <c r="C152" s="2" t="s">
        <v>528</v>
      </c>
      <c r="D152" s="2" t="s">
        <v>24</v>
      </c>
      <c r="E152" s="2" t="s">
        <v>14</v>
      </c>
      <c r="F152" s="2" t="s">
        <v>15</v>
      </c>
      <c r="G152" s="2" t="s">
        <v>529</v>
      </c>
      <c r="H152" s="2" t="s">
        <v>128</v>
      </c>
      <c r="I152" s="2" t="str">
        <f>IFERROR(__xludf.DUMMYFUNCTION("GOOGLETRANSLATE(C152,""fr"",""en"")"),"Super satisfied to find insurance at a very affordable price. Thank you very much and very pleasant on the phone thank you again for your professionalism")</f>
        <v>Super satisfied to find insurance at a very affordable price. Thank you very much and very pleasant on the phone thank you again for your professionalism</v>
      </c>
    </row>
    <row r="153" ht="15.75" customHeight="1">
      <c r="A153" s="2">
        <v>5.0</v>
      </c>
      <c r="B153" s="2" t="s">
        <v>530</v>
      </c>
      <c r="C153" s="2" t="s">
        <v>531</v>
      </c>
      <c r="D153" s="2" t="s">
        <v>246</v>
      </c>
      <c r="E153" s="2" t="s">
        <v>34</v>
      </c>
      <c r="F153" s="2" t="s">
        <v>15</v>
      </c>
      <c r="G153" s="2" t="s">
        <v>532</v>
      </c>
      <c r="H153" s="2" t="s">
        <v>36</v>
      </c>
      <c r="I153" s="2" t="str">
        <f>IFERROR(__xludf.DUMMYFUNCTION("GOOGLETRANSLATE(C153,""fr"",""en"")"),"Especially compare! When I see the gap between two insurers for the same services it is abrected, I went through Santiane, the broker allows me to go into details and understand exactly what the RO, third -party paying etc. They take the time to explain w"&amp;"ithout taking part so let's take advantage of it. The savings are really substantial and measurable ....")</f>
        <v>Especially compare! When I see the gap between two insurers for the same services it is abrected, I went through Santiane, the broker allows me to go into details and understand exactly what the RO, third -party paying etc. They take the time to explain without taking part so let's take advantage of it. The savings are really substantial and measurable ....</v>
      </c>
    </row>
    <row r="154" ht="15.75" customHeight="1">
      <c r="A154" s="2">
        <v>4.0</v>
      </c>
      <c r="B154" s="2" t="s">
        <v>533</v>
      </c>
      <c r="C154" s="2" t="s">
        <v>534</v>
      </c>
      <c r="D154" s="2" t="s">
        <v>246</v>
      </c>
      <c r="E154" s="2" t="s">
        <v>34</v>
      </c>
      <c r="F154" s="2" t="s">
        <v>15</v>
      </c>
      <c r="G154" s="2" t="s">
        <v>535</v>
      </c>
      <c r="H154" s="2" t="s">
        <v>536</v>
      </c>
      <c r="I154" s="2" t="str">
        <f>IFERROR(__xludf.DUMMYFUNCTION("GOOGLETRANSLATE(C154,""fr"",""en"")"),"Caroline was perfect from the start to the end of our exchange and was able to respond to my request very effectively")</f>
        <v>Caroline was perfect from the start to the end of our exchange and was able to respond to my request very effectively</v>
      </c>
    </row>
    <row r="155" ht="15.75" customHeight="1">
      <c r="A155" s="2">
        <v>2.0</v>
      </c>
      <c r="B155" s="2" t="s">
        <v>537</v>
      </c>
      <c r="C155" s="2" t="s">
        <v>538</v>
      </c>
      <c r="D155" s="2" t="s">
        <v>13</v>
      </c>
      <c r="E155" s="2" t="s">
        <v>14</v>
      </c>
      <c r="F155" s="2" t="s">
        <v>15</v>
      </c>
      <c r="G155" s="2" t="s">
        <v>539</v>
      </c>
      <c r="H155" s="2" t="s">
        <v>540</v>
      </c>
      <c r="I155" s="2" t="str">
        <f>IFERROR(__xludf.DUMMYFUNCTION("GOOGLETRANSLATE(C155,""fr"",""en"")"),"To be advised. They make the contracts subscribe without checking the parts they give them. I had 2 bad experiences where the subscription of the contract went very well then once the payment is collected they come back to you by finding an element in the"&amp;" file which is not in line ... I assured a vehicle Pro, I gave and they accepted all the documents to subscribe, then 1.5 months later, they realized that it was professional, something he does not do. They terminated me, taken cases and I had a lot of tr"&amp;"ouble finding an insurer because I had an terminated status! It cost me double to find a new insurer!
They did the same procedure for a friend who is a young driver: subscribed to the ""young driver"" contract without any problems and then reported a few"&amp;" weeks later that the information statement had to justify 2 years ... outside the young driver n 'was provided for a single year: result, they put it outside by terminating -terminated status and big hassle to find another insurance !! Direct conclusion "&amp;"insurance likes disputes, they earn money with the case fees taken when they solve the contracts ... Above all, do not go to their homes")</f>
        <v>To be advised. They make the contracts subscribe without checking the parts they give them. I had 2 bad experiences where the subscription of the contract went very well then once the payment is collected they come back to you by finding an element in the file which is not in line ... I assured a vehicle Pro, I gave and they accepted all the documents to subscribe, then 1.5 months later, they realized that it was professional, something he does not do. They terminated me, taken cases and I had a lot of trouble finding an insurer because I had an terminated status! It cost me double to find a new insurer!
They did the same procedure for a friend who is a young driver: subscribed to the "young driver" contract without any problems and then reported a few weeks later that the information statement had to justify 2 years ... outside the young driver n 'was provided for a single year: result, they put it outside by terminating -terminated status and big hassle to find another insurance !! Direct conclusion insurance likes disputes, they earn money with the case fees taken when they solve the contracts ... Above all, do not go to their homes</v>
      </c>
    </row>
    <row r="156" ht="15.75" customHeight="1">
      <c r="A156" s="2">
        <v>5.0</v>
      </c>
      <c r="B156" s="2" t="s">
        <v>541</v>
      </c>
      <c r="C156" s="2" t="s">
        <v>542</v>
      </c>
      <c r="D156" s="2" t="s">
        <v>13</v>
      </c>
      <c r="E156" s="2" t="s">
        <v>14</v>
      </c>
      <c r="F156" s="2" t="s">
        <v>15</v>
      </c>
      <c r="G156" s="2" t="s">
        <v>543</v>
      </c>
      <c r="H156" s="2" t="s">
        <v>84</v>
      </c>
      <c r="I156" s="2" t="str">
        <f>IFERROR(__xludf.DUMMYFUNCTION("GOOGLETRANSLATE(C156,""fr"",""en"")"),"Very positive person very successful know how to advise you insurance very good price I recommend it to everyone
Very good advisers bravo")</f>
        <v>Very positive person very successful know how to advise you insurance very good price I recommend it to everyone
Very good advisers bravo</v>
      </c>
    </row>
    <row r="157" ht="15.75" customHeight="1">
      <c r="A157" s="2">
        <v>5.0</v>
      </c>
      <c r="B157" s="2" t="s">
        <v>544</v>
      </c>
      <c r="C157" s="2" t="s">
        <v>545</v>
      </c>
      <c r="D157" s="2" t="s">
        <v>24</v>
      </c>
      <c r="E157" s="2" t="s">
        <v>14</v>
      </c>
      <c r="F157" s="2" t="s">
        <v>15</v>
      </c>
      <c r="G157" s="2" t="s">
        <v>546</v>
      </c>
      <c r="H157" s="2" t="s">
        <v>17</v>
      </c>
      <c r="I157" s="2" t="str">
        <f>IFERROR(__xludf.DUMMYFUNCTION("GOOGLETRANSLATE(C157,""fr"",""en"")"),"Hello,
I am very satisfied with the value for money as well as the telephone interview today, a very professional person.
Cordially,
Madame Henri Solène")</f>
        <v>Hello,
I am very satisfied with the value for money as well as the telephone interview today, a very professional person.
Cordially,
Madame Henri Solène</v>
      </c>
    </row>
    <row r="158" ht="15.75" customHeight="1">
      <c r="A158" s="2">
        <v>2.0</v>
      </c>
      <c r="B158" s="2" t="s">
        <v>547</v>
      </c>
      <c r="C158" s="2" t="s">
        <v>548</v>
      </c>
      <c r="D158" s="2" t="s">
        <v>60</v>
      </c>
      <c r="E158" s="2" t="s">
        <v>14</v>
      </c>
      <c r="F158" s="2" t="s">
        <v>15</v>
      </c>
      <c r="G158" s="2" t="s">
        <v>549</v>
      </c>
      <c r="H158" s="2" t="s">
        <v>52</v>
      </c>
      <c r="I158" s="2" t="str">
        <f>IFERROR(__xludf.DUMMYFUNCTION("GOOGLETRANSLATE(C158,""fr"",""en"")"),"I have only been assured at home for 4 months, had no claim and subscribed to my contract for their full third party formula without a franchise which suited me well for a vehicle of more than 10 years and nearly 300,000kms.
Subscription to € 61.49 per m"&amp;"onth ... and already an increase of 11% without explanation, therefore € 68 per month with retroactive effect when my situation has not changed and I had no claim. It starts badly, I'll go see elsewhere.")</f>
        <v>I have only been assured at home for 4 months, had no claim and subscribed to my contract for their full third party formula without a franchise which suited me well for a vehicle of more than 10 years and nearly 300,000kms.
Subscription to € 61.49 per month ... and already an increase of 11% without explanation, therefore € 68 per month with retroactive effect when my situation has not changed and I had no claim. It starts badly, I'll go see elsewhere.</v>
      </c>
    </row>
    <row r="159" ht="15.75" customHeight="1">
      <c r="A159" s="2">
        <v>5.0</v>
      </c>
      <c r="B159" s="2" t="s">
        <v>550</v>
      </c>
      <c r="C159" s="2" t="s">
        <v>551</v>
      </c>
      <c r="D159" s="2" t="s">
        <v>24</v>
      </c>
      <c r="E159" s="2" t="s">
        <v>14</v>
      </c>
      <c r="F159" s="2" t="s">
        <v>15</v>
      </c>
      <c r="G159" s="2" t="s">
        <v>552</v>
      </c>
      <c r="H159" s="2" t="s">
        <v>21</v>
      </c>
      <c r="I159" s="2" t="str">
        <f>IFERROR(__xludf.DUMMYFUNCTION("GOOGLETRANSLATE(C159,""fr"",""en"")"),"Hello,
A little reminder of the documents to be completed and returned to finalize the contract will be good.
A few days before the 2 temporary months. Obtaining gray cards being long, we can forget to finalize the contract.
Cordially
Hermann C.")</f>
        <v>Hello,
A little reminder of the documents to be completed and returned to finalize the contract will be good.
A few days before the 2 temporary months. Obtaining gray cards being long, we can forget to finalize the contract.
Cordially
Hermann C.</v>
      </c>
    </row>
    <row r="160" ht="15.75" customHeight="1">
      <c r="A160" s="2">
        <v>2.0</v>
      </c>
      <c r="B160" s="2" t="s">
        <v>553</v>
      </c>
      <c r="C160" s="2" t="s">
        <v>554</v>
      </c>
      <c r="D160" s="2" t="s">
        <v>39</v>
      </c>
      <c r="E160" s="2" t="s">
        <v>14</v>
      </c>
      <c r="F160" s="2" t="s">
        <v>15</v>
      </c>
      <c r="G160" s="2" t="s">
        <v>555</v>
      </c>
      <c r="H160" s="2" t="s">
        <v>42</v>
      </c>
      <c r="I160" s="2" t="str">
        <f>IFERROR(__xludf.DUMMYFUNCTION("GOOGLETRANSLATE(C160,""fr"",""en"")"),"Deplorable sinister service hangs up (3 times) on the nose of people claiming a computer problem or pretending not to hear you.
All this by what the first calls to declare the disaster was made by my father, who heard himself said that he was making a fa"&amp;"lse statement so he was wrong about the date of birth between my sister and me. 'Didn't even justify themselves because the people immediately hung up.
We have five contracts at home; My father decided after these events to change insurer.
Re-see yo"&amp;"ur procedures because my father would have everything so well could make the statement in my place on the internet without being taken for a crook")</f>
        <v>Deplorable sinister service hangs up (3 times) on the nose of people claiming a computer problem or pretending not to hear you.
All this by what the first calls to declare the disaster was made by my father, who heard himself said that he was making a false statement so he was wrong about the date of birth between my sister and me. 'Didn't even justify themselves because the people immediately hung up.
We have five contracts at home; My father decided after these events to change insurer.
Re-see your procedures because my father would have everything so well could make the statement in my place on the internet without being taken for a crook</v>
      </c>
    </row>
    <row r="161" ht="15.75" customHeight="1">
      <c r="A161" s="2">
        <v>1.0</v>
      </c>
      <c r="B161" s="2" t="s">
        <v>556</v>
      </c>
      <c r="C161" s="2" t="s">
        <v>557</v>
      </c>
      <c r="D161" s="2" t="s">
        <v>117</v>
      </c>
      <c r="E161" s="2" t="s">
        <v>14</v>
      </c>
      <c r="F161" s="2" t="s">
        <v>15</v>
      </c>
      <c r="G161" s="2" t="s">
        <v>558</v>
      </c>
      <c r="H161" s="2" t="s">
        <v>17</v>
      </c>
      <c r="I161" s="2" t="str">
        <f>IFERROR(__xludf.DUMMYFUNCTION("GOOGLETRANSLATE(C161,""fr"",""en"")"),"Green card not received, we manage to reach anyone whether by email or by phone, it is unacceptable !!!!! I will file a complaint. I have already sent an email to contact.web@allianz.fr but I do not expect a return in view of all these negative messages. "&amp;"I don't even understand that this insurance can exist. With Allsecur there was no bp.")</f>
        <v>Green card not received, we manage to reach anyone whether by email or by phone, it is unacceptable !!!!! I will file a complaint. I have already sent an email to contact.web@allianz.fr but I do not expect a return in view of all these negative messages. I don't even understand that this insurance can exist. With Allsecur there was no bp.</v>
      </c>
    </row>
    <row r="162" ht="15.75" customHeight="1">
      <c r="A162" s="2">
        <v>3.0</v>
      </c>
      <c r="B162" s="2" t="s">
        <v>559</v>
      </c>
      <c r="C162" s="2" t="s">
        <v>560</v>
      </c>
      <c r="D162" s="2" t="s">
        <v>65</v>
      </c>
      <c r="E162" s="2" t="s">
        <v>34</v>
      </c>
      <c r="F162" s="2" t="s">
        <v>15</v>
      </c>
      <c r="G162" s="2" t="s">
        <v>561</v>
      </c>
      <c r="H162" s="2" t="s">
        <v>119</v>
      </c>
      <c r="I162" s="2" t="str">
        <f>IFERROR(__xludf.DUMMYFUNCTION("GOOGLETRANSLATE(C162,""fr"",""en"")"),"Mutual that has been proven for a long time, always listening to members. The guarantees are clear, and precise. No big reimbursements as far as I am concerned, therefore difficult to comment, no illness in now.")</f>
        <v>Mutual that has been proven for a long time, always listening to members. The guarantees are clear, and precise. No big reimbursements as far as I am concerned, therefore difficult to comment, no illness in now.</v>
      </c>
    </row>
    <row r="163" ht="15.75" customHeight="1">
      <c r="A163" s="2">
        <v>2.0</v>
      </c>
      <c r="B163" s="2" t="s">
        <v>562</v>
      </c>
      <c r="C163" s="2" t="s">
        <v>563</v>
      </c>
      <c r="D163" s="2" t="s">
        <v>39</v>
      </c>
      <c r="E163" s="2" t="s">
        <v>14</v>
      </c>
      <c r="F163" s="2" t="s">
        <v>15</v>
      </c>
      <c r="G163" s="2" t="s">
        <v>564</v>
      </c>
      <c r="H163" s="2" t="s">
        <v>259</v>
      </c>
      <c r="I163" s="2" t="str">
        <f>IFERROR(__xludf.DUMMYFUNCTION("GOOGLETRANSLATE(C163,""fr"",""en"")"),"One of the most expensive insurance on the market, it is enough to compare on several sites to realize that they offer exorbitant prices (car insurance in any case) compared to other organizations, for the same services, or even less.")</f>
        <v>One of the most expensive insurance on the market, it is enough to compare on several sites to realize that they offer exorbitant prices (car insurance in any case) compared to other organizations, for the same services, or even less.</v>
      </c>
    </row>
    <row r="164" ht="15.75" customHeight="1">
      <c r="A164" s="2">
        <v>2.0</v>
      </c>
      <c r="B164" s="2" t="s">
        <v>565</v>
      </c>
      <c r="C164" s="2" t="s">
        <v>566</v>
      </c>
      <c r="D164" s="2" t="s">
        <v>13</v>
      </c>
      <c r="E164" s="2" t="s">
        <v>14</v>
      </c>
      <c r="F164" s="2" t="s">
        <v>15</v>
      </c>
      <c r="G164" s="2" t="s">
        <v>567</v>
      </c>
      <c r="H164" s="2" t="s">
        <v>42</v>
      </c>
      <c r="I164" s="2" t="str">
        <f>IFERROR(__xludf.DUMMYFUNCTION("GOOGLETRANSLATE(C164,""fr"",""en"")"),"I am happy with speed. I only hope that the service will be so fast when I need to use the service. In the meantime I'm happy")</f>
        <v>I am happy with speed. I only hope that the service will be so fast when I need to use the service. In the meantime I'm happy</v>
      </c>
    </row>
    <row r="165" ht="15.75" customHeight="1">
      <c r="A165" s="2">
        <v>2.0</v>
      </c>
      <c r="B165" s="2" t="s">
        <v>568</v>
      </c>
      <c r="C165" s="2" t="s">
        <v>569</v>
      </c>
      <c r="D165" s="2" t="s">
        <v>570</v>
      </c>
      <c r="E165" s="2" t="s">
        <v>56</v>
      </c>
      <c r="F165" s="2" t="s">
        <v>15</v>
      </c>
      <c r="G165" s="2" t="s">
        <v>571</v>
      </c>
      <c r="H165" s="2" t="s">
        <v>42</v>
      </c>
      <c r="I165" s="2" t="str">
        <f>IFERROR(__xludf.DUMMYFUNCTION("GOOGLETRANSLATE(C165,""fr"",""en"")"),"Impossible to join them he takes the payments and behind do not send the papers, go to real insurer available because to win 10 € you will be delivered to yourself, the worst insurer ever encountered")</f>
        <v>Impossible to join them he takes the payments and behind do not send the papers, go to real insurer available because to win 10 € you will be delivered to yourself, the worst insurer ever encountered</v>
      </c>
    </row>
    <row r="166" ht="15.75" customHeight="1">
      <c r="A166" s="2">
        <v>1.0</v>
      </c>
      <c r="B166" s="2" t="s">
        <v>572</v>
      </c>
      <c r="C166" s="2" t="s">
        <v>573</v>
      </c>
      <c r="D166" s="2" t="s">
        <v>79</v>
      </c>
      <c r="E166" s="2" t="s">
        <v>14</v>
      </c>
      <c r="F166" s="2" t="s">
        <v>15</v>
      </c>
      <c r="G166" s="2" t="s">
        <v>254</v>
      </c>
      <c r="H166" s="2" t="s">
        <v>211</v>
      </c>
      <c r="I166" s="2" t="str">
        <f>IFERROR(__xludf.DUMMYFUNCTION("GOOGLETRANSLATE(C166,""fr"",""en"")")," I have been insured since 012/17/2015 at Active Compagnie Altima, Customer reference 189734 Police reference Aan286496 Following a loss material of 02/19/2016 My malus coefficient is passed to 1.56%. For a reason that I ignore my 2018 mature maturity ACT"&amp;"IVE ASSIVE MA CHANGE OF COMPANY FOR Equity Reference Customer 3434445 POLICE reference AC483099415379 Contract that I have never signed
Despite an email to customer service and the complaint service dated 06/25/2019 requesting explanations and a refund o"&amp;"f the overly received and contract costs, I have never heard from their service.")</f>
        <v> I have been insured since 012/17/2015 at Active Compagnie Altima, Customer reference 189734 Police reference Aan286496 Following a loss material of 02/19/2016 My malus coefficient is passed to 1.56%. For a reason that I ignore my 2018 mature maturity ACTIVE ASSIVE MA CHANGE OF COMPANY FOR Equity Reference Customer 3434445 POLICE reference AC483099415379 Contract that I have never signed
Despite an email to customer service and the complaint service dated 06/25/2019 requesting explanations and a refund of the overly received and contract costs, I have never heard from their service.</v>
      </c>
    </row>
    <row r="167" ht="15.75" customHeight="1">
      <c r="A167" s="2">
        <v>1.0</v>
      </c>
      <c r="B167" s="2" t="s">
        <v>574</v>
      </c>
      <c r="C167" s="2" t="s">
        <v>575</v>
      </c>
      <c r="D167" s="2" t="s">
        <v>231</v>
      </c>
      <c r="E167" s="2" t="s">
        <v>34</v>
      </c>
      <c r="F167" s="2" t="s">
        <v>15</v>
      </c>
      <c r="G167" s="2" t="s">
        <v>576</v>
      </c>
      <c r="H167" s="2" t="s">
        <v>36</v>
      </c>
      <c r="I167" s="2" t="str">
        <f>IFERROR(__xludf.DUMMYFUNCTION("GOOGLETRANSLATE(C167,""fr"",""en"")"),"
I had subscribed in March 2016 a contract with Néoliane Santé which I wanted to terminate following a change of work which caused a mandatory work mutual. Therefore I sent my termination letter as well as my employer proof but from Néolian"&amp;"e is deaf ear, does not want to terminate my contract to the reception of my registered letter but on the date of their choice. No compliance with the law in progress, at each contact, interlocutor who does not want to understand !!! I interrupted the aut"&amp;"omatic samples at the end of the date of reception of my registered letter but now they constantly threaten me to send me to the court.
If this story is not settled quickly, I will seize the competent court through my legal assistance from my bank card.
"&amp;"
To flee as long as you can !!
")</f>
        <v>
I had subscribed in March 2016 a contract with Néoliane Santé which I wanted to terminate following a change of work which caused a mandatory work mutual. Therefore I sent my termination letter as well as my employer proof but from Néoliane is deaf ear, does not want to terminate my contract to the reception of my registered letter but on the date of their choice. No compliance with the law in progress, at each contact, interlocutor who does not want to understand !!! I interrupted the automatic samples at the end of the date of reception of my registered letter but now they constantly threaten me to send me to the court.
If this story is not settled quickly, I will seize the competent court through my legal assistance from my bank card.
To flee as long as you can !!
</v>
      </c>
    </row>
    <row r="168" ht="15.75" customHeight="1">
      <c r="A168" s="2">
        <v>5.0</v>
      </c>
      <c r="B168" s="2" t="s">
        <v>577</v>
      </c>
      <c r="C168" s="2" t="s">
        <v>578</v>
      </c>
      <c r="D168" s="2" t="s">
        <v>13</v>
      </c>
      <c r="E168" s="2" t="s">
        <v>14</v>
      </c>
      <c r="F168" s="2" t="s">
        <v>15</v>
      </c>
      <c r="G168" s="2" t="s">
        <v>579</v>
      </c>
      <c r="H168" s="2" t="s">
        <v>17</v>
      </c>
      <c r="I168" s="2" t="str">
        <f>IFERROR(__xludf.DUMMYFUNCTION("GOOGLETRANSLATE(C168,""fr"",""en"")"),"Very satisfied with the insurance price. Insurance is good when you need it. We will see at this time if the assistance is up to height.")</f>
        <v>Very satisfied with the insurance price. Insurance is good when you need it. We will see at this time if the assistance is up to height.</v>
      </c>
    </row>
    <row r="169" ht="15.75" customHeight="1">
      <c r="A169" s="2">
        <v>4.0</v>
      </c>
      <c r="B169" s="2" t="s">
        <v>580</v>
      </c>
      <c r="C169" s="2" t="s">
        <v>581</v>
      </c>
      <c r="D169" s="2" t="s">
        <v>13</v>
      </c>
      <c r="E169" s="2" t="s">
        <v>14</v>
      </c>
      <c r="F169" s="2" t="s">
        <v>15</v>
      </c>
      <c r="G169" s="2" t="s">
        <v>582</v>
      </c>
      <c r="H169" s="2" t="s">
        <v>21</v>
      </c>
      <c r="I169" s="2" t="str">
        <f>IFERROR(__xludf.DUMMYFUNCTION("GOOGLETRANSLATE(C169,""fr"",""en"")"),"It seems a good value for money .... except the franchise. which is a little high.
We will see in use (although I hope not actually!)
And then, we will see if the pastille does not arrive in the years to come as with others.")</f>
        <v>It seems a good value for money .... except the franchise. which is a little high.
We will see in use (although I hope not actually!)
And then, we will see if the pastille does not arrive in the years to come as with others.</v>
      </c>
    </row>
    <row r="170" ht="15.75" customHeight="1">
      <c r="A170" s="2">
        <v>1.0</v>
      </c>
      <c r="B170" s="2" t="s">
        <v>583</v>
      </c>
      <c r="C170" s="2" t="s">
        <v>584</v>
      </c>
      <c r="D170" s="2" t="s">
        <v>106</v>
      </c>
      <c r="E170" s="2" t="s">
        <v>40</v>
      </c>
      <c r="F170" s="2" t="s">
        <v>15</v>
      </c>
      <c r="G170" s="2" t="s">
        <v>380</v>
      </c>
      <c r="H170" s="2" t="s">
        <v>381</v>
      </c>
      <c r="I170" s="2" t="str">
        <f>IFERROR(__xludf.DUMMYFUNCTION("GOOGLETRANSLATE(C170,""fr"",""en"")"),"0 star does not exist, otherwise that's what they deserve. Following a leak caused by a crack in the skimmers of my swimming pool, whose cause, according to the technician called, is most likely a movement of land, they tell me not be able to follow up on"&amp;" my complaint, because I do not have Opened for ""the legal protection option"". Without even bothering to send an expert! There are thereby all their obligations, in addition to their scandalous annual increases.")</f>
        <v>0 star does not exist, otherwise that's what they deserve. Following a leak caused by a crack in the skimmers of my swimming pool, whose cause, according to the technician called, is most likely a movement of land, they tell me not be able to follow up on my complaint, because I do not have Opened for "the legal protection option". Without even bothering to send an expert! There are thereby all their obligations, in addition to their scandalous annual increases.</v>
      </c>
    </row>
    <row r="171" ht="15.75" customHeight="1">
      <c r="A171" s="2">
        <v>1.0</v>
      </c>
      <c r="B171" s="2" t="s">
        <v>585</v>
      </c>
      <c r="C171" s="2" t="s">
        <v>586</v>
      </c>
      <c r="D171" s="2" t="s">
        <v>39</v>
      </c>
      <c r="E171" s="2" t="s">
        <v>40</v>
      </c>
      <c r="F171" s="2" t="s">
        <v>15</v>
      </c>
      <c r="G171" s="2" t="s">
        <v>587</v>
      </c>
      <c r="H171" s="2" t="s">
        <v>243</v>
      </c>
      <c r="I171" s="2" t="str">
        <f>IFERROR(__xludf.DUMMYFUNCTION("GOOGLETRANSLATE(C171,""fr"",""en"")"),"Do not take care of the passage of a carpet drying team or even the rental of the devices while we live in a studio covered with carpet and fully flooded. And this, despite the very high risk of the development of mushrooms and mold making home unhealthy,"&amp;" even though I am asthmatic.")</f>
        <v>Do not take care of the passage of a carpet drying team or even the rental of the devices while we live in a studio covered with carpet and fully flooded. And this, despite the very high risk of the development of mushrooms and mold making home unhealthy, even though I am asthmatic.</v>
      </c>
    </row>
    <row r="172" ht="15.75" customHeight="1">
      <c r="A172" s="2">
        <v>1.0</v>
      </c>
      <c r="B172" s="2" t="s">
        <v>588</v>
      </c>
      <c r="C172" s="2" t="s">
        <v>589</v>
      </c>
      <c r="D172" s="2" t="s">
        <v>209</v>
      </c>
      <c r="E172" s="2" t="s">
        <v>14</v>
      </c>
      <c r="F172" s="2" t="s">
        <v>15</v>
      </c>
      <c r="G172" s="2" t="s">
        <v>590</v>
      </c>
      <c r="H172" s="2" t="s">
        <v>381</v>
      </c>
      <c r="I172" s="2" t="str">
        <f>IFERROR(__xludf.DUMMYFUNCTION("GOOGLETRANSLATE(C172,""fr"",""en"")"),"I repair my car my van and broken down a friend offers me a vehicle ready for me I go to the maaf (I am at the maaf of wells plus 15 years) and the one young one says I can not insure the vehicle is The law then I will stop any contract but contract")</f>
        <v>I repair my car my van and broken down a friend offers me a vehicle ready for me I go to the maaf (I am at the maaf of wells plus 15 years) and the one young one says I can not insure the vehicle is The law then I will stop any contract but contract</v>
      </c>
    </row>
    <row r="173" ht="15.75" customHeight="1">
      <c r="A173" s="2">
        <v>4.0</v>
      </c>
      <c r="B173" s="2" t="s">
        <v>591</v>
      </c>
      <c r="C173" s="2" t="s">
        <v>592</v>
      </c>
      <c r="D173" s="2" t="s">
        <v>39</v>
      </c>
      <c r="E173" s="2" t="s">
        <v>14</v>
      </c>
      <c r="F173" s="2" t="s">
        <v>15</v>
      </c>
      <c r="G173" s="2" t="s">
        <v>593</v>
      </c>
      <c r="H173" s="2" t="s">
        <v>594</v>
      </c>
      <c r="I173" s="2" t="str">
        <f>IFERROR(__xludf.DUMMYFUNCTION("GOOGLETRANSLATE(C173,""fr"",""en"")"),"Too bad there has been a lack of communication between GMF and my Bank Société Générale allowing
termination of our insurance. Auto, house, legal, life insurance.")</f>
        <v>Too bad there has been a lack of communication between GMF and my Bank Société Générale allowing
termination of our insurance. Auto, house, legal, life insurance.</v>
      </c>
    </row>
    <row r="174" ht="15.75" customHeight="1">
      <c r="A174" s="2">
        <v>4.0</v>
      </c>
      <c r="B174" s="2" t="s">
        <v>595</v>
      </c>
      <c r="C174" s="2" t="s">
        <v>596</v>
      </c>
      <c r="D174" s="2" t="s">
        <v>134</v>
      </c>
      <c r="E174" s="2" t="s">
        <v>56</v>
      </c>
      <c r="F174" s="2" t="s">
        <v>15</v>
      </c>
      <c r="G174" s="2" t="s">
        <v>228</v>
      </c>
      <c r="H174" s="2" t="s">
        <v>17</v>
      </c>
      <c r="I174" s="2" t="str">
        <f>IFERROR(__xludf.DUMMYFUNCTION("GOOGLETRANSLATE(C174,""fr"",""en"")"),"Very satisfied with the service I recommend it effective rapid and at very resonable prices thank you")</f>
        <v>Very satisfied with the service I recommend it effective rapid and at very resonable prices thank you</v>
      </c>
    </row>
    <row r="175" ht="15.75" customHeight="1">
      <c r="A175" s="2">
        <v>4.0</v>
      </c>
      <c r="B175" s="2" t="s">
        <v>597</v>
      </c>
      <c r="C175" s="2" t="s">
        <v>598</v>
      </c>
      <c r="D175" s="2" t="s">
        <v>183</v>
      </c>
      <c r="E175" s="2" t="s">
        <v>97</v>
      </c>
      <c r="F175" s="2" t="s">
        <v>15</v>
      </c>
      <c r="G175" s="2" t="s">
        <v>599</v>
      </c>
      <c r="H175" s="2" t="s">
        <v>140</v>
      </c>
      <c r="I175" s="2" t="str">
        <f>IFERROR(__xludf.DUMMYFUNCTION("GOOGLETRANSLATE(C175,""fr"",""en"")"),"The advisor was very effective and responsive throughout the procedure. If it could always be like that there. The client concept is really understood.")</f>
        <v>The advisor was very effective and responsive throughout the procedure. If it could always be like that there. The client concept is really understood.</v>
      </c>
    </row>
    <row r="176" ht="15.75" customHeight="1">
      <c r="A176" s="2">
        <v>3.0</v>
      </c>
      <c r="B176" s="2" t="s">
        <v>600</v>
      </c>
      <c r="C176" s="2" t="s">
        <v>601</v>
      </c>
      <c r="D176" s="2" t="s">
        <v>24</v>
      </c>
      <c r="E176" s="2" t="s">
        <v>14</v>
      </c>
      <c r="F176" s="2" t="s">
        <v>15</v>
      </c>
      <c r="G176" s="2" t="s">
        <v>602</v>
      </c>
      <c r="H176" s="2" t="s">
        <v>128</v>
      </c>
      <c r="I176" s="2" t="str">
        <f>IFERROR(__xludf.DUMMYFUNCTION("GOOGLETRANSLATE(C176,""fr"",""en"")"),"1st monthly monthly monthly while initially 40 €/month: why ???? Folder fees 16 €+1st monthly monthly do not correspond to a total of € 130 and no explanation
 / Online subscription OK /")</f>
        <v>1st monthly monthly monthly while initially 40 €/month: why ???? Folder fees 16 €+1st monthly monthly do not correspond to a total of € 130 and no explanation
 / Online subscription OK /</v>
      </c>
    </row>
    <row r="177" ht="15.75" customHeight="1">
      <c r="A177" s="2">
        <v>3.0</v>
      </c>
      <c r="B177" s="2" t="s">
        <v>603</v>
      </c>
      <c r="C177" s="2" t="s">
        <v>604</v>
      </c>
      <c r="D177" s="2" t="s">
        <v>13</v>
      </c>
      <c r="E177" s="2" t="s">
        <v>14</v>
      </c>
      <c r="F177" s="2" t="s">
        <v>15</v>
      </c>
      <c r="G177" s="2" t="s">
        <v>605</v>
      </c>
      <c r="H177" s="2" t="s">
        <v>42</v>
      </c>
      <c r="I177" s="2" t="str">
        <f>IFERROR(__xludf.DUMMYFUNCTION("GOOGLETRANSLATE(C177,""fr"",""en"")"),"Practical and simple online subscription
Correct prices
Quick
Even if we find that it is always too expensive car insurance
I don't see anything else to say thank you")</f>
        <v>Practical and simple online subscription
Correct prices
Quick
Even if we find that it is always too expensive car insurance
I don't see anything else to say thank you</v>
      </c>
    </row>
    <row r="178" ht="15.75" customHeight="1">
      <c r="A178" s="2">
        <v>4.0</v>
      </c>
      <c r="B178" s="2" t="s">
        <v>606</v>
      </c>
      <c r="C178" s="2" t="s">
        <v>607</v>
      </c>
      <c r="D178" s="2" t="s">
        <v>65</v>
      </c>
      <c r="E178" s="2" t="s">
        <v>34</v>
      </c>
      <c r="F178" s="2" t="s">
        <v>15</v>
      </c>
      <c r="G178" s="2" t="s">
        <v>608</v>
      </c>
      <c r="H178" s="2" t="s">
        <v>225</v>
      </c>
      <c r="I178" s="2" t="str">
        <f>IFERROR(__xludf.DUMMYFUNCTION("GOOGLETRANSLATE(C178,""fr"",""en"")"),"Reactive mutual, close to his members, always good advice, telephone reception without waiting period, precise, clear responses, with the right orientations for care or administrative questions.
Thank you and congratulations to Lucie for her listening ca"&amp;"pacity and answers.")</f>
        <v>Reactive mutual, close to his members, always good advice, telephone reception without waiting period, precise, clear responses, with the right orientations for care or administrative questions.
Thank you and congratulations to Lucie for her listening capacity and answers.</v>
      </c>
    </row>
    <row r="179" ht="15.75" customHeight="1">
      <c r="A179" s="2">
        <v>1.0</v>
      </c>
      <c r="B179" s="2" t="s">
        <v>609</v>
      </c>
      <c r="C179" s="2" t="s">
        <v>610</v>
      </c>
      <c r="D179" s="2" t="s">
        <v>24</v>
      </c>
      <c r="E179" s="2" t="s">
        <v>14</v>
      </c>
      <c r="F179" s="2" t="s">
        <v>15</v>
      </c>
      <c r="G179" s="2" t="s">
        <v>41</v>
      </c>
      <c r="H179" s="2" t="s">
        <v>42</v>
      </c>
      <c r="I179" s="2" t="str">
        <f>IFERROR(__xludf.DUMMYFUNCTION("GOOGLETRANSLATE(C179,""fr"",""en"")"),"They have increased my price by around 10% per year over the past 2 years despite the fact that I have not had a responsible accident in the past 4 years. At the 1st increase I was able to obtain a commercial gesture which did not even completely rebalanc"&amp;"e the price. The 2nd year the advisor I had on the phone explained to me that my price was increasing because I had a non-responsible accident this year ... We walk on our heads.
")</f>
        <v>They have increased my price by around 10% per year over the past 2 years despite the fact that I have not had a responsible accident in the past 4 years. At the 1st increase I was able to obtain a commercial gesture which did not even completely rebalance the price. The 2nd year the advisor I had on the phone explained to me that my price was increasing because I had a non-responsible accident this year ... We walk on our heads.
</v>
      </c>
    </row>
    <row r="180" ht="15.75" customHeight="1">
      <c r="A180" s="2">
        <v>1.0</v>
      </c>
      <c r="B180" s="2" t="s">
        <v>611</v>
      </c>
      <c r="C180" s="2" t="s">
        <v>612</v>
      </c>
      <c r="D180" s="2" t="s">
        <v>117</v>
      </c>
      <c r="E180" s="2" t="s">
        <v>46</v>
      </c>
      <c r="F180" s="2" t="s">
        <v>15</v>
      </c>
      <c r="G180" s="2" t="s">
        <v>613</v>
      </c>
      <c r="H180" s="2" t="s">
        <v>614</v>
      </c>
      <c r="I180" s="2" t="str">
        <f>IFERROR(__xludf.DUMMYFUNCTION("GOOGLETRANSLATE(C180,""fr"",""en"")"),"A wall impossible to make buybacks especially in stock market crash")</f>
        <v>A wall impossible to make buybacks especially in stock market crash</v>
      </c>
    </row>
    <row r="181" ht="15.75" customHeight="1">
      <c r="A181" s="2">
        <v>1.0</v>
      </c>
      <c r="B181" s="2" t="s">
        <v>615</v>
      </c>
      <c r="C181" s="2" t="s">
        <v>616</v>
      </c>
      <c r="D181" s="2" t="s">
        <v>617</v>
      </c>
      <c r="E181" s="2" t="s">
        <v>97</v>
      </c>
      <c r="F181" s="2" t="s">
        <v>15</v>
      </c>
      <c r="G181" s="2" t="s">
        <v>618</v>
      </c>
      <c r="H181" s="2" t="s">
        <v>163</v>
      </c>
      <c r="I181" s="2" t="str">
        <f>IFERROR(__xludf.DUMMYFUNCTION("GOOGLETRANSLATE(C181,""fr"",""en"")"),"Following an ITT of more than 3 months for depression, I made the mistake of thinking that my borrower insurance covered me.
SOGECAP is only there to protect the interests of Société Générale and in no case (or very little case) compensate borrowers in n"&amp;"eed.
They wander you with requests for documents, answer on the phone after 20 minutes of minimum waiting, make you launch with any purpose to finally send you a contractual exclusion letter. You know? The small characters in the contract, which stipulat"&amp;"e that in 99% of cases your disease is not taken care of. Even by playing the game of contractual exclusions and by fulfilling the compensation criteria, do not expect to obtain much of these sharks, they will do everything so as not to compensate you as "&amp;"it should.")</f>
        <v>Following an ITT of more than 3 months for depression, I made the mistake of thinking that my borrower insurance covered me.
SOGECAP is only there to protect the interests of Société Générale and in no case (or very little case) compensate borrowers in need.
They wander you with requests for documents, answer on the phone after 20 minutes of minimum waiting, make you launch with any purpose to finally send you a contractual exclusion letter. You know? The small characters in the contract, which stipulate that in 99% of cases your disease is not taken care of. Even by playing the game of contractual exclusions and by fulfilling the compensation criteria, do not expect to obtain much of these sharks, they will do everything so as not to compensate you as it should.</v>
      </c>
    </row>
    <row r="182" ht="15.75" customHeight="1">
      <c r="A182" s="2">
        <v>1.0</v>
      </c>
      <c r="B182" s="2" t="s">
        <v>619</v>
      </c>
      <c r="C182" s="2" t="s">
        <v>620</v>
      </c>
      <c r="D182" s="2" t="s">
        <v>621</v>
      </c>
      <c r="E182" s="2" t="s">
        <v>66</v>
      </c>
      <c r="F182" s="2" t="s">
        <v>15</v>
      </c>
      <c r="G182" s="2" t="s">
        <v>622</v>
      </c>
      <c r="H182" s="2" t="s">
        <v>17</v>
      </c>
      <c r="I182" s="2" t="str">
        <f>IFERROR(__xludf.DUMMYFUNCTION("GOOGLETRANSLATE(C182,""fr"",""en"")"),"I note them 0/20 it's false people
I have nothing to say about them because they are needed from Faux it is people who are not kind to people")</f>
        <v>I note them 0/20 it's false people
I have nothing to say about them because they are needed from Faux it is people who are not kind to people</v>
      </c>
    </row>
    <row r="183" ht="15.75" customHeight="1">
      <c r="A183" s="2">
        <v>1.0</v>
      </c>
      <c r="B183" s="2" t="s">
        <v>623</v>
      </c>
      <c r="C183" s="2" t="s">
        <v>624</v>
      </c>
      <c r="D183" s="2" t="s">
        <v>625</v>
      </c>
      <c r="E183" s="2" t="s">
        <v>34</v>
      </c>
      <c r="F183" s="2" t="s">
        <v>15</v>
      </c>
      <c r="G183" s="2" t="s">
        <v>626</v>
      </c>
      <c r="H183" s="2" t="s">
        <v>52</v>
      </c>
      <c r="I183" s="2" t="str">
        <f>IFERROR(__xludf.DUMMYFUNCTION("GOOGLETRANSLATE(C183,""fr"",""en"")"),"Completely agree with the opinions I expect dental reimbursements, since January 15. Of all nothing on my account. said every time ""at the end of the week"" ...... and yet nothing in view
For me it is a reason for termination !!!")</f>
        <v>Completely agree with the opinions I expect dental reimbursements, since January 15. Of all nothing on my account. said every time "at the end of the week" ...... and yet nothing in view
For me it is a reason for termination !!!</v>
      </c>
    </row>
    <row r="184" ht="15.75" customHeight="1">
      <c r="A184" s="2">
        <v>3.0</v>
      </c>
      <c r="B184" s="2" t="s">
        <v>627</v>
      </c>
      <c r="C184" s="2" t="s">
        <v>628</v>
      </c>
      <c r="D184" s="2" t="s">
        <v>13</v>
      </c>
      <c r="E184" s="2" t="s">
        <v>14</v>
      </c>
      <c r="F184" s="2" t="s">
        <v>15</v>
      </c>
      <c r="G184" s="2" t="s">
        <v>629</v>
      </c>
      <c r="H184" s="2" t="s">
        <v>52</v>
      </c>
      <c r="I184" s="2" t="str">
        <f>IFERROR(__xludf.DUMMYFUNCTION("GOOGLETRANSLATE(C184,""fr"",""en"")"),"If I had not called to adjust my subscription, I would not have benefited from a reduction :(
Apart from a break in ice I have never needed your claims, so no opinion to give on this point.")</f>
        <v>If I had not called to adjust my subscription, I would not have benefited from a reduction :(
Apart from a break in ice I have never needed your claims, so no opinion to give on this point.</v>
      </c>
    </row>
    <row r="185" ht="15.75" customHeight="1">
      <c r="A185" s="2">
        <v>3.0</v>
      </c>
      <c r="B185" s="2" t="s">
        <v>630</v>
      </c>
      <c r="C185" s="2" t="s">
        <v>631</v>
      </c>
      <c r="D185" s="2" t="s">
        <v>134</v>
      </c>
      <c r="E185" s="2" t="s">
        <v>56</v>
      </c>
      <c r="F185" s="2" t="s">
        <v>15</v>
      </c>
      <c r="G185" s="2" t="s">
        <v>632</v>
      </c>
      <c r="H185" s="2" t="s">
        <v>128</v>
      </c>
      <c r="I185" s="2" t="str">
        <f>IFERROR(__xludf.DUMMYFUNCTION("GOOGLETRANSLATE(C185,""fr"",""en"")"),"Perfect fast I recommend, very simple to insure a vehicle at correct prices to see over time I wish you a good day Regards Nicolas")</f>
        <v>Perfect fast I recommend, very simple to insure a vehicle at correct prices to see over time I wish you a good day Regards Nicolas</v>
      </c>
    </row>
    <row r="186" ht="15.75" customHeight="1">
      <c r="A186" s="2">
        <v>1.0</v>
      </c>
      <c r="B186" s="2" t="s">
        <v>633</v>
      </c>
      <c r="C186" s="2" t="s">
        <v>634</v>
      </c>
      <c r="D186" s="2" t="s">
        <v>60</v>
      </c>
      <c r="E186" s="2" t="s">
        <v>40</v>
      </c>
      <c r="F186" s="2" t="s">
        <v>15</v>
      </c>
      <c r="G186" s="2" t="s">
        <v>635</v>
      </c>
      <c r="H186" s="2" t="s">
        <v>636</v>
      </c>
      <c r="I186" s="2" t="str">
        <f>IFERROR(__xludf.DUMMYFUNCTION("GOOGLETRANSLATE(C186,""fr"",""en"")"),"Deplorable!
They are dear and are absent subscribers during the loss. In addition, they practically treat you with fraudster during telephone reception.
A fence wall collapses during the storm peak but it sees no cause of cause and effect Cra The wall i"&amp;"s not a recent construction. Drive yourself with the rubble. Look for the error ... Flee!
It's just a cash machine to recover margin from Crédit Agricole borrowers")</f>
        <v>Deplorable!
They are dear and are absent subscribers during the loss. In addition, they practically treat you with fraudster during telephone reception.
A fence wall collapses during the storm peak but it sees no cause of cause and effect Cra The wall is not a recent construction. Drive yourself with the rubble. Look for the error ... Flee!
It's just a cash machine to recover margin from Crédit Agricole borrowers</v>
      </c>
    </row>
    <row r="187" ht="15.75" customHeight="1">
      <c r="A187" s="2">
        <v>2.0</v>
      </c>
      <c r="B187" s="2" t="s">
        <v>637</v>
      </c>
      <c r="C187" s="2" t="s">
        <v>638</v>
      </c>
      <c r="D187" s="2" t="s">
        <v>639</v>
      </c>
      <c r="E187" s="2" t="s">
        <v>46</v>
      </c>
      <c r="F187" s="2" t="s">
        <v>15</v>
      </c>
      <c r="G187" s="2" t="s">
        <v>640</v>
      </c>
      <c r="H187" s="2" t="s">
        <v>140</v>
      </c>
      <c r="I187" s="2" t="str">
        <f>IFERROR(__xludf.DUMMYFUNCTION("GOOGLETRANSLATE(C187,""fr"",""en"")"),"Following the death of my mother who had AFER life insurance since 1976, I reinvested € 60,000 on my account in July 2019. I specified on my entire mail on the guaranteed fund. In early August, when everything went well, the sum was partially reinvested o"&amp;"n two other supports (SFER and Eurosfer). This is due to a distribution option present on my contract. I did not notice it in January 2020. In short, after around twenty calls and email, and with the help of the current Savings Advisor, a first regulariza"&amp;"tion is made by ""forgetting"" to credit a sum of € 11,000. Another fifteen days with a daily call to the headquarters to finally come across a (competent) person who includes the problem and a good week for regularization, mid-June 2020. So be careful wi"&amp;"th options even if we make a contrary letter. I received an explanation letter, but no excuse on the slowness of the deadlines (the COVVID does not excuse everything).")</f>
        <v>Following the death of my mother who had AFER life insurance since 1976, I reinvested € 60,000 on my account in July 2019. I specified on my entire mail on the guaranteed fund. In early August, when everything went well, the sum was partially reinvested on two other supports (SFER and Eurosfer). This is due to a distribution option present on my contract. I did not notice it in January 2020. In short, after around twenty calls and email, and with the help of the current Savings Advisor, a first regularization is made by "forgetting" to credit a sum of € 11,000. Another fifteen days with a daily call to the headquarters to finally come across a (competent) person who includes the problem and a good week for regularization, mid-June 2020. So be careful with options even if we make a contrary letter. I received an explanation letter, but no excuse on the slowness of the deadlines (the COVVID does not excuse everything).</v>
      </c>
    </row>
    <row r="188" ht="15.75" customHeight="1">
      <c r="A188" s="2">
        <v>2.0</v>
      </c>
      <c r="B188" s="2" t="s">
        <v>641</v>
      </c>
      <c r="C188" s="2" t="s">
        <v>642</v>
      </c>
      <c r="D188" s="2" t="s">
        <v>209</v>
      </c>
      <c r="E188" s="2" t="s">
        <v>14</v>
      </c>
      <c r="F188" s="2" t="s">
        <v>15</v>
      </c>
      <c r="G188" s="2" t="s">
        <v>643</v>
      </c>
      <c r="H188" s="2" t="s">
        <v>536</v>
      </c>
      <c r="I188" s="2" t="str">
        <f>IFERROR(__xludf.DUMMYFUNCTION("GOOGLETRANSLATE(C188,""fr"",""en"")"),"A advisor made an insurance replacement instead of a new contract for the purchase of a new vehicle we discovered it after a small hung when we set out the sinister we were taught that the vehicle is no longer ensured For a few days we explain to them tha"&amp;"t this is an error on their part not ours, we have nothing to do with us like puppets laughs at such for in the end it is you you don't care professionalism and respect for them not go")</f>
        <v>A advisor made an insurance replacement instead of a new contract for the purchase of a new vehicle we discovered it after a small hung when we set out the sinister we were taught that the vehicle is no longer ensured For a few days we explain to them that this is an error on their part not ours, we have nothing to do with us like puppets laughs at such for in the end it is you you don't care professionalism and respect for them not go</v>
      </c>
    </row>
    <row r="189" ht="15.75" customHeight="1">
      <c r="A189" s="2">
        <v>1.0</v>
      </c>
      <c r="B189" s="2" t="s">
        <v>644</v>
      </c>
      <c r="C189" s="2" t="s">
        <v>645</v>
      </c>
      <c r="D189" s="2" t="s">
        <v>416</v>
      </c>
      <c r="E189" s="2" t="s">
        <v>34</v>
      </c>
      <c r="F189" s="2" t="s">
        <v>15</v>
      </c>
      <c r="G189" s="2" t="s">
        <v>646</v>
      </c>
      <c r="H189" s="2" t="s">
        <v>540</v>
      </c>
      <c r="I189" s="2" t="str">
        <f>IFERROR(__xludf.DUMMYFUNCTION("GOOGLETRANSLATE(C189,""fr"",""en"")"),"A shame ! Impossible to have my contract canceled immediately after having subscribed to it because I was entitled to the CMU at the same time. And they continue to want to take me despite all my efforts - I am at the RSA! And I no longer work for the emp"&amp;"loyer who made me subscribe this mutual (a month and a half of part-time work only intermittent).")</f>
        <v>A shame ! Impossible to have my contract canceled immediately after having subscribed to it because I was entitled to the CMU at the same time. And they continue to want to take me despite all my efforts - I am at the RSA! And I no longer work for the employer who made me subscribe this mutual (a month and a half of part-time work only intermittent).</v>
      </c>
    </row>
    <row r="190" ht="15.75" customHeight="1">
      <c r="A190" s="2">
        <v>5.0</v>
      </c>
      <c r="B190" s="2" t="s">
        <v>647</v>
      </c>
      <c r="C190" s="2" t="s">
        <v>648</v>
      </c>
      <c r="D190" s="2" t="s">
        <v>13</v>
      </c>
      <c r="E190" s="2" t="s">
        <v>14</v>
      </c>
      <c r="F190" s="2" t="s">
        <v>15</v>
      </c>
      <c r="G190" s="2" t="s">
        <v>626</v>
      </c>
      <c r="H190" s="2" t="s">
        <v>52</v>
      </c>
      <c r="I190" s="2" t="str">
        <f>IFERROR(__xludf.DUMMYFUNCTION("GOOGLETRANSLATE(C190,""fr"",""en"")"),"Very happy, fast and precise service.
The prices remain honest, good guarantees and appreciable customer service, listening and which clearly responds")</f>
        <v>Very happy, fast and precise service.
The prices remain honest, good guarantees and appreciable customer service, listening and which clearly responds</v>
      </c>
    </row>
    <row r="191" ht="15.75" customHeight="1">
      <c r="A191" s="2">
        <v>4.0</v>
      </c>
      <c r="B191" s="2" t="s">
        <v>649</v>
      </c>
      <c r="C191" s="2" t="s">
        <v>650</v>
      </c>
      <c r="D191" s="2" t="s">
        <v>13</v>
      </c>
      <c r="E191" s="2" t="s">
        <v>14</v>
      </c>
      <c r="F191" s="2" t="s">
        <v>15</v>
      </c>
      <c r="G191" s="2" t="s">
        <v>651</v>
      </c>
      <c r="H191" s="2" t="s">
        <v>128</v>
      </c>
      <c r="I191" s="2" t="str">
        <f>IFERROR(__xludf.DUMMYFUNCTION("GOOGLETRANSLATE(C191,""fr"",""en"")"),"Satisfied just hopes to have prices for next year. However for help after an accident I found the average service because the person who helped me was not very helpful.")</f>
        <v>Satisfied just hopes to have prices for next year. However for help after an accident I found the average service because the person who helped me was not very helpful.</v>
      </c>
    </row>
    <row r="192" ht="15.75" customHeight="1">
      <c r="A192" s="2">
        <v>4.0</v>
      </c>
      <c r="B192" s="2" t="s">
        <v>652</v>
      </c>
      <c r="C192" s="2" t="s">
        <v>653</v>
      </c>
      <c r="D192" s="2" t="s">
        <v>106</v>
      </c>
      <c r="E192" s="2" t="s">
        <v>14</v>
      </c>
      <c r="F192" s="2" t="s">
        <v>15</v>
      </c>
      <c r="G192" s="2" t="s">
        <v>224</v>
      </c>
      <c r="H192" s="2" t="s">
        <v>225</v>
      </c>
      <c r="I192" s="2" t="str">
        <f>IFERROR(__xludf.DUMMYFUNCTION("GOOGLETRANSLATE(C192,""fr"",""en"")"),"To the Macif for a very long time, satisfied with the service rendered. On the other hand, little recognition for the faithful customers without problem and no discount following confinement. In addition closure of local agencies therefore worries. I plan"&amp;" to change insurer.")</f>
        <v>To the Macif for a very long time, satisfied with the service rendered. On the other hand, little recognition for the faithful customers without problem and no discount following confinement. In addition closure of local agencies therefore worries. I plan to change insurer.</v>
      </c>
    </row>
    <row r="193" ht="15.75" customHeight="1">
      <c r="A193" s="2">
        <v>5.0</v>
      </c>
      <c r="B193" s="2" t="s">
        <v>654</v>
      </c>
      <c r="C193" s="2" t="s">
        <v>655</v>
      </c>
      <c r="D193" s="2" t="s">
        <v>13</v>
      </c>
      <c r="E193" s="2" t="s">
        <v>14</v>
      </c>
      <c r="F193" s="2" t="s">
        <v>15</v>
      </c>
      <c r="G193" s="2" t="s">
        <v>490</v>
      </c>
      <c r="H193" s="2" t="s">
        <v>52</v>
      </c>
      <c r="I193" s="2" t="str">
        <f>IFERROR(__xludf.DUMMYFUNCTION("GOOGLETRANSLATE(C193,""fr"",""en"")"),"For now, everything is perfect!
The prices are very correct, the procedure is fast.
To see in time hoping that the price does not increase faster than inflation ...")</f>
        <v>For now, everything is perfect!
The prices are very correct, the procedure is fast.
To see in time hoping that the price does not increase faster than inflation ...</v>
      </c>
    </row>
    <row r="194" ht="15.75" customHeight="1">
      <c r="A194" s="2">
        <v>1.0</v>
      </c>
      <c r="B194" s="2" t="s">
        <v>656</v>
      </c>
      <c r="C194" s="2" t="s">
        <v>657</v>
      </c>
      <c r="D194" s="2" t="s">
        <v>39</v>
      </c>
      <c r="E194" s="2" t="s">
        <v>40</v>
      </c>
      <c r="F194" s="2" t="s">
        <v>15</v>
      </c>
      <c r="G194" s="2" t="s">
        <v>658</v>
      </c>
      <c r="H194" s="2" t="s">
        <v>659</v>
      </c>
      <c r="I194" s="2" t="str">
        <f>IFERROR(__xludf.DUMMYFUNCTION("GOOGLETRANSLATE(C194,""fr"",""en"")"),"The prices seemed attractive to me, but to terminate my home insurance, it was necessary to send a registered mail with acknowledgment of receipt comprising the form of the output state. In my case, the real estate agency took a long time to return this d"&amp;"ocument to me. So I had to terminate later and paid several months of insurance for nothing. In the end I paid much more expensive than my spouse who with another insurer was able to terminate more easily by email on the date of release of the apartment a"&amp;"nd not on the date of request for termination of the contract which cannot be taken in Count that if all documents are provided and which also costs the price of a recommended.")</f>
        <v>The prices seemed attractive to me, but to terminate my home insurance, it was necessary to send a registered mail with acknowledgment of receipt comprising the form of the output state. In my case, the real estate agency took a long time to return this document to me. So I had to terminate later and paid several months of insurance for nothing. In the end I paid much more expensive than my spouse who with another insurer was able to terminate more easily by email on the date of release of the apartment and not on the date of request for termination of the contract which cannot be taken in Count that if all documents are provided and which also costs the price of a recommended.</v>
      </c>
    </row>
    <row r="195" ht="15.75" customHeight="1">
      <c r="A195" s="2">
        <v>5.0</v>
      </c>
      <c r="B195" s="2" t="s">
        <v>660</v>
      </c>
      <c r="C195" s="2" t="s">
        <v>661</v>
      </c>
      <c r="D195" s="2" t="s">
        <v>13</v>
      </c>
      <c r="E195" s="2" t="s">
        <v>14</v>
      </c>
      <c r="F195" s="2" t="s">
        <v>15</v>
      </c>
      <c r="G195" s="2" t="s">
        <v>662</v>
      </c>
      <c r="H195" s="2" t="s">
        <v>17</v>
      </c>
      <c r="I195" s="2" t="str">
        <f>IFERROR(__xludf.DUMMYFUNCTION("GOOGLETRANSLATE(C195,""fr"",""en"")"),"I am satisfied with the customer relations service, it is easy to contact someone when you need help, the prices are satisfactory knowing that I am a student.
I recommend direct insurance.")</f>
        <v>I am satisfied with the customer relations service, it is easy to contact someone when you need help, the prices are satisfactory knowing that I am a student.
I recommend direct insurance.</v>
      </c>
    </row>
    <row r="196" ht="15.75" customHeight="1">
      <c r="A196" s="2">
        <v>3.0</v>
      </c>
      <c r="B196" s="2" t="s">
        <v>663</v>
      </c>
      <c r="C196" s="2" t="s">
        <v>664</v>
      </c>
      <c r="D196" s="2" t="s">
        <v>65</v>
      </c>
      <c r="E196" s="2" t="s">
        <v>34</v>
      </c>
      <c r="F196" s="2" t="s">
        <v>15</v>
      </c>
      <c r="G196" s="2" t="s">
        <v>665</v>
      </c>
      <c r="H196" s="2" t="s">
        <v>73</v>
      </c>
      <c r="I196" s="2" t="str">
        <f>IFERROR(__xludf.DUMMYFUNCTION("GOOGLETRANSLATE(C196,""fr"",""en"")"),"Very good customer service with nice and effective contacts who take the time to answer questions.
Quick reimbursement and guarantees adapted to professional functions.
Price adapted to guarantees.")</f>
        <v>Very good customer service with nice and effective contacts who take the time to answer questions.
Quick reimbursement and guarantees adapted to professional functions.
Price adapted to guarantees.</v>
      </c>
    </row>
    <row r="197" ht="15.75" customHeight="1">
      <c r="A197" s="2">
        <v>3.0</v>
      </c>
      <c r="B197" s="2" t="s">
        <v>666</v>
      </c>
      <c r="C197" s="2" t="s">
        <v>667</v>
      </c>
      <c r="D197" s="2" t="s">
        <v>45</v>
      </c>
      <c r="E197" s="2" t="s">
        <v>14</v>
      </c>
      <c r="F197" s="2" t="s">
        <v>15</v>
      </c>
      <c r="G197" s="2" t="s">
        <v>668</v>
      </c>
      <c r="H197" s="2" t="s">
        <v>367</v>
      </c>
      <c r="I197" s="2" t="str">
        <f>IFERROR(__xludf.DUMMYFUNCTION("GOOGLETRANSLATE(C197,""fr"",""en"")"),"Serious assurance but whose prices are constantly flaming")</f>
        <v>Serious assurance but whose prices are constantly flaming</v>
      </c>
    </row>
    <row r="198" ht="15.75" customHeight="1">
      <c r="A198" s="2">
        <v>1.0</v>
      </c>
      <c r="B198" s="2" t="s">
        <v>669</v>
      </c>
      <c r="C198" s="2" t="s">
        <v>670</v>
      </c>
      <c r="D198" s="2" t="s">
        <v>79</v>
      </c>
      <c r="E198" s="2" t="s">
        <v>14</v>
      </c>
      <c r="F198" s="2" t="s">
        <v>15</v>
      </c>
      <c r="G198" s="2" t="s">
        <v>671</v>
      </c>
      <c r="H198" s="2" t="s">
        <v>434</v>
      </c>
      <c r="I198" s="2" t="str">
        <f>IFERROR(__xludf.DUMMYFUNCTION("GOOGLETRANSLATE(C198,""fr"",""en"")"),"Flee if you are looking for competent insurance and customer service")</f>
        <v>Flee if you are looking for competent insurance and customer service</v>
      </c>
    </row>
    <row r="199" ht="15.75" customHeight="1">
      <c r="A199" s="2">
        <v>1.0</v>
      </c>
      <c r="B199" s="2" t="s">
        <v>672</v>
      </c>
      <c r="C199" s="2" t="s">
        <v>673</v>
      </c>
      <c r="D199" s="2" t="s">
        <v>79</v>
      </c>
      <c r="E199" s="2" t="s">
        <v>14</v>
      </c>
      <c r="F199" s="2" t="s">
        <v>15</v>
      </c>
      <c r="G199" s="2" t="s">
        <v>674</v>
      </c>
      <c r="H199" s="2" t="s">
        <v>495</v>
      </c>
      <c r="I199" s="2" t="str">
        <f>IFERROR(__xludf.DUMMYFUNCTION("GOOGLETRANSLATE(C199,""fr"",""en"")"),"Absolutely avoid this insurance !!!!!
I have currently had a contract in this insurance for over a year. I ask for my information, without follow -up.
In addition, I wanted to take out another contract with them two months ago for another vehicle. So I "&amp;"made a quote and pay the case fees as well as two months of insurance. First, I never received my provisional insurance certificate. Then, when I wanted to connect to the site in order to transmit my documents, my contract does not exist. So I have called"&amp;" customer service (surcharged) has several recovery. Without result on my personal space. Finally, an advisor asks me to send my documents by mail as my customer area does not exist. What I have done. Always without follow -up. So I once again call custom"&amp;"er service or I was told the reception of my mail.
But always without unlocking my personal space.
Currently, I therefore have no insurance on my vehicle and I cannot recover the information statement from my other vehicle that I have just sold.
Never "&amp;"subscribe to Active Insurance !!!!")</f>
        <v>Absolutely avoid this insurance !!!!!
I have currently had a contract in this insurance for over a year. I ask for my information, without follow -up.
In addition, I wanted to take out another contract with them two months ago for another vehicle. So I made a quote and pay the case fees as well as two months of insurance. First, I never received my provisional insurance certificate. Then, when I wanted to connect to the site in order to transmit my documents, my contract does not exist. So I have called customer service (surcharged) has several recovery. Without result on my personal space. Finally, an advisor asks me to send my documents by mail as my customer area does not exist. What I have done. Always without follow -up. So I once again call customer service or I was told the reception of my mail.
But always without unlocking my personal space.
Currently, I therefore have no insurance on my vehicle and I cannot recover the information statement from my other vehicle that I have just sold.
Never subscribe to Active Insurance !!!!</v>
      </c>
    </row>
    <row r="200" ht="15.75" customHeight="1">
      <c r="A200" s="2">
        <v>4.0</v>
      </c>
      <c r="B200" s="2" t="s">
        <v>675</v>
      </c>
      <c r="C200" s="2" t="s">
        <v>676</v>
      </c>
      <c r="D200" s="2" t="s">
        <v>246</v>
      </c>
      <c r="E200" s="2" t="s">
        <v>34</v>
      </c>
      <c r="F200" s="2" t="s">
        <v>15</v>
      </c>
      <c r="G200" s="2" t="s">
        <v>677</v>
      </c>
      <c r="H200" s="2" t="s">
        <v>21</v>
      </c>
      <c r="I200" s="2" t="str">
        <f>IFERROR(__xludf.DUMMYFUNCTION("GOOGLETRANSLATE(C200,""fr"",""en"")"),"Very good contact contact, problem solving OK (awaiting concrete resolution) unfortunately it is necessary to remember several times to close the file. Last contact very well he resolved the problem (I hope) very quickly.")</f>
        <v>Very good contact contact, problem solving OK (awaiting concrete resolution) unfortunately it is necessary to remember several times to close the file. Last contact very well he resolved the problem (I hope) very quickly.</v>
      </c>
    </row>
    <row r="201" ht="15.75" customHeight="1">
      <c r="A201" s="2">
        <v>3.0</v>
      </c>
      <c r="B201" s="2" t="s">
        <v>678</v>
      </c>
      <c r="C201" s="2" t="s">
        <v>679</v>
      </c>
      <c r="D201" s="2" t="s">
        <v>13</v>
      </c>
      <c r="E201" s="2" t="s">
        <v>14</v>
      </c>
      <c r="F201" s="2" t="s">
        <v>15</v>
      </c>
      <c r="G201" s="2" t="s">
        <v>384</v>
      </c>
      <c r="H201" s="2" t="s">
        <v>21</v>
      </c>
      <c r="I201" s="2" t="str">
        <f>IFERROR(__xludf.DUMMYFUNCTION("GOOGLETRANSLATE(C201,""fr"",""en"")"),"I am a fatifecte of the price and can you delight me the green card by email and I hope not to be disappointed with your insurance and if sometimes I happen to me that a levy not honored that you would tell me")</f>
        <v>I am a fatifecte of the price and can you delight me the green card by email and I hope not to be disappointed with your insurance and if sometimes I happen to me that a levy not honored that you would tell me</v>
      </c>
    </row>
    <row r="202" ht="15.75" customHeight="1">
      <c r="A202" s="2">
        <v>1.0</v>
      </c>
      <c r="B202" s="2" t="s">
        <v>680</v>
      </c>
      <c r="C202" s="2" t="s">
        <v>681</v>
      </c>
      <c r="D202" s="2" t="s">
        <v>24</v>
      </c>
      <c r="E202" s="2" t="s">
        <v>14</v>
      </c>
      <c r="F202" s="2" t="s">
        <v>15</v>
      </c>
      <c r="G202" s="2" t="s">
        <v>345</v>
      </c>
      <c r="H202" s="2" t="s">
        <v>17</v>
      </c>
      <c r="I202" s="2" t="str">
        <f>IFERROR(__xludf.DUMMYFUNCTION("GOOGLETRANSLATE(C202,""fr"",""en"")"),"Super practical and affordable, reasonable and coherencing price with the proposed options. Fast, effective.
People who talked to me were reasons.")</f>
        <v>Super practical and affordable, reasonable and coherencing price with the proposed options. Fast, effective.
People who talked to me were reasons.</v>
      </c>
    </row>
    <row r="203" ht="15.75" customHeight="1">
      <c r="A203" s="2">
        <v>1.0</v>
      </c>
      <c r="B203" s="2" t="s">
        <v>682</v>
      </c>
      <c r="C203" s="2" t="s">
        <v>683</v>
      </c>
      <c r="D203" s="2" t="s">
        <v>79</v>
      </c>
      <c r="E203" s="2" t="s">
        <v>14</v>
      </c>
      <c r="F203" s="2" t="s">
        <v>15</v>
      </c>
      <c r="G203" s="2" t="s">
        <v>684</v>
      </c>
      <c r="H203" s="2" t="s">
        <v>99</v>
      </c>
      <c r="I203" s="2" t="str">
        <f>IFERROR(__xludf.DUMMYFUNCTION("GOOGLETRANSLATE(C203,""fr"",""en"")"),"To flee !!! I subscribed to car insurance for a Megane 3 Sport Coupé. Insurance costs me € 130 per month. Following ""a computer concern"", Active Insurance currently leaves € 130 per day! I call customer service which is unable to give me concrete answer"&amp;"s, I am not known to tell me if I will be reimbursed, always the same answer gave me ""we send your request to the accounting service, we reconcile you in the Best deadlines "", but no news! I call every day, I send emails, and nothing advances ... Curren"&amp;"tly, almost € 300 have been taken too much. The other samples do not pass, necessarily, I do not have a overdraft authorization higher than my pay! And who says rejection of sample, says agios and rejections costs! New call this day, we still do not know "&amp;"how to bring me real answers .. very disappointed, I will leave for the competition, which offers me € 75 per month (AXA), for more guarantees, and above all an interlocutor opposite of me !
Very disappointed, do not subscribe to Active Insurance !!")</f>
        <v>To flee !!! I subscribed to car insurance for a Megane 3 Sport Coupé. Insurance costs me € 130 per month. Following "a computer concern", Active Insurance currently leaves € 130 per day! I call customer service which is unable to give me concrete answers, I am not known to tell me if I will be reimbursed, always the same answer gave me "we send your request to the accounting service, we reconcile you in the Best deadlines ", but no news! I call every day, I send emails, and nothing advances ... Currently, almost € 300 have been taken too much. The other samples do not pass, necessarily, I do not have a overdraft authorization higher than my pay! And who says rejection of sample, says agios and rejections costs! New call this day, we still do not know how to bring me real answers .. very disappointed, I will leave for the competition, which offers me € 75 per month (AXA), for more guarantees, and above all an interlocutor opposite of me !
Very disappointed, do not subscribe to Active Insurance !!</v>
      </c>
    </row>
    <row r="204" ht="15.75" customHeight="1">
      <c r="A204" s="2">
        <v>1.0</v>
      </c>
      <c r="B204" s="2" t="s">
        <v>685</v>
      </c>
      <c r="C204" s="2" t="s">
        <v>686</v>
      </c>
      <c r="D204" s="2" t="s">
        <v>376</v>
      </c>
      <c r="E204" s="2" t="s">
        <v>34</v>
      </c>
      <c r="F204" s="2" t="s">
        <v>15</v>
      </c>
      <c r="G204" s="2" t="s">
        <v>687</v>
      </c>
      <c r="H204" s="2" t="s">
        <v>363</v>
      </c>
      <c r="I204" s="2" t="str">
        <f>IFERROR(__xludf.DUMMYFUNCTION("GOOGLETRANSLATE(C204,""fr"",""en"")"),"Mutual which leaves reimbursements in suffering without providing the slightest response to the various requests made. We do not know why, nor how to do so that they are concerned with our 15 reminders (2 months without any news). They blocked the display"&amp;" of their call number on their insured site. This should avoid having very unhappy customer calls. To flee for what I see to this day (former Mutual Axa: Great this one!)")</f>
        <v>Mutual which leaves reimbursements in suffering without providing the slightest response to the various requests made. We do not know why, nor how to do so that they are concerned with our 15 reminders (2 months without any news). They blocked the display of their call number on their insured site. This should avoid having very unhappy customer calls. To flee for what I see to this day (former Mutual Axa: Great this one!)</v>
      </c>
    </row>
    <row r="205" ht="15.75" customHeight="1">
      <c r="A205" s="2">
        <v>1.0</v>
      </c>
      <c r="B205" s="2" t="s">
        <v>688</v>
      </c>
      <c r="C205" s="2" t="s">
        <v>689</v>
      </c>
      <c r="D205" s="2" t="s">
        <v>621</v>
      </c>
      <c r="E205" s="2" t="s">
        <v>66</v>
      </c>
      <c r="F205" s="2" t="s">
        <v>15</v>
      </c>
      <c r="G205" s="2" t="s">
        <v>690</v>
      </c>
      <c r="H205" s="2" t="s">
        <v>167</v>
      </c>
      <c r="I205" s="2" t="str">
        <f>IFERROR(__xludf.DUMMYFUNCTION("GOOGLETRANSLATE(C205,""fr"",""en"")"),"I felt distraught in the face of the incompetence of the people I have had multiple times on the phone at the CNP to get a response to my problem, when they did not hang on to the nose! No explanation for my pb of industrial direct debits on my life insur"&amp;"ance since ... October 2020 !!
So much so that I wonder if there is no diversion of money. They answer that the software cannot be mistaken but if he was not mistaken, he was then manipulated. When I read all the comments, I really ask myself the questio"&amp;"n and I invite everyone to contact a consumer protection organization to initiate a group action.")</f>
        <v>I felt distraught in the face of the incompetence of the people I have had multiple times on the phone at the CNP to get a response to my problem, when they did not hang on to the nose! No explanation for my pb of industrial direct debits on my life insurance since ... October 2020 !!
So much so that I wonder if there is no diversion of money. They answer that the software cannot be mistaken but if he was not mistaken, he was then manipulated. When I read all the comments, I really ask myself the question and I invite everyone to contact a consumer protection organization to initiate a group action.</v>
      </c>
    </row>
    <row r="206" ht="15.75" customHeight="1">
      <c r="A206" s="2">
        <v>2.0</v>
      </c>
      <c r="B206" s="2" t="s">
        <v>691</v>
      </c>
      <c r="C206" s="2" t="s">
        <v>692</v>
      </c>
      <c r="D206" s="2" t="s">
        <v>24</v>
      </c>
      <c r="E206" s="2" t="s">
        <v>14</v>
      </c>
      <c r="F206" s="2" t="s">
        <v>15</v>
      </c>
      <c r="G206" s="2" t="s">
        <v>693</v>
      </c>
      <c r="H206" s="2" t="s">
        <v>694</v>
      </c>
      <c r="I206" s="2" t="str">
        <f>IFERROR(__xludf.DUMMYFUNCTION("GOOGLETRANSLATE(C206,""fr"",""en"")"),"Attractive prices but deplorable customer service.
I still have not received a final green card despite several reminders.
Each call refers to a new advisor.
File 1080159063")</f>
        <v>Attractive prices but deplorable customer service.
I still have not received a final green card despite several reminders.
Each call refers to a new advisor.
File 1080159063</v>
      </c>
    </row>
    <row r="207" ht="15.75" customHeight="1">
      <c r="A207" s="2">
        <v>1.0</v>
      </c>
      <c r="B207" s="2" t="s">
        <v>695</v>
      </c>
      <c r="C207" s="2" t="s">
        <v>696</v>
      </c>
      <c r="D207" s="2" t="s">
        <v>376</v>
      </c>
      <c r="E207" s="2" t="s">
        <v>34</v>
      </c>
      <c r="F207" s="2" t="s">
        <v>15</v>
      </c>
      <c r="G207" s="2" t="s">
        <v>506</v>
      </c>
      <c r="H207" s="2" t="s">
        <v>292</v>
      </c>
      <c r="I207" s="2" t="str">
        <f>IFERROR(__xludf.DUMMYFUNCTION("GOOGLETRANSLATE(C207,""fr"",""en"")"),"Catastrophic! Soon 2 months that it lasts and always portability problem! Still no connection with the CPAM. No matter how much I call them 3 times/week everything is still ok, ""don't worry it's going to be settled quickly""! While waiting between operat"&amp;"ion and hospitalization the bills fall! If they still reimbursed well, not even, dentist and optician you will be from your pocket. mutual imposed by the employer? To flee, I understand their notes better!")</f>
        <v>Catastrophic! Soon 2 months that it lasts and always portability problem! Still no connection with the CPAM. No matter how much I call them 3 times/week everything is still ok, "don't worry it's going to be settled quickly"! While waiting between operation and hospitalization the bills fall! If they still reimbursed well, not even, dentist and optician you will be from your pocket. mutual imposed by the employer? To flee, I understand their notes better!</v>
      </c>
    </row>
    <row r="208" ht="15.75" customHeight="1">
      <c r="A208" s="2">
        <v>3.0</v>
      </c>
      <c r="B208" s="2" t="s">
        <v>697</v>
      </c>
      <c r="C208" s="2" t="s">
        <v>698</v>
      </c>
      <c r="D208" s="2" t="s">
        <v>13</v>
      </c>
      <c r="E208" s="2" t="s">
        <v>14</v>
      </c>
      <c r="F208" s="2" t="s">
        <v>15</v>
      </c>
      <c r="G208" s="2" t="s">
        <v>699</v>
      </c>
      <c r="H208" s="2" t="s">
        <v>108</v>
      </c>
      <c r="I208" s="2" t="str">
        <f>IFERROR(__xludf.DUMMYFUNCTION("GOOGLETRANSLATE(C208,""fr"",""en"")"),"Insurance whose pubs are clear minins dear but what a galley when you have a disaster and that they must be completed on the Internet instead of scanning all simply that filled during the accident. He asks it but it does not work they can not see it ... w"&amp;"e offer us a bodywork in which supposedly in view of our contract will have a car of ùins of 3 years. Result a car of more than 10 years, without petrol, without a lava ice. Voyant lighting engine and I am not talking about the general state of the car.
"&amp;"I was unfortunately 2 affiliated with a statement of which is not responsible for the contract.")</f>
        <v>Insurance whose pubs are clear minins dear but what a galley when you have a disaster and that they must be completed on the Internet instead of scanning all simply that filled during the accident. He asks it but it does not work they can not see it ... we offer us a bodywork in which supposedly in view of our contract will have a car of ùins of 3 years. Result a car of more than 10 years, without petrol, without a lava ice. Voyant lighting engine and I am not talking about the general state of the car.
I was unfortunately 2 affiliated with a statement of which is not responsible for the contract.</v>
      </c>
    </row>
    <row r="209" ht="15.75" customHeight="1">
      <c r="A209" s="2">
        <v>2.0</v>
      </c>
      <c r="B209" s="2" t="s">
        <v>700</v>
      </c>
      <c r="C209" s="2" t="s">
        <v>701</v>
      </c>
      <c r="D209" s="2" t="s">
        <v>45</v>
      </c>
      <c r="E209" s="2" t="s">
        <v>56</v>
      </c>
      <c r="F209" s="2" t="s">
        <v>15</v>
      </c>
      <c r="G209" s="2" t="s">
        <v>702</v>
      </c>
      <c r="H209" s="2" t="s">
        <v>594</v>
      </c>
      <c r="I209" s="2" t="str">
        <f>IFERROR(__xludf.DUMMYFUNCTION("GOOGLETRANSLATE(C209,""fr"",""en"")"),"12/12/2016, I was the victim of a body traffic body accident (not responsible) where I was injured, if the initial consideration of my disaster is not the subject of any comments , follows leaves more to be desired. In early March 2017, I saw the insuranc"&amp;"e expert in insurance and received a provision of 500 euros for my bodily injury. This doctor returned his report in March 2017. I move on to the total lack of information concerning the recovery of the franchise that I had advanced concerning the damage "&amp;"on my machine. Between February and December 2017 I was forced to contact AXA Body Regulations six times to finally receive a transaction report on November 10, 2017 that I returned immediately. Since no news and impossible to contact the manager of this "&amp;"service who despite my messages does not remind me of.
How long does a group like AXA take to compensate its customers?
To date, 14 months after my accident, nine months after seeing the expert doctor AXA, more than a month after having returned the tra"&amp;"nsaction report I am still waiting to be compensated when I have not issued any Note and shows great patience.")</f>
        <v>12/12/2016, I was the victim of a body traffic body accident (not responsible) where I was injured, if the initial consideration of my disaster is not the subject of any comments , follows leaves more to be desired. In early March 2017, I saw the insurance expert in insurance and received a provision of 500 euros for my bodily injury. This doctor returned his report in March 2017. I move on to the total lack of information concerning the recovery of the franchise that I had advanced concerning the damage on my machine. Between February and December 2017 I was forced to contact AXA Body Regulations six times to finally receive a transaction report on November 10, 2017 that I returned immediately. Since no news and impossible to contact the manager of this service who despite my messages does not remind me of.
How long does a group like AXA take to compensate its customers?
To date, 14 months after my accident, nine months after seeing the expert doctor AXA, more than a month after having returned the transaction report I am still waiting to be compensated when I have not issued any Note and shows great patience.</v>
      </c>
    </row>
    <row r="210" ht="15.75" customHeight="1">
      <c r="A210" s="2">
        <v>3.0</v>
      </c>
      <c r="B210" s="2" t="s">
        <v>703</v>
      </c>
      <c r="C210" s="2" t="s">
        <v>704</v>
      </c>
      <c r="D210" s="2" t="s">
        <v>39</v>
      </c>
      <c r="E210" s="2" t="s">
        <v>14</v>
      </c>
      <c r="F210" s="2" t="s">
        <v>15</v>
      </c>
      <c r="G210" s="2" t="s">
        <v>705</v>
      </c>
      <c r="H210" s="2" t="s">
        <v>84</v>
      </c>
      <c r="I210" s="2" t="str">
        <f>IFERROR(__xludf.DUMMYFUNCTION("GOOGLETRANSLATE(C210,""fr"",""en"")"),"We are never satisfied with the catch we would like them to be even lower but the service is very good, the pleasant welcome, easy -to -use website")</f>
        <v>We are never satisfied with the catch we would like them to be even lower but the service is very good, the pleasant welcome, easy -to -use website</v>
      </c>
    </row>
    <row r="211" ht="15.75" customHeight="1">
      <c r="A211" s="2">
        <v>3.0</v>
      </c>
      <c r="B211" s="2" t="s">
        <v>706</v>
      </c>
      <c r="C211" s="2" t="s">
        <v>707</v>
      </c>
      <c r="D211" s="2" t="s">
        <v>13</v>
      </c>
      <c r="E211" s="2" t="s">
        <v>14</v>
      </c>
      <c r="F211" s="2" t="s">
        <v>15</v>
      </c>
      <c r="G211" s="2" t="s">
        <v>708</v>
      </c>
      <c r="H211" s="2" t="s">
        <v>84</v>
      </c>
      <c r="I211" s="2" t="str">
        <f>IFERROR(__xludf.DUMMYFUNCTION("GOOGLETRANSLATE(C211,""fr"",""en"")"),"I am satisfied but I would also like to be able to make monthly payments but I do not succeed. I therefore request help as soon as possible
")</f>
        <v>I am satisfied but I would also like to be able to make monthly payments but I do not succeed. I therefore request help as soon as possible
</v>
      </c>
    </row>
    <row r="212" ht="15.75" customHeight="1">
      <c r="A212" s="2">
        <v>1.0</v>
      </c>
      <c r="B212" s="2" t="s">
        <v>709</v>
      </c>
      <c r="C212" s="2" t="s">
        <v>710</v>
      </c>
      <c r="D212" s="2" t="s">
        <v>13</v>
      </c>
      <c r="E212" s="2" t="s">
        <v>14</v>
      </c>
      <c r="F212" s="2" t="s">
        <v>15</v>
      </c>
      <c r="G212" s="2" t="s">
        <v>711</v>
      </c>
      <c r="H212" s="2" t="s">
        <v>694</v>
      </c>
      <c r="I212" s="2" t="str">
        <f>IFERROR(__xludf.DUMMYFUNCTION("GOOGLETRANSLATE(C212,""fr"",""en"")"),"Unreachable customer service ..... very unpleasant .... I will terminate at the end of the contract ..... I do not recommend ....")</f>
        <v>Unreachable customer service ..... very unpleasant .... I will terminate at the end of the contract ..... I do not recommend ....</v>
      </c>
    </row>
    <row r="213" ht="15.75" customHeight="1">
      <c r="A213" s="2">
        <v>1.0</v>
      </c>
      <c r="B213" s="2" t="s">
        <v>712</v>
      </c>
      <c r="C213" s="2" t="s">
        <v>713</v>
      </c>
      <c r="D213" s="2" t="s">
        <v>106</v>
      </c>
      <c r="E213" s="2" t="s">
        <v>14</v>
      </c>
      <c r="F213" s="2" t="s">
        <v>15</v>
      </c>
      <c r="G213" s="2" t="s">
        <v>714</v>
      </c>
      <c r="H213" s="2" t="s">
        <v>180</v>
      </c>
      <c r="I213" s="2" t="str">
        <f>IFERROR(__xludf.DUMMYFUNCTION("GOOGLETRANSLATE(C213,""fr"",""en"")"),"Good insurance until an accident is to be declared and we realize that the advisers on the phone reject the ball and do not agree with each other ... the Macif or when we are promised Monts et Merveilles ...")</f>
        <v>Good insurance until an accident is to be declared and we realize that the advisers on the phone reject the ball and do not agree with each other ... the Macif or when we are promised Monts et Merveilles ...</v>
      </c>
    </row>
    <row r="214" ht="15.75" customHeight="1">
      <c r="A214" s="2">
        <v>5.0</v>
      </c>
      <c r="B214" s="2" t="s">
        <v>715</v>
      </c>
      <c r="C214" s="2" t="s">
        <v>716</v>
      </c>
      <c r="D214" s="2" t="s">
        <v>13</v>
      </c>
      <c r="E214" s="2" t="s">
        <v>14</v>
      </c>
      <c r="F214" s="2" t="s">
        <v>15</v>
      </c>
      <c r="G214" s="2" t="s">
        <v>247</v>
      </c>
      <c r="H214" s="2" t="s">
        <v>42</v>
      </c>
      <c r="I214" s="2" t="str">
        <f>IFERROR(__xludf.DUMMYFUNCTION("GOOGLETRANSLATE(C214,""fr"",""en"")"),"
Super pleasant and effective listening people during my request, that's why I stay with Eu and more affordable price. So continue as it does not change")</f>
        <v>
Super pleasant and effective listening people during my request, that's why I stay with Eu and more affordable price. So continue as it does not change</v>
      </c>
    </row>
    <row r="215" ht="15.75" customHeight="1">
      <c r="A215" s="2">
        <v>1.0</v>
      </c>
      <c r="B215" s="2" t="s">
        <v>717</v>
      </c>
      <c r="C215" s="2" t="s">
        <v>718</v>
      </c>
      <c r="D215" s="2" t="s">
        <v>28</v>
      </c>
      <c r="E215" s="2" t="s">
        <v>40</v>
      </c>
      <c r="F215" s="2" t="s">
        <v>15</v>
      </c>
      <c r="G215" s="2" t="s">
        <v>719</v>
      </c>
      <c r="H215" s="2" t="s">
        <v>144</v>
      </c>
      <c r="I215" s="2" t="str">
        <f>IFERROR(__xludf.DUMMYFUNCTION("GOOGLETRANSLATE(C215,""fr"",""en"")"),"Here is my tenant had a stripping of the waters, he made a statement at the Matmut his insurer who made a repair quote without coming on site to see the damage! As a result it does not correspond to the amount of repairs (floor, ceiling); Despite several "&amp;"attempts, no answer!")</f>
        <v>Here is my tenant had a stripping of the waters, he made a statement at the Matmut his insurer who made a repair quote without coming on site to see the damage! As a result it does not correspond to the amount of repairs (floor, ceiling); Despite several attempts, no answer!</v>
      </c>
    </row>
    <row r="216" ht="15.75" customHeight="1">
      <c r="A216" s="2">
        <v>3.0</v>
      </c>
      <c r="B216" s="2" t="s">
        <v>720</v>
      </c>
      <c r="C216" s="2" t="s">
        <v>721</v>
      </c>
      <c r="D216" s="2" t="s">
        <v>96</v>
      </c>
      <c r="E216" s="2" t="s">
        <v>97</v>
      </c>
      <c r="F216" s="2" t="s">
        <v>15</v>
      </c>
      <c r="G216" s="2" t="s">
        <v>722</v>
      </c>
      <c r="H216" s="2" t="s">
        <v>131</v>
      </c>
      <c r="I216" s="2" t="str">
        <f>IFERROR(__xludf.DUMMYFUNCTION("GOOGLETRANSLATE(C216,""fr"",""en"")"),"I have been waiting for compensation since 2015! I received a letter of an apology via my advice, however, certifying that the situation would be settled as soon as possible! But nothing on my account! Sending recall emails with my bank details and still "&amp;"pending ....")</f>
        <v>I have been waiting for compensation since 2015! I received a letter of an apology via my advice, however, certifying that the situation would be settled as soon as possible! But nothing on my account! Sending recall emails with my bank details and still pending ....</v>
      </c>
    </row>
    <row r="217" ht="15.75" customHeight="1">
      <c r="A217" s="2">
        <v>1.0</v>
      </c>
      <c r="B217" s="2" t="s">
        <v>723</v>
      </c>
      <c r="C217" s="2" t="s">
        <v>724</v>
      </c>
      <c r="D217" s="2" t="s">
        <v>376</v>
      </c>
      <c r="E217" s="2" t="s">
        <v>34</v>
      </c>
      <c r="F217" s="2" t="s">
        <v>15</v>
      </c>
      <c r="G217" s="2" t="s">
        <v>362</v>
      </c>
      <c r="H217" s="2" t="s">
        <v>363</v>
      </c>
      <c r="I217" s="2" t="str">
        <f>IFERROR(__xludf.DUMMYFUNCTION("GOOGLETRANSLATE(C217,""fr"",""en"")"),"Impossible to be reimbursed despite multiple reminders. They are hardly reachable on the phone and when you have managed to have them, they ask you for the date of the email sent to check. Deplorable customer monitoring. To proscribe absolutely!")</f>
        <v>Impossible to be reimbursed despite multiple reminders. They are hardly reachable on the phone and when you have managed to have them, they ask you for the date of the email sent to check. Deplorable customer monitoring. To proscribe absolutely!</v>
      </c>
    </row>
    <row r="218" ht="15.75" customHeight="1">
      <c r="A218" s="2">
        <v>1.0</v>
      </c>
      <c r="B218" s="2" t="s">
        <v>725</v>
      </c>
      <c r="C218" s="2" t="s">
        <v>726</v>
      </c>
      <c r="D218" s="2" t="s">
        <v>13</v>
      </c>
      <c r="E218" s="2" t="s">
        <v>14</v>
      </c>
      <c r="F218" s="2" t="s">
        <v>15</v>
      </c>
      <c r="G218" s="2" t="s">
        <v>727</v>
      </c>
      <c r="H218" s="2" t="s">
        <v>728</v>
      </c>
      <c r="I218" s="2" t="str">
        <f>IFERROR(__xludf.DUMMYFUNCTION("GOOGLETRANSLATE(C218,""fr"",""en"")"),"They counted me a bodily accident instead of equipment. Impossible to have them on the phone after having managed to talk about it .... in bad service.
There is still a difference between ""bodily accident"" and ""material accident"", right ??
In additi"&amp;"on, another company explained to me that this accident should have had 50% and not 100% responsible for me")</f>
        <v>They counted me a bodily accident instead of equipment. Impossible to have them on the phone after having managed to talk about it .... in bad service.
There is still a difference between "bodily accident" and "material accident", right ??
In addition, another company explained to me that this accident should have had 50% and not 100% responsible for me</v>
      </c>
    </row>
    <row r="219" ht="15.75" customHeight="1">
      <c r="A219" s="2">
        <v>1.0</v>
      </c>
      <c r="B219" s="2" t="s">
        <v>729</v>
      </c>
      <c r="C219" s="2" t="s">
        <v>730</v>
      </c>
      <c r="D219" s="2" t="s">
        <v>731</v>
      </c>
      <c r="E219" s="2" t="s">
        <v>97</v>
      </c>
      <c r="F219" s="2" t="s">
        <v>15</v>
      </c>
      <c r="G219" s="2" t="s">
        <v>732</v>
      </c>
      <c r="H219" s="2" t="s">
        <v>108</v>
      </c>
      <c r="I219" s="2" t="str">
        <f>IFERROR(__xludf.DUMMYFUNCTION("GOOGLETRANSLATE(C219,""fr"",""en"")"),"Not objective ... too superficial does not seek to know the customers and injuries in their words without giving any information in the event of refusal in relation to a not so important pathology but because of them without taking diplomacy persuades you"&amp;" that your life only holds a thread and you are going to die tomorrow .... to really avoid if you don't want to commit suicide after their answer .....")</f>
        <v>Not objective ... too superficial does not seek to know the customers and injuries in their words without giving any information in the event of refusal in relation to a not so important pathology but because of them without taking diplomacy persuades you that your life only holds a thread and you are going to die tomorrow .... to really avoid if you don't want to commit suicide after their answer .....</v>
      </c>
    </row>
    <row r="220" ht="15.75" customHeight="1">
      <c r="A220" s="2">
        <v>1.0</v>
      </c>
      <c r="B220" s="2" t="s">
        <v>733</v>
      </c>
      <c r="C220" s="2" t="s">
        <v>734</v>
      </c>
      <c r="D220" s="2" t="s">
        <v>625</v>
      </c>
      <c r="E220" s="2" t="s">
        <v>34</v>
      </c>
      <c r="F220" s="2" t="s">
        <v>15</v>
      </c>
      <c r="G220" s="2" t="s">
        <v>735</v>
      </c>
      <c r="H220" s="2" t="s">
        <v>84</v>
      </c>
      <c r="I220" s="2" t="str">
        <f>IFERROR(__xludf.DUMMYFUNCTION("GOOGLETRANSLATE(C220,""fr"",""en"")"),"Hello,
Especially grace! Leave this insurance which borders on legal proceedings no serious! No answer only capable of collecting contributions !!
I have just launched a research notice via what to choose ... and am in legal proceedings via a complaint "&amp;"with a public prosecutor procedure in progress ....
Please leave this insurance and especially not to subscribe !!!!!
Yours")</f>
        <v>Hello,
Especially grace! Leave this insurance which borders on legal proceedings no serious! No answer only capable of collecting contributions !!
I have just launched a research notice via what to choose ... and am in legal proceedings via a complaint with a public prosecutor procedure in progress ....
Please leave this insurance and especially not to subscribe !!!!!
Yours</v>
      </c>
    </row>
    <row r="221" ht="15.75" customHeight="1">
      <c r="A221" s="2">
        <v>2.0</v>
      </c>
      <c r="B221" s="2" t="s">
        <v>736</v>
      </c>
      <c r="C221" s="2" t="s">
        <v>737</v>
      </c>
      <c r="D221" s="2" t="s">
        <v>13</v>
      </c>
      <c r="E221" s="2" t="s">
        <v>14</v>
      </c>
      <c r="F221" s="2" t="s">
        <v>15</v>
      </c>
      <c r="G221" s="2" t="s">
        <v>738</v>
      </c>
      <c r="H221" s="2" t="s">
        <v>128</v>
      </c>
      <c r="I221" s="2" t="str">
        <f>IFERROR(__xludf.DUMMYFUNCTION("GOOGLETRANSLATE(C221,""fr"",""en"")"),"I find my contribution a little expensive compared to my history I want my subscription to be reviewed, I have never received a commercial offer from you")</f>
        <v>I find my contribution a little expensive compared to my history I want my subscription to be reviewed, I have never received a commercial offer from you</v>
      </c>
    </row>
    <row r="222" ht="15.75" customHeight="1">
      <c r="A222" s="2">
        <v>3.0</v>
      </c>
      <c r="B222" s="2" t="s">
        <v>739</v>
      </c>
      <c r="C222" s="2" t="s">
        <v>740</v>
      </c>
      <c r="D222" s="2" t="s">
        <v>13</v>
      </c>
      <c r="E222" s="2" t="s">
        <v>14</v>
      </c>
      <c r="F222" s="2" t="s">
        <v>15</v>
      </c>
      <c r="G222" s="2" t="s">
        <v>741</v>
      </c>
      <c r="H222" s="2" t="s">
        <v>42</v>
      </c>
      <c r="I222" s="2" t="str">
        <f>IFERROR(__xludf.DUMMYFUNCTION("GOOGLETRANSLATE(C222,""fr"",""en"")"),"It seems correct to me at the moment, I have just subscribed to my first insurance with you so impossible to judge. The forms filled are correct, not hyper aesthetic ...")</f>
        <v>It seems correct to me at the moment, I have just subscribed to my first insurance with you so impossible to judge. The forms filled are correct, not hyper aesthetic ...</v>
      </c>
    </row>
    <row r="223" ht="15.75" customHeight="1">
      <c r="A223" s="2">
        <v>1.0</v>
      </c>
      <c r="B223" s="2" t="s">
        <v>742</v>
      </c>
      <c r="C223" s="2" t="s">
        <v>743</v>
      </c>
      <c r="D223" s="2" t="s">
        <v>376</v>
      </c>
      <c r="E223" s="2" t="s">
        <v>34</v>
      </c>
      <c r="F223" s="2" t="s">
        <v>15</v>
      </c>
      <c r="G223" s="2" t="s">
        <v>744</v>
      </c>
      <c r="H223" s="2" t="s">
        <v>225</v>
      </c>
      <c r="I223" s="2" t="str">
        <f>IFERROR(__xludf.DUMMYFUNCTION("GOOGLETRANSLATE(C223,""fr"",""en"")"),"Mutual totally disorganized
Standard Catastrophic Telephone Interminable Waiting Music
To avoid absolutely
Catastrophic customer service
Obviously the manager do not do much")</f>
        <v>Mutual totally disorganized
Standard Catastrophic Telephone Interminable Waiting Music
To avoid absolutely
Catastrophic customer service
Obviously the manager do not do much</v>
      </c>
    </row>
    <row r="224" ht="15.75" customHeight="1">
      <c r="A224" s="2">
        <v>1.0</v>
      </c>
      <c r="B224" s="2" t="s">
        <v>745</v>
      </c>
      <c r="C224" s="2" t="s">
        <v>746</v>
      </c>
      <c r="D224" s="2" t="s">
        <v>416</v>
      </c>
      <c r="E224" s="2" t="s">
        <v>34</v>
      </c>
      <c r="F224" s="2" t="s">
        <v>15</v>
      </c>
      <c r="G224" s="2" t="s">
        <v>747</v>
      </c>
      <c r="H224" s="2" t="s">
        <v>194</v>
      </c>
      <c r="I224" s="2" t="str">
        <f>IFERROR(__xludf.DUMMYFUNCTION("GOOGLETRANSLATE(C224,""fr"",""en"")"),"The worst mutual insurance company !!! After a dozen calls and complaints, the problem of remote transmission is still not resolved! Make months to process a request ... lack of professionalism! I pay a mutual that ultimately does not honor its share of t"&amp;"he contract!")</f>
        <v>The worst mutual insurance company !!! After a dozen calls and complaints, the problem of remote transmission is still not resolved! Make months to process a request ... lack of professionalism! I pay a mutual that ultimately does not honor its share of the contract!</v>
      </c>
    </row>
    <row r="225" ht="15.75" customHeight="1">
      <c r="A225" s="2">
        <v>1.0</v>
      </c>
      <c r="B225" s="2" t="s">
        <v>748</v>
      </c>
      <c r="C225" s="2" t="s">
        <v>749</v>
      </c>
      <c r="D225" s="2" t="s">
        <v>406</v>
      </c>
      <c r="E225" s="2" t="s">
        <v>40</v>
      </c>
      <c r="F225" s="2" t="s">
        <v>15</v>
      </c>
      <c r="G225" s="2" t="s">
        <v>750</v>
      </c>
      <c r="H225" s="2" t="s">
        <v>536</v>
      </c>
      <c r="I225" s="2" t="str">
        <f>IFERROR(__xludf.DUMMYFUNCTION("GOOGLETRANSLATE(C225,""fr"",""en"")"),"I signed a habitat insurance contract following the advertising seen on TV and happy with the services of my bank as well as my banker even with a higher price than my former insurance because I was offered more guarantees.
Following a burglary, I contac"&amp;"t the insurance which processes my file very quickly, at the beginning very happy, pleasant interlocutor on the phone who explains all the steps to follow, following that I am told that an expert will move to Me, I receive a call, ultimately, the expert w"&amp;"ho gives me a law lesson, there I begin to understand that I am preparing to minimize the compensation.
A few weeks later I receive a refund, I do not understand I am barely reimbursed less than 15% of the value of my goods, I then ask for the details of"&amp;" the reimbursements. There is no consistency in terms of reimbursements, I am not reimbursed for gifts even with invoices (I am told that they are not in my name, I do not understand it is gifts purchased by friends), goods On photos miserable refund.
I "&amp;"make a detailed letter to the insurance that answers me with type mail which has nothing with my request.
By chatting with friends who got robbed I realize that I am very badly loti with my insurance.
Unfortunately I am very happy with my bank, but very"&amp;" disappointed with the insurance subscribed to them.
Speaking with friends who are insured elsewhere and who have been robbed,
I tell myself that I made the wrong choice by choosing this insurance especially for a first disaster that I had with them.
T"&amp;"o flee, especially with a higher price than competition.
More guarantees to sign the contract for less reimbursement in the end.")</f>
        <v>I signed a habitat insurance contract following the advertising seen on TV and happy with the services of my bank as well as my banker even with a higher price than my former insurance because I was offered more guarantees.
Following a burglary, I contact the insurance which processes my file very quickly, at the beginning very happy, pleasant interlocutor on the phone who explains all the steps to follow, following that I am told that an expert will move to Me, I receive a call, ultimately, the expert who gives me a law lesson, there I begin to understand that I am preparing to minimize the compensation.
A few weeks later I receive a refund, I do not understand I am barely reimbursed less than 15% of the value of my goods, I then ask for the details of the reimbursements. There is no consistency in terms of reimbursements, I am not reimbursed for gifts even with invoices (I am told that they are not in my name, I do not understand it is gifts purchased by friends), goods On photos miserable refund.
I make a detailed letter to the insurance that answers me with type mail which has nothing with my request.
By chatting with friends who got robbed I realize that I am very badly loti with my insurance.
Unfortunately I am very happy with my bank, but very disappointed with the insurance subscribed to them.
Speaking with friends who are insured elsewhere and who have been robbed,
I tell myself that I made the wrong choice by choosing this insurance especially for a first disaster that I had with them.
To flee, especially with a higher price than competition.
More guarantees to sign the contract for less reimbursement in the end.</v>
      </c>
    </row>
    <row r="226" ht="15.75" customHeight="1">
      <c r="A226" s="2">
        <v>4.0</v>
      </c>
      <c r="B226" s="2" t="s">
        <v>751</v>
      </c>
      <c r="C226" s="2" t="s">
        <v>752</v>
      </c>
      <c r="D226" s="2" t="s">
        <v>24</v>
      </c>
      <c r="E226" s="2" t="s">
        <v>14</v>
      </c>
      <c r="F226" s="2" t="s">
        <v>15</v>
      </c>
      <c r="G226" s="2" t="s">
        <v>605</v>
      </c>
      <c r="H226" s="2" t="s">
        <v>42</v>
      </c>
      <c r="I226" s="2" t="str">
        <f>IFERROR(__xludf.DUMMYFUNCTION("GOOGLETRANSLATE(C226,""fr"",""en"")"),"I am rather satisfied, simple site to use, information requested simple to find, the price is generally advantageous compared to other companies")</f>
        <v>I am rather satisfied, simple site to use, information requested simple to find, the price is generally advantageous compared to other companies</v>
      </c>
    </row>
    <row r="227" ht="15.75" customHeight="1">
      <c r="A227" s="2">
        <v>3.0</v>
      </c>
      <c r="B227" s="2" t="s">
        <v>753</v>
      </c>
      <c r="C227" s="2" t="s">
        <v>754</v>
      </c>
      <c r="D227" s="2" t="s">
        <v>134</v>
      </c>
      <c r="E227" s="2" t="s">
        <v>56</v>
      </c>
      <c r="F227" s="2" t="s">
        <v>15</v>
      </c>
      <c r="G227" s="2" t="s">
        <v>755</v>
      </c>
      <c r="H227" s="2" t="s">
        <v>42</v>
      </c>
      <c r="I227" s="2" t="str">
        <f>IFERROR(__xludf.DUMMYFUNCTION("GOOGLETRANSLATE(C227,""fr"",""en"")"),"I am satisfied with the prices of the speed of Hadesion of the quality of the questions I wish to have the ease of having my quick insurance if not satisfied")</f>
        <v>I am satisfied with the prices of the speed of Hadesion of the quality of the questions I wish to have the ease of having my quick insurance if not satisfied</v>
      </c>
    </row>
    <row r="228" ht="15.75" customHeight="1">
      <c r="A228" s="2">
        <v>4.0</v>
      </c>
      <c r="B228" s="2" t="s">
        <v>756</v>
      </c>
      <c r="C228" s="2" t="s">
        <v>757</v>
      </c>
      <c r="D228" s="2" t="s">
        <v>246</v>
      </c>
      <c r="E228" s="2" t="s">
        <v>34</v>
      </c>
      <c r="F228" s="2" t="s">
        <v>15</v>
      </c>
      <c r="G228" s="2" t="s">
        <v>57</v>
      </c>
      <c r="H228" s="2" t="s">
        <v>21</v>
      </c>
      <c r="I228" s="2" t="str">
        <f>IFERROR(__xludf.DUMMYFUNCTION("GOOGLETRANSLATE(C228,""fr"",""en"")"),"Following my telephone conversation today, I was very satisfied with the answers that my interlocutor given me. Very professional, responsiveness, and professionalism were there.
Thank you so much.")</f>
        <v>Following my telephone conversation today, I was very satisfied with the answers that my interlocutor given me. Very professional, responsiveness, and professionalism were there.
Thank you so much.</v>
      </c>
    </row>
    <row r="229" ht="15.75" customHeight="1">
      <c r="A229" s="2">
        <v>3.0</v>
      </c>
      <c r="B229" s="2" t="s">
        <v>758</v>
      </c>
      <c r="C229" s="2" t="s">
        <v>759</v>
      </c>
      <c r="D229" s="2" t="s">
        <v>13</v>
      </c>
      <c r="E229" s="2" t="s">
        <v>14</v>
      </c>
      <c r="F229" s="2" t="s">
        <v>15</v>
      </c>
      <c r="G229" s="2" t="s">
        <v>760</v>
      </c>
      <c r="H229" s="2" t="s">
        <v>42</v>
      </c>
      <c r="I229" s="2" t="str">
        <f>IFERROR(__xludf.DUMMYFUNCTION("GOOGLETRANSLATE(C229,""fr"",""en"")")," To see in use. The base price increases very quickly as soon as we add some options. In addition, an additional 30 euros just for a break in ice is a bit excessive.")</f>
        <v> To see in use. The base price increases very quickly as soon as we add some options. In addition, an additional 30 euros just for a break in ice is a bit excessive.</v>
      </c>
    </row>
    <row r="230" ht="15.75" customHeight="1">
      <c r="A230" s="2">
        <v>3.0</v>
      </c>
      <c r="B230" s="2" t="s">
        <v>761</v>
      </c>
      <c r="C230" s="2" t="s">
        <v>762</v>
      </c>
      <c r="D230" s="2" t="s">
        <v>24</v>
      </c>
      <c r="E230" s="2" t="s">
        <v>14</v>
      </c>
      <c r="F230" s="2" t="s">
        <v>15</v>
      </c>
      <c r="G230" s="2" t="s">
        <v>763</v>
      </c>
      <c r="H230" s="2" t="s">
        <v>764</v>
      </c>
      <c r="I230" s="2" t="str">
        <f>IFERROR(__xludf.DUMMYFUNCTION("GOOGLETRANSLATE(C230,""fr"",""en"")"),"Ok suitable price and efficient service I am generally satisfied even if this insurer knows the same faults as others (general complexity)")</f>
        <v>Ok suitable price and efficient service I am generally satisfied even if this insurer knows the same faults as others (general complexity)</v>
      </c>
    </row>
    <row r="231" ht="15.75" customHeight="1">
      <c r="A231" s="2">
        <v>3.0</v>
      </c>
      <c r="B231" s="2" t="s">
        <v>765</v>
      </c>
      <c r="C231" s="2" t="s">
        <v>766</v>
      </c>
      <c r="D231" s="2" t="s">
        <v>13</v>
      </c>
      <c r="E231" s="2" t="s">
        <v>14</v>
      </c>
      <c r="F231" s="2" t="s">
        <v>15</v>
      </c>
      <c r="G231" s="2" t="s">
        <v>515</v>
      </c>
      <c r="H231" s="2" t="s">
        <v>52</v>
      </c>
      <c r="I231" s="2" t="str">
        <f>IFERROR(__xludf.DUMMYFUNCTION("GOOGLETRANSLATE(C231,""fr"",""en"")"),"The transmission of parts is laborious by smartphone. The prices are interesting but I hope it will not happen to me with regard to the applied franchises. AIPP 10% is abominable. In summary, compulsory insurance but not real coverage.")</f>
        <v>The transmission of parts is laborious by smartphone. The prices are interesting but I hope it will not happen to me with regard to the applied franchises. AIPP 10% is abominable. In summary, compulsory insurance but not real coverage.</v>
      </c>
    </row>
    <row r="232" ht="15.75" customHeight="1">
      <c r="A232" s="2">
        <v>1.0</v>
      </c>
      <c r="B232" s="2" t="s">
        <v>767</v>
      </c>
      <c r="C232" s="2" t="s">
        <v>768</v>
      </c>
      <c r="D232" s="2" t="s">
        <v>416</v>
      </c>
      <c r="E232" s="2" t="s">
        <v>34</v>
      </c>
      <c r="F232" s="2" t="s">
        <v>15</v>
      </c>
      <c r="G232" s="2" t="s">
        <v>410</v>
      </c>
      <c r="H232" s="2" t="s">
        <v>108</v>
      </c>
      <c r="I232" s="2" t="str">
        <f>IFERROR(__xludf.DUMMYFUNCTION("GOOGLETRANSLATE(C232,""fr"",""en"")"),"This mutual is a real disaster! We have been registered since January 1, 2019. We are on February 18, 2019 and we have still not received our mutual cards. I had phoned to report the problem dated January 31. We had been told said (without any excuse) tha"&amp;"t we were going to receive our mutual card on February 15 without fault and that by waiting, we had to make the advance of all costs!
I was trying to call them and no one answers the phone!
I strongly recommend this mutual. We are far from being in ha"&amp;"rmony with our health!")</f>
        <v>This mutual is a real disaster! We have been registered since January 1, 2019. We are on February 18, 2019 and we have still not received our mutual cards. I had phoned to report the problem dated January 31. We had been told said (without any excuse) that we were going to receive our mutual card on February 15 without fault and that by waiting, we had to make the advance of all costs!
I was trying to call them and no one answers the phone!
I strongly recommend this mutual. We are far from being in harmony with our health!</v>
      </c>
    </row>
    <row r="233" ht="15.75" customHeight="1">
      <c r="A233" s="2">
        <v>4.0</v>
      </c>
      <c r="B233" s="2" t="s">
        <v>769</v>
      </c>
      <c r="C233" s="2" t="s">
        <v>770</v>
      </c>
      <c r="D233" s="2" t="s">
        <v>13</v>
      </c>
      <c r="E233" s="2" t="s">
        <v>14</v>
      </c>
      <c r="F233" s="2" t="s">
        <v>15</v>
      </c>
      <c r="G233" s="2" t="s">
        <v>771</v>
      </c>
      <c r="H233" s="2" t="s">
        <v>52</v>
      </c>
      <c r="I233" s="2" t="str">
        <f>IFERROR(__xludf.DUMMYFUNCTION("GOOGLETRANSLATE(C233,""fr"",""en"")"),"The prices are affordable and the responses via the internet. The site seems clear
Insurance that I can advise a loved one.
Just that sometimes the waiting time by phone is far too long")</f>
        <v>The prices are affordable and the responses via the internet. The site seems clear
Insurance that I can advise a loved one.
Just that sometimes the waiting time by phone is far too long</v>
      </c>
    </row>
    <row r="234" ht="15.75" customHeight="1">
      <c r="A234" s="2">
        <v>1.0</v>
      </c>
      <c r="B234" s="2" t="s">
        <v>772</v>
      </c>
      <c r="C234" s="2" t="s">
        <v>773</v>
      </c>
      <c r="D234" s="2" t="s">
        <v>13</v>
      </c>
      <c r="E234" s="2" t="s">
        <v>14</v>
      </c>
      <c r="F234" s="2" t="s">
        <v>15</v>
      </c>
      <c r="G234" s="2" t="s">
        <v>52</v>
      </c>
      <c r="H234" s="2" t="s">
        <v>52</v>
      </c>
      <c r="I234" s="2" t="str">
        <f>IFERROR(__xludf.DUMMYFUNCTION("GOOGLETRANSLATE(C234,""fr"",""en"")"),"Correct prices in the 1st year then increase of 12% from the start of the 2nd. The prices are therefore competitive only in the 1st year. So to be terminated after the 1st year")</f>
        <v>Correct prices in the 1st year then increase of 12% from the start of the 2nd. The prices are therefore competitive only in the 1st year. So to be terminated after the 1st year</v>
      </c>
    </row>
    <row r="235" ht="15.75" customHeight="1">
      <c r="A235" s="2">
        <v>3.0</v>
      </c>
      <c r="B235" s="2" t="s">
        <v>774</v>
      </c>
      <c r="C235" s="2" t="s">
        <v>775</v>
      </c>
      <c r="D235" s="2" t="s">
        <v>13</v>
      </c>
      <c r="E235" s="2" t="s">
        <v>14</v>
      </c>
      <c r="F235" s="2" t="s">
        <v>15</v>
      </c>
      <c r="G235" s="2" t="s">
        <v>776</v>
      </c>
      <c r="H235" s="2" t="s">
        <v>52</v>
      </c>
      <c r="I235" s="2" t="str">
        <f>IFERROR(__xludf.DUMMYFUNCTION("GOOGLETRANSLATE(C235,""fr"",""en"")"),"1st contact by such very good. Listening to requests. Correct price. Simple and quick subscription. Very practical email treatment. Only downside the sending of the parts, in my case an element has still not been processed, while I transmitted it twice an"&amp;"d if the latter did not validate before the end of the month the contract is terminated.
")</f>
        <v>1st contact by such very good. Listening to requests. Correct price. Simple and quick subscription. Very practical email treatment. Only downside the sending of the parts, in my case an element has still not been processed, while I transmitted it twice and if the latter did not validate before the end of the month the contract is terminated.
</v>
      </c>
    </row>
    <row r="236" ht="15.75" customHeight="1">
      <c r="A236" s="2">
        <v>2.0</v>
      </c>
      <c r="B236" s="2" t="s">
        <v>777</v>
      </c>
      <c r="C236" s="2" t="s">
        <v>778</v>
      </c>
      <c r="D236" s="2" t="s">
        <v>39</v>
      </c>
      <c r="E236" s="2" t="s">
        <v>14</v>
      </c>
      <c r="F236" s="2" t="s">
        <v>15</v>
      </c>
      <c r="G236" s="2" t="s">
        <v>779</v>
      </c>
      <c r="H236" s="2" t="s">
        <v>81</v>
      </c>
      <c r="I236" s="2" t="str">
        <f>IFERROR(__xludf.DUMMYFUNCTION("GOOGLETRANSLATE(C236,""fr"",""en"")"),"Following a battery failure at my home and 8 1/2 months old, I ask (for the 1st time) assistance. The advisor explains to me that I can either take the convenience store and pay it to him, or provide mine and do not owe anything.
My spouse therefore buys"&amp;" a battery. When the convenience store arrives, it refuses to install my battery due to a warranty if it did not work, which seems logical. It starts the car to me, which allows me to recharge it a little but cannot move very far because prohibited from c"&amp;"ar and especially not an appointment on the garage immediately .... I let the car run day and night ?? Luckily, the car restarts for a few days!
Again broke up (which had to happen ...), I remind them for the assistance, I am explained to me (and we insi"&amp;"st on the fact) that it will be the last intervention for the current year! I try to explain that I have not been recommended as it should be the first time (I would have been told to take the convenience store, it was settled), that I do not consider hav"&amp;"ing been assisted correctly but the No one on the phone does not hear, never calls into question the GMF advisor and above all stiffens me that it will be the last intervention of the year .... thank you but for the time being I am broken and need a Car b"&amp;"ecause not want to give birth at home .... nothing to do, no listening, except to repeat my sentence: ""It will be the last time"" which had to be written on his telephone protocol ...... ""GMF Certainly human ""who said !!!")</f>
        <v>Following a battery failure at my home and 8 1/2 months old, I ask (for the 1st time) assistance. The advisor explains to me that I can either take the convenience store and pay it to him, or provide mine and do not owe anything.
My spouse therefore buys a battery. When the convenience store arrives, it refuses to install my battery due to a warranty if it did not work, which seems logical. It starts the car to me, which allows me to recharge it a little but cannot move very far because prohibited from car and especially not an appointment on the garage immediately .... I let the car run day and night ?? Luckily, the car restarts for a few days!
Again broke up (which had to happen ...), I remind them for the assistance, I am explained to me (and we insist on the fact) that it will be the last intervention for the current year! I try to explain that I have not been recommended as it should be the first time (I would have been told to take the convenience store, it was settled), that I do not consider having been assisted correctly but the No one on the phone does not hear, never calls into question the GMF advisor and above all stiffens me that it will be the last intervention of the year .... thank you but for the time being I am broken and need a Car because not want to give birth at home .... nothing to do, no listening, except to repeat my sentence: "It will be the last time" which had to be written on his telephone protocol ...... "GMF Certainly human "who said !!!</v>
      </c>
    </row>
    <row r="237" ht="15.75" customHeight="1">
      <c r="A237" s="2">
        <v>5.0</v>
      </c>
      <c r="B237" s="2" t="s">
        <v>780</v>
      </c>
      <c r="C237" s="2" t="s">
        <v>781</v>
      </c>
      <c r="D237" s="2" t="s">
        <v>13</v>
      </c>
      <c r="E237" s="2" t="s">
        <v>14</v>
      </c>
      <c r="F237" s="2" t="s">
        <v>15</v>
      </c>
      <c r="G237" s="2" t="s">
        <v>555</v>
      </c>
      <c r="H237" s="2" t="s">
        <v>42</v>
      </c>
      <c r="I237" s="2" t="str">
        <f>IFERROR(__xludf.DUMMYFUNCTION("GOOGLETRANSLATE(C237,""fr"",""en"")"),"Price satisifier - For the rest we will see at the time of use - effective and understanding of the solutions proposed - easy to use.")</f>
        <v>Price satisifier - For the rest we will see at the time of use - effective and understanding of the solutions proposed - easy to use.</v>
      </c>
    </row>
    <row r="238" ht="15.75" customHeight="1">
      <c r="A238" s="2">
        <v>1.0</v>
      </c>
      <c r="B238" s="2" t="s">
        <v>782</v>
      </c>
      <c r="C238" s="2" t="s">
        <v>783</v>
      </c>
      <c r="D238" s="2" t="s">
        <v>376</v>
      </c>
      <c r="E238" s="2" t="s">
        <v>34</v>
      </c>
      <c r="F238" s="2" t="s">
        <v>15</v>
      </c>
      <c r="G238" s="2" t="s">
        <v>784</v>
      </c>
      <c r="H238" s="2" t="s">
        <v>292</v>
      </c>
      <c r="I238" s="2" t="str">
        <f>IFERROR(__xludf.DUMMYFUNCTION("GOOGLETRANSLATE(C238,""fr"",""en"")"),"Hello I come to this site because a lot of problems with my Mercer health insurance because I asked for my son who was born on September 3, 2020 on insurance and we wanted to change the formula in now. So we say for changing formula we have to wait until "&amp;"Janviers we have done. My even temps I ask to do the attachment with Social Security for those who reimburse the problem with the problem and there happens from the problems waiting for its fact for 5 months the cpam they do its in 1 week. is the day afte"&amp;"r the next day, they have been taken into account our change of formula since September 3, my it is asking for the deference of September to Janviers no my the SA them which does not need the necessary and it asks me to pay the difference. Is still mine w"&amp;"e have been asked for 2 years to take from another account we send the RIB and everything and not understood taken from the other always.")</f>
        <v>Hello I come to this site because a lot of problems with my Mercer health insurance because I asked for my son who was born on September 3, 2020 on insurance and we wanted to change the formula in now. So we say for changing formula we have to wait until Janviers we have done. My even temps I ask to do the attachment with Social Security for those who reimburse the problem with the problem and there happens from the problems waiting for its fact for 5 months the cpam they do its in 1 week. is the day after the next day, they have been taken into account our change of formula since September 3, my it is asking for the deference of September to Janviers no my the SA them which does not need the necessary and it asks me to pay the difference. Is still mine we have been asked for 2 years to take from another account we send the RIB and everything and not understood taken from the other always.</v>
      </c>
    </row>
    <row r="239" ht="15.75" customHeight="1">
      <c r="A239" s="2">
        <v>2.0</v>
      </c>
      <c r="B239" s="2" t="s">
        <v>785</v>
      </c>
      <c r="C239" s="2" t="s">
        <v>786</v>
      </c>
      <c r="D239" s="2" t="s">
        <v>209</v>
      </c>
      <c r="E239" s="2" t="s">
        <v>40</v>
      </c>
      <c r="F239" s="2" t="s">
        <v>15</v>
      </c>
      <c r="G239" s="2" t="s">
        <v>787</v>
      </c>
      <c r="H239" s="2" t="s">
        <v>788</v>
      </c>
      <c r="I239" s="2" t="str">
        <f>IFERROR(__xludf.DUMMYFUNCTION("GOOGLETRANSLATE(C239,""fr"",""en"")"),"Following a recent disaster (break -in at my home), I had the wrong experience of realizing how much the Maaf tried to escape its role as an insurer ...
Although these are obliged to take charge of my repairs (Civil Code, General and Particular Condition"&amp;"s of my contract), the MAAF desperately tries not to satisfy these obligations by methods of intimidation and bad faith ...
Being a lawyer, I have no doubt that I will have won, but at what price !!
The prices are attractive, but I doubt their good fait"&amp;"h.
To avoid.")</f>
        <v>Following a recent disaster (break -in at my home), I had the wrong experience of realizing how much the Maaf tried to escape its role as an insurer ...
Although these are obliged to take charge of my repairs (Civil Code, General and Particular Conditions of my contract), the MAAF desperately tries not to satisfy these obligations by methods of intimidation and bad faith ...
Being a lawyer, I have no doubt that I will have won, but at what price !!
The prices are attractive, but I doubt their good faith.
To avoid.</v>
      </c>
    </row>
    <row r="240" ht="15.75" customHeight="1">
      <c r="A240" s="2">
        <v>1.0</v>
      </c>
      <c r="B240" s="2" t="s">
        <v>789</v>
      </c>
      <c r="C240" s="2" t="s">
        <v>790</v>
      </c>
      <c r="D240" s="2" t="s">
        <v>376</v>
      </c>
      <c r="E240" s="2" t="s">
        <v>34</v>
      </c>
      <c r="F240" s="2" t="s">
        <v>15</v>
      </c>
      <c r="G240" s="2" t="s">
        <v>791</v>
      </c>
      <c r="H240" s="2" t="s">
        <v>536</v>
      </c>
      <c r="I240" s="2" t="str">
        <f>IFERROR(__xludf.DUMMYFUNCTION("GOOGLETRANSLATE(C240,""fr"",""en"")"),"To flee the processing of files when they are processed with more than two months of customer service deadlines which takes you for foolish emails not treated
Do not take into account your requests either by email or by phone
")</f>
        <v>To flee the processing of files when they are processed with more than two months of customer service deadlines which takes you for foolish emails not treated
Do not take into account your requests either by email or by phone
</v>
      </c>
    </row>
    <row r="241" ht="15.75" customHeight="1">
      <c r="A241" s="2">
        <v>1.0</v>
      </c>
      <c r="B241" s="2" t="s">
        <v>792</v>
      </c>
      <c r="C241" s="2" t="s">
        <v>793</v>
      </c>
      <c r="D241" s="2" t="s">
        <v>246</v>
      </c>
      <c r="E241" s="2" t="s">
        <v>34</v>
      </c>
      <c r="F241" s="2" t="s">
        <v>15</v>
      </c>
      <c r="G241" s="2" t="s">
        <v>794</v>
      </c>
      <c r="H241" s="2" t="s">
        <v>594</v>
      </c>
      <c r="I241" s="2" t="str">
        <f>IFERROR(__xludf.DUMMYFUNCTION("GOOGLETRANSLATE(C241,""fr"",""en"")"),"I am looking for a mutual for dental care ... I was contacted by phone by a person from Santiane, who was very aggressive, who supported me that there was with their partner a formula at 50 euros per month without any refund ceiling !!!
When I told him t"&amp;"hat anyway, I would not take out anything today, because I want to compare with the competition, it has become even more aggressive, and ended up hanging on the nose ...
To flee ahead ...")</f>
        <v>I am looking for a mutual for dental care ... I was contacted by phone by a person from Santiane, who was very aggressive, who supported me that there was with their partner a formula at 50 euros per month without any refund ceiling !!!
When I told him that anyway, I would not take out anything today, because I want to compare with the competition, it has become even more aggressive, and ended up hanging on the nose ...
To flee ahead ...</v>
      </c>
    </row>
    <row r="242" ht="15.75" customHeight="1">
      <c r="A242" s="2">
        <v>1.0</v>
      </c>
      <c r="B242" s="2" t="s">
        <v>795</v>
      </c>
      <c r="C242" s="2" t="s">
        <v>796</v>
      </c>
      <c r="D242" s="2" t="s">
        <v>79</v>
      </c>
      <c r="E242" s="2" t="s">
        <v>14</v>
      </c>
      <c r="F242" s="2" t="s">
        <v>15</v>
      </c>
      <c r="G242" s="2" t="s">
        <v>797</v>
      </c>
      <c r="H242" s="2" t="s">
        <v>798</v>
      </c>
      <c r="I242" s="2" t="str">
        <f>IFERROR(__xludf.DUMMYFUNCTION("GOOGLETRANSLATE(C242,""fr"",""en"")"),"Untrustworthy. In principle I will open a legal action because it is intolerable to let a society act in this way. I learned that my contract was suspended for lack of documents when all the documents were sent in time. They lose the pieces where they are"&amp;" poorly organized or it is voluntary and in this case it is tort. After a complaint, we invite you to establish a new quote and pay new deposits to relaunch the file and we redirect you to a surcharged number at almost 1 € per minute, be careful, without "&amp;"specifying it in the email. A well -organized way to punctuate the supposed economy of the first quote. I asked for reimbursement because I have paid everything, since it's radio silence.
run away to run away
It is not a company that will restore the co"&amp;"at of arms of the profession. I do not imagine the situation in the event of a disaster.")</f>
        <v>Untrustworthy. In principle I will open a legal action because it is intolerable to let a society act in this way. I learned that my contract was suspended for lack of documents when all the documents were sent in time. They lose the pieces where they are poorly organized or it is voluntary and in this case it is tort. After a complaint, we invite you to establish a new quote and pay new deposits to relaunch the file and we redirect you to a surcharged number at almost 1 € per minute, be careful, without specifying it in the email. A well -organized way to punctuate the supposed economy of the first quote. I asked for reimbursement because I have paid everything, since it's radio silence.
run away to run away
It is not a company that will restore the coat of arms of the profession. I do not imagine the situation in the event of a disaster.</v>
      </c>
    </row>
    <row r="243" ht="15.75" customHeight="1">
      <c r="A243" s="2">
        <v>5.0</v>
      </c>
      <c r="B243" s="2" t="s">
        <v>799</v>
      </c>
      <c r="C243" s="2" t="s">
        <v>800</v>
      </c>
      <c r="D243" s="2" t="s">
        <v>24</v>
      </c>
      <c r="E243" s="2" t="s">
        <v>14</v>
      </c>
      <c r="F243" s="2" t="s">
        <v>15</v>
      </c>
      <c r="G243" s="2" t="s">
        <v>801</v>
      </c>
      <c r="H243" s="2" t="s">
        <v>363</v>
      </c>
      <c r="I243" s="2" t="str">
        <f>IFERROR(__xludf.DUMMYFUNCTION("GOOGLETRANSLATE(C243,""fr"",""en"")"),"Very satisfied with the services of the olive tree.
Quick management of files, clear explanations and listening to people at the standard.
On the other hand, no legal protection and does not ensure certain vehicles any risk!
However, I recommend this i"&amp;"nsurer.
Sébastien Doublet")</f>
        <v>Very satisfied with the services of the olive tree.
Quick management of files, clear explanations and listening to people at the standard.
On the other hand, no legal protection and does not ensure certain vehicles any risk!
However, I recommend this insurer.
Sébastien Doublet</v>
      </c>
    </row>
    <row r="244" ht="15.75" customHeight="1">
      <c r="A244" s="2">
        <v>1.0</v>
      </c>
      <c r="B244" s="2" t="s">
        <v>802</v>
      </c>
      <c r="C244" s="2" t="s">
        <v>803</v>
      </c>
      <c r="D244" s="2" t="s">
        <v>376</v>
      </c>
      <c r="E244" s="2" t="s">
        <v>34</v>
      </c>
      <c r="F244" s="2" t="s">
        <v>15</v>
      </c>
      <c r="G244" s="2" t="s">
        <v>804</v>
      </c>
      <c r="H244" s="2" t="s">
        <v>144</v>
      </c>
      <c r="I244" s="2" t="str">
        <f>IFERROR(__xludf.DUMMYFUNCTION("GOOGLETRANSLATE(C244,""fr"",""en"")"),"I am very unhappy. I went more than 3 weeks ago to correction glasses. Refus we don't even know why.
The store is just waiting for a validation and I always have nothing .. Just almost 1 month ... Galère to have them ... I sent a.mail for reimbursement n"&amp;"ot new. I think to terminate ... Good in any case no glasses no refund ... experience ... very decu")</f>
        <v>I am very unhappy. I went more than 3 weeks ago to correction glasses. Refus we don't even know why.
The store is just waiting for a validation and I always have nothing .. Just almost 1 month ... Galère to have them ... I sent a.mail for reimbursement not new. I think to terminate ... Good in any case no glasses no refund ... experience ... very decu</v>
      </c>
    </row>
    <row r="245" ht="15.75" customHeight="1">
      <c r="A245" s="2">
        <v>4.0</v>
      </c>
      <c r="B245" s="2" t="s">
        <v>805</v>
      </c>
      <c r="C245" s="2" t="s">
        <v>806</v>
      </c>
      <c r="D245" s="2" t="s">
        <v>13</v>
      </c>
      <c r="E245" s="2" t="s">
        <v>14</v>
      </c>
      <c r="F245" s="2" t="s">
        <v>15</v>
      </c>
      <c r="G245" s="2" t="s">
        <v>111</v>
      </c>
      <c r="H245" s="2" t="s">
        <v>52</v>
      </c>
      <c r="I245" s="2" t="str">
        <f>IFERROR(__xludf.DUMMYFUNCTION("GOOGLETRANSLATE(C245,""fr"",""en"")"),"Hello,
The prices suit me, I would have liked a little cheaper. But for a young license like me, it remains very affordable. Thank you to Direct Assurance for supporting me.")</f>
        <v>Hello,
The prices suit me, I would have liked a little cheaper. But for a young license like me, it remains very affordable. Thank you to Direct Assurance for supporting me.</v>
      </c>
    </row>
    <row r="246" ht="15.75" customHeight="1">
      <c r="A246" s="2">
        <v>1.0</v>
      </c>
      <c r="B246" s="2" t="s">
        <v>807</v>
      </c>
      <c r="C246" s="2" t="s">
        <v>808</v>
      </c>
      <c r="D246" s="2" t="s">
        <v>809</v>
      </c>
      <c r="E246" s="2" t="s">
        <v>66</v>
      </c>
      <c r="F246" s="2" t="s">
        <v>15</v>
      </c>
      <c r="G246" s="2" t="s">
        <v>810</v>
      </c>
      <c r="H246" s="2" t="s">
        <v>694</v>
      </c>
      <c r="I246" s="2" t="str">
        <f>IFERROR(__xludf.DUMMYFUNCTION("GOOGLETRANSLATE(C246,""fr"",""en"")"),"Hello, I just realized that during a 3 -week sickness stop in June/July 2015 my interim agency had not done the necessary with AG2R in order to have the additional daily allowances, how to do?")</f>
        <v>Hello, I just realized that during a 3 -week sickness stop in June/July 2015 my interim agency had not done the necessary with AG2R in order to have the additional daily allowances, how to do?</v>
      </c>
    </row>
    <row r="247" ht="15.75" customHeight="1">
      <c r="A247" s="2">
        <v>1.0</v>
      </c>
      <c r="B247" s="2" t="s">
        <v>811</v>
      </c>
      <c r="C247" s="2" t="s">
        <v>812</v>
      </c>
      <c r="D247" s="2" t="s">
        <v>639</v>
      </c>
      <c r="E247" s="2" t="s">
        <v>46</v>
      </c>
      <c r="F247" s="2" t="s">
        <v>15</v>
      </c>
      <c r="G247" s="2" t="s">
        <v>813</v>
      </c>
      <c r="H247" s="2" t="s">
        <v>814</v>
      </c>
      <c r="I247" s="2" t="str">
        <f>IFERROR(__xludf.DUMMYFUNCTION("GOOGLETRANSLATE(C247,""fr"",""en"")"),"AFER no longer answers: for two months impossible to join anyone at the headquarters of Paris.")</f>
        <v>AFER no longer answers: for two months impossible to join anyone at the headquarters of Paris.</v>
      </c>
    </row>
    <row r="248" ht="15.75" customHeight="1">
      <c r="A248" s="2">
        <v>2.0</v>
      </c>
      <c r="B248" s="2" t="s">
        <v>815</v>
      </c>
      <c r="C248" s="2" t="s">
        <v>816</v>
      </c>
      <c r="D248" s="2" t="s">
        <v>493</v>
      </c>
      <c r="E248" s="2" t="s">
        <v>14</v>
      </c>
      <c r="F248" s="2" t="s">
        <v>15</v>
      </c>
      <c r="G248" s="2" t="s">
        <v>217</v>
      </c>
      <c r="H248" s="2" t="s">
        <v>140</v>
      </c>
      <c r="I248" s="2" t="str">
        <f>IFERROR(__xludf.DUMMYFUNCTION("GOOGLETRANSLATE(C248,""fr"",""en"")"),"Already scalded by Eurofil at the level of their assistance services in the event of a breakdown this summer in August or apart from telling us what they were not responsible for we were forced to manage by ourselves to find and Pay a rental vehicle to go"&amp;" home the day before August 15. On this we resilted the insurance of our 3 vehicles on the deadline on December 31, 2020. In the meantime we sell one of our vehicles in mid-December, we realize that we no longer have access to our personal space, We have "&amp;"terminated our contracts so 1 month before more possibility of managing them by internet !!!! We prevent Eurofil by Aviva from the sale by email and receive confirmation of the termination and the vehicle situation statement, everything seems to happen co"&amp;"rrectly but surprised on December 23 Reception of a debtor account statement of 416 € for vehicle insurance sold !!!! Call to the ""advisor"" who minimizes the problem, it's just a computer error. On December 29, receipt of a new account statement still d"&amp;"ebtor of € 416 new call to another ""advisor"" who still minimizes the problem, we must not worry that will be regularized immediately. Today January 6, 2021 I have just been debit € 416 for the 2021-a-way insurance that I have not owned since mid-Decembe"&amp;"r ..... so Eurofil by Aviva are very good to collect the premiums of Insurance but for not much more.")</f>
        <v>Already scalded by Eurofil at the level of their assistance services in the event of a breakdown this summer in August or apart from telling us what they were not responsible for we were forced to manage by ourselves to find and Pay a rental vehicle to go home the day before August 15. On this we resilted the insurance of our 3 vehicles on the deadline on December 31, 2020. In the meantime we sell one of our vehicles in mid-December, we realize that we no longer have access to our personal space, We have terminated our contracts so 1 month before more possibility of managing them by internet !!!! We prevent Eurofil by Aviva from the sale by email and receive confirmation of the termination and the vehicle situation statement, everything seems to happen correctly but surprised on December 23 Reception of a debtor account statement of 416 € for vehicle insurance sold !!!! Call to the "advisor" who minimizes the problem, it's just a computer error. On December 29, receipt of a new account statement still debtor of € 416 new call to another "advisor" who still minimizes the problem, we must not worry that will be regularized immediately. Today January 6, 2021 I have just been debit € 416 for the 2021-a-way insurance that I have not owned since mid-December ..... so Eurofil by Aviva are very good to collect the premiums of Insurance but for not much more.</v>
      </c>
    </row>
    <row r="249" ht="15.75" customHeight="1">
      <c r="A249" s="2">
        <v>3.0</v>
      </c>
      <c r="B249" s="2" t="s">
        <v>817</v>
      </c>
      <c r="C249" s="2" t="s">
        <v>818</v>
      </c>
      <c r="D249" s="2" t="s">
        <v>246</v>
      </c>
      <c r="E249" s="2" t="s">
        <v>34</v>
      </c>
      <c r="F249" s="2" t="s">
        <v>15</v>
      </c>
      <c r="G249" s="2" t="s">
        <v>819</v>
      </c>
      <c r="H249" s="2" t="s">
        <v>444</v>
      </c>
      <c r="I249" s="2" t="str">
        <f>IFERROR(__xludf.DUMMYFUNCTION("GOOGLETRANSLATE(C249,""fr"",""en"")"),"Erika took the time to listen to our request well, to search for the information transmitted and responded with professionalism.")</f>
        <v>Erika took the time to listen to our request well, to search for the information transmitted and responded with professionalism.</v>
      </c>
    </row>
    <row r="250" ht="15.75" customHeight="1">
      <c r="A250" s="2">
        <v>5.0</v>
      </c>
      <c r="B250" s="2" t="s">
        <v>820</v>
      </c>
      <c r="C250" s="2" t="s">
        <v>821</v>
      </c>
      <c r="D250" s="2" t="s">
        <v>24</v>
      </c>
      <c r="E250" s="2" t="s">
        <v>14</v>
      </c>
      <c r="F250" s="2" t="s">
        <v>15</v>
      </c>
      <c r="G250" s="2" t="s">
        <v>822</v>
      </c>
      <c r="H250" s="2" t="s">
        <v>21</v>
      </c>
      <c r="I250" s="2" t="str">
        <f>IFERROR(__xludf.DUMMYFUNCTION("GOOGLETRANSLATE(C250,""fr"",""en"")"),"I am satisfied with the service and the price. I highly recommend the olive assurance. Very good service by phone and very good explanations of the options.")</f>
        <v>I am satisfied with the service and the price. I highly recommend the olive assurance. Very good service by phone and very good explanations of the options.</v>
      </c>
    </row>
    <row r="251" ht="15.75" customHeight="1">
      <c r="A251" s="2">
        <v>1.0</v>
      </c>
      <c r="B251" s="2" t="s">
        <v>823</v>
      </c>
      <c r="C251" s="2" t="s">
        <v>824</v>
      </c>
      <c r="D251" s="2" t="s">
        <v>106</v>
      </c>
      <c r="E251" s="2" t="s">
        <v>14</v>
      </c>
      <c r="F251" s="2" t="s">
        <v>15</v>
      </c>
      <c r="G251" s="2" t="s">
        <v>825</v>
      </c>
      <c r="H251" s="2" t="s">
        <v>826</v>
      </c>
      <c r="I251" s="2" t="str">
        <f>IFERROR(__xludf.DUMMYFUNCTION("GOOGLETRANSLATE(C251,""fr"",""en"")"),"Insurance to avoid absolutely, impossible to have your information statement, we send you walking and we are lying down squarely! The advisers do everything to complicate you the task, it is really shame, the Macif is to flee, such practices should be san"&amp;"ctioned, the abuse which they show is scandalous")</f>
        <v>Insurance to avoid absolutely, impossible to have your information statement, we send you walking and we are lying down squarely! The advisers do everything to complicate you the task, it is really shame, the Macif is to flee, such practices should be sanctioned, the abuse which they show is scandalous</v>
      </c>
    </row>
    <row r="252" ht="15.75" customHeight="1">
      <c r="A252" s="2">
        <v>1.0</v>
      </c>
      <c r="B252" s="2" t="s">
        <v>827</v>
      </c>
      <c r="C252" s="2" t="s">
        <v>828</v>
      </c>
      <c r="D252" s="2" t="s">
        <v>60</v>
      </c>
      <c r="E252" s="2" t="s">
        <v>40</v>
      </c>
      <c r="F252" s="2" t="s">
        <v>15</v>
      </c>
      <c r="G252" s="2" t="s">
        <v>829</v>
      </c>
      <c r="H252" s="2" t="s">
        <v>826</v>
      </c>
      <c r="I252" s="2" t="str">
        <f>IFERROR(__xludf.DUMMYFUNCTION("GOOGLETRANSLATE(C252,""fr"",""en"")"),"Insurance managed by a bank which is not the bank of which I am client, to terminate you never know who to position yourself, I understand their concept even to modify the address of the accommodation we are struggling for a simple thing.")</f>
        <v>Insurance managed by a bank which is not the bank of which I am client, to terminate you never know who to position yourself, I understand their concept even to modify the address of the accommodation we are struggling for a simple thing.</v>
      </c>
    </row>
    <row r="253" ht="15.75" customHeight="1">
      <c r="A253" s="2">
        <v>3.0</v>
      </c>
      <c r="B253" s="2" t="s">
        <v>830</v>
      </c>
      <c r="C253" s="2" t="s">
        <v>831</v>
      </c>
      <c r="D253" s="2" t="s">
        <v>231</v>
      </c>
      <c r="E253" s="2" t="s">
        <v>34</v>
      </c>
      <c r="F253" s="2" t="s">
        <v>15</v>
      </c>
      <c r="G253" s="2" t="s">
        <v>832</v>
      </c>
      <c r="H253" s="2" t="s">
        <v>367</v>
      </c>
      <c r="I253" s="2" t="str">
        <f>IFERROR(__xludf.DUMMYFUNCTION("GOOGLETRANSLATE(C253,""fr"",""en"")"),"6 years of loyalty.")</f>
        <v>6 years of loyalty.</v>
      </c>
    </row>
    <row r="254" ht="15.75" customHeight="1">
      <c r="A254" s="2">
        <v>4.0</v>
      </c>
      <c r="B254" s="2" t="s">
        <v>833</v>
      </c>
      <c r="C254" s="2" t="s">
        <v>834</v>
      </c>
      <c r="D254" s="2" t="s">
        <v>13</v>
      </c>
      <c r="E254" s="2" t="s">
        <v>14</v>
      </c>
      <c r="F254" s="2" t="s">
        <v>15</v>
      </c>
      <c r="G254" s="2" t="s">
        <v>835</v>
      </c>
      <c r="H254" s="2" t="s">
        <v>52</v>
      </c>
      <c r="I254" s="2" t="str">
        <f>IFERROR(__xludf.DUMMYFUNCTION("GOOGLETRANSLATE(C254,""fr"",""en"")"),"I am satisfied with the insurance change procedure, the guarantees are the same as my former Maos insurance The subscription is less
 ")</f>
        <v>I am satisfied with the insurance change procedure, the guarantees are the same as my former Maos insurance The subscription is less
 </v>
      </c>
    </row>
    <row r="255" ht="15.75" customHeight="1">
      <c r="A255" s="2">
        <v>4.0</v>
      </c>
      <c r="B255" s="2" t="s">
        <v>836</v>
      </c>
      <c r="C255" s="2" t="s">
        <v>837</v>
      </c>
      <c r="D255" s="2" t="s">
        <v>231</v>
      </c>
      <c r="E255" s="2" t="s">
        <v>34</v>
      </c>
      <c r="F255" s="2" t="s">
        <v>15</v>
      </c>
      <c r="G255" s="2" t="s">
        <v>838</v>
      </c>
      <c r="H255" s="2" t="s">
        <v>798</v>
      </c>
      <c r="I255" s="2" t="str">
        <f>IFERROR(__xludf.DUMMYFUNCTION("GOOGLETRANSLATE(C255,""fr"",""en"")"),"Person listening, exercise warranty, reimbursements made corely in time, no problem I am fully satisfied")</f>
        <v>Person listening, exercise warranty, reimbursements made corely in time, no problem I am fully satisfied</v>
      </c>
    </row>
    <row r="256" ht="15.75" customHeight="1">
      <c r="A256" s="2">
        <v>4.0</v>
      </c>
      <c r="B256" s="2" t="s">
        <v>839</v>
      </c>
      <c r="C256" s="2" t="s">
        <v>840</v>
      </c>
      <c r="D256" s="2" t="s">
        <v>13</v>
      </c>
      <c r="E256" s="2" t="s">
        <v>14</v>
      </c>
      <c r="F256" s="2" t="s">
        <v>15</v>
      </c>
      <c r="G256" s="2" t="s">
        <v>841</v>
      </c>
      <c r="H256" s="2" t="s">
        <v>52</v>
      </c>
      <c r="I256" s="2" t="str">
        <f>IFERROR(__xludf.DUMMYFUNCTION("GOOGLETRANSLATE(C256,""fr"",""en"")"),"The site is very practical and very fast the prices are very correct and thanks to the Hamon law everyone is done correctly. more worries.")</f>
        <v>The site is very practical and very fast the prices are very correct and thanks to the Hamon law everyone is done correctly. more worries.</v>
      </c>
    </row>
    <row r="257" ht="15.75" customHeight="1">
      <c r="A257" s="2">
        <v>1.0</v>
      </c>
      <c r="B257" s="2" t="s">
        <v>842</v>
      </c>
      <c r="C257" s="2" t="s">
        <v>843</v>
      </c>
      <c r="D257" s="2" t="s">
        <v>96</v>
      </c>
      <c r="E257" s="2" t="s">
        <v>97</v>
      </c>
      <c r="F257" s="2" t="s">
        <v>15</v>
      </c>
      <c r="G257" s="2" t="s">
        <v>498</v>
      </c>
      <c r="H257" s="2" t="s">
        <v>434</v>
      </c>
      <c r="I257" s="2" t="str">
        <f>IFERROR(__xludf.DUMMYFUNCTION("GOOGLETRANSLATE(C257,""fr"",""en"")")," Regarding my experience, following a loss of employment of an economic dismissal in October 2018; This insurer being included for a Cetelem consumer credit is slow to engage its responsibility for the compensation of the rest of the and this for 10 month"&amp;"s for recurring cause of missing documents, but the elements relating to the constitution of the file were sent at least 3 times within the legal response period and the 3 months of loan deficiencies have been paid to the loan organization.")</f>
        <v> Regarding my experience, following a loss of employment of an economic dismissal in October 2018; This insurer being included for a Cetelem consumer credit is slow to engage its responsibility for the compensation of the rest of the and this for 10 months for recurring cause of missing documents, but the elements relating to the constitution of the file were sent at least 3 times within the legal response period and the 3 months of loan deficiencies have been paid to the loan organization.</v>
      </c>
    </row>
    <row r="258" ht="15.75" customHeight="1">
      <c r="A258" s="2">
        <v>2.0</v>
      </c>
      <c r="B258" s="2" t="s">
        <v>844</v>
      </c>
      <c r="C258" s="2" t="s">
        <v>845</v>
      </c>
      <c r="D258" s="2" t="s">
        <v>13</v>
      </c>
      <c r="E258" s="2" t="s">
        <v>14</v>
      </c>
      <c r="F258" s="2" t="s">
        <v>15</v>
      </c>
      <c r="G258" s="2" t="s">
        <v>846</v>
      </c>
      <c r="H258" s="2" t="s">
        <v>52</v>
      </c>
      <c r="I258" s="2" t="str">
        <f>IFERROR(__xludf.DUMMYFUNCTION("GOOGLETRANSLATE(C258,""fr"",""en"")"),"I am satisfied with the information provided but not the prices that I find a little expensive
I want to stay with you for the future years but if you give me a price")</f>
        <v>I am satisfied with the information provided but not the prices that I find a little expensive
I want to stay with you for the future years but if you give me a price</v>
      </c>
    </row>
    <row r="259" ht="15.75" customHeight="1">
      <c r="A259" s="2">
        <v>1.0</v>
      </c>
      <c r="B259" s="2" t="s">
        <v>847</v>
      </c>
      <c r="C259" s="2" t="s">
        <v>848</v>
      </c>
      <c r="D259" s="2" t="s">
        <v>625</v>
      </c>
      <c r="E259" s="2" t="s">
        <v>34</v>
      </c>
      <c r="F259" s="2" t="s">
        <v>15</v>
      </c>
      <c r="G259" s="2" t="s">
        <v>849</v>
      </c>
      <c r="H259" s="2" t="s">
        <v>367</v>
      </c>
      <c r="I259" s="2" t="str">
        <f>IFERROR(__xludf.DUMMYFUNCTION("GOOGLETRANSLATE(C259,""fr"",""en"")"),"To be completely fleeing, no understanding, if difficulty payments in a row pursuit &amp; termination, so I do not recommend it strongly, I followed advice from a broker yet kind, I bite my fingers.")</f>
        <v>To be completely fleeing, no understanding, if difficulty payments in a row pursuit &amp; termination, so I do not recommend it strongly, I followed advice from a broker yet kind, I bite my fingers.</v>
      </c>
    </row>
    <row r="260" ht="15.75" customHeight="1">
      <c r="A260" s="2">
        <v>2.0</v>
      </c>
      <c r="B260" s="2" t="s">
        <v>850</v>
      </c>
      <c r="C260" s="2" t="s">
        <v>851</v>
      </c>
      <c r="D260" s="2" t="s">
        <v>24</v>
      </c>
      <c r="E260" s="2" t="s">
        <v>14</v>
      </c>
      <c r="F260" s="2" t="s">
        <v>15</v>
      </c>
      <c r="G260" s="2" t="s">
        <v>852</v>
      </c>
      <c r="H260" s="2" t="s">
        <v>243</v>
      </c>
      <c r="I260" s="2" t="str">
        <f>IFERROR(__xludf.DUMMYFUNCTION("GOOGLETRANSLATE(C260,""fr"",""en"")"),"Almost 6 months after a loss still not compensated while Lolivier Insurance has received money from the Adviese party for more than a month
To take every month they are not late")</f>
        <v>Almost 6 months after a loss still not compensated while Lolivier Insurance has received money from the Adviese party for more than a month
To take every month they are not late</v>
      </c>
    </row>
    <row r="261" ht="15.75" customHeight="1">
      <c r="A261" s="2">
        <v>5.0</v>
      </c>
      <c r="B261" s="2" t="s">
        <v>853</v>
      </c>
      <c r="C261" s="2" t="s">
        <v>854</v>
      </c>
      <c r="D261" s="2" t="s">
        <v>13</v>
      </c>
      <c r="E261" s="2" t="s">
        <v>14</v>
      </c>
      <c r="F261" s="2" t="s">
        <v>15</v>
      </c>
      <c r="G261" s="2" t="s">
        <v>855</v>
      </c>
      <c r="H261" s="2" t="s">
        <v>21</v>
      </c>
      <c r="I261" s="2" t="str">
        <f>IFERROR(__xludf.DUMMYFUNCTION("GOOGLETRANSLATE(C261,""fr"",""en"")"),"I am satisfied with the services and prices also site very easily accessible
Very fast and easy to use management I have the insurance that meets my criteria
")</f>
        <v>I am satisfied with the services and prices also site very easily accessible
Very fast and easy to use management I have the insurance that meets my criteria
</v>
      </c>
    </row>
    <row r="262" ht="15.75" customHeight="1">
      <c r="A262" s="2">
        <v>5.0</v>
      </c>
      <c r="B262" s="2" t="s">
        <v>856</v>
      </c>
      <c r="C262" s="2" t="s">
        <v>857</v>
      </c>
      <c r="D262" s="2" t="s">
        <v>13</v>
      </c>
      <c r="E262" s="2" t="s">
        <v>14</v>
      </c>
      <c r="F262" s="2" t="s">
        <v>15</v>
      </c>
      <c r="G262" s="2" t="s">
        <v>858</v>
      </c>
      <c r="H262" s="2" t="s">
        <v>17</v>
      </c>
      <c r="I262" s="2" t="str">
        <f>IFERROR(__xludf.DUMMYFUNCTION("GOOGLETRANSLATE(C262,""fr"",""en"")"),"One of the best commercial proposals that have been made from a quality/price point of view.
Listen to the advisor on my situation, management of the termination of my previous contract, facilitated to create her account, join the documents, etc.
To see"&amp;" in time how the customer relationship will be managed and (but I do not wish) the efficiency of service in the event of accident.")</f>
        <v>One of the best commercial proposals that have been made from a quality/price point of view.
Listen to the advisor on my situation, management of the termination of my previous contract, facilitated to create her account, join the documents, etc.
To see in time how the customer relationship will be managed and (but I do not wish) the efficiency of service in the event of accident.</v>
      </c>
    </row>
    <row r="263" ht="15.75" customHeight="1">
      <c r="A263" s="2">
        <v>4.0</v>
      </c>
      <c r="B263" s="2" t="s">
        <v>859</v>
      </c>
      <c r="C263" s="2" t="s">
        <v>860</v>
      </c>
      <c r="D263" s="2" t="s">
        <v>24</v>
      </c>
      <c r="E263" s="2" t="s">
        <v>14</v>
      </c>
      <c r="F263" s="2" t="s">
        <v>15</v>
      </c>
      <c r="G263" s="2" t="s">
        <v>861</v>
      </c>
      <c r="H263" s="2" t="s">
        <v>128</v>
      </c>
      <c r="I263" s="2" t="str">
        <f>IFERROR(__xludf.DUMMYFUNCTION("GOOGLETRANSLATE(C263,""fr"",""en"")"),"I looked for insurance for a while at the best price I could not find better than you. The customer service is exceptional too, really nothing to complain about.")</f>
        <v>I looked for insurance for a while at the best price I could not find better than you. The customer service is exceptional too, really nothing to complain about.</v>
      </c>
    </row>
    <row r="264" ht="15.75" customHeight="1">
      <c r="A264" s="2">
        <v>3.0</v>
      </c>
      <c r="B264" s="2" t="s">
        <v>862</v>
      </c>
      <c r="C264" s="2" t="s">
        <v>863</v>
      </c>
      <c r="D264" s="2" t="s">
        <v>24</v>
      </c>
      <c r="E264" s="2" t="s">
        <v>14</v>
      </c>
      <c r="F264" s="2" t="s">
        <v>15</v>
      </c>
      <c r="G264" s="2" t="s">
        <v>864</v>
      </c>
      <c r="H264" s="2" t="s">
        <v>17</v>
      </c>
      <c r="I264" s="2" t="str">
        <f>IFERROR(__xludf.DUMMYFUNCTION("GOOGLETRANSLATE(C264,""fr"",""en"")"),"I am satisfied with the service! Everything is clear and concise. The service is fast. The price is good for what is offered. I recommend the olive assurance")</f>
        <v>I am satisfied with the service! Everything is clear and concise. The service is fast. The price is good for what is offered. I recommend the olive assurance</v>
      </c>
    </row>
    <row r="265" ht="15.75" customHeight="1">
      <c r="A265" s="2">
        <v>4.0</v>
      </c>
      <c r="B265" s="2" t="s">
        <v>865</v>
      </c>
      <c r="C265" s="2" t="s">
        <v>866</v>
      </c>
      <c r="D265" s="2" t="s">
        <v>13</v>
      </c>
      <c r="E265" s="2" t="s">
        <v>14</v>
      </c>
      <c r="F265" s="2" t="s">
        <v>15</v>
      </c>
      <c r="G265" s="2" t="s">
        <v>20</v>
      </c>
      <c r="H265" s="2" t="s">
        <v>21</v>
      </c>
      <c r="I265" s="2" t="str">
        <f>IFERROR(__xludf.DUMMYFUNCTION("GOOGLETRANSLATE(C265,""fr"",""en"")"),"I am satisfied with the service
Price suits me and are reasonable to compare to other insurance
Now to see if it will hold and see if the insurance will be there as needed")</f>
        <v>I am satisfied with the service
Price suits me and are reasonable to compare to other insurance
Now to see if it will hold and see if the insurance will be there as needed</v>
      </c>
    </row>
    <row r="266" ht="15.75" customHeight="1">
      <c r="A266" s="2">
        <v>1.0</v>
      </c>
      <c r="B266" s="2" t="s">
        <v>867</v>
      </c>
      <c r="C266" s="2" t="s">
        <v>868</v>
      </c>
      <c r="D266" s="2" t="s">
        <v>39</v>
      </c>
      <c r="E266" s="2" t="s">
        <v>14</v>
      </c>
      <c r="F266" s="2" t="s">
        <v>15</v>
      </c>
      <c r="G266" s="2" t="s">
        <v>869</v>
      </c>
      <c r="H266" s="2" t="s">
        <v>540</v>
      </c>
      <c r="I266" s="2" t="str">
        <f>IFERROR(__xludf.DUMMYFUNCTION("GOOGLETRANSLATE(C266,""fr"",""en"")"),"I am assured of all risks, I have been the victim of 3 non -responsible claims and I learn that my contract will be terminated on the anniversary date to perpetuate the balance of accounts (sic), in short I am a bad member (who n 'was not informed when th"&amp;"e contract signs)")</f>
        <v>I am assured of all risks, I have been the victim of 3 non -responsible claims and I learn that my contract will be terminated on the anniversary date to perpetuate the balance of accounts (sic), in short I am a bad member (who n 'was not informed when the contract signs)</v>
      </c>
    </row>
    <row r="267" ht="15.75" customHeight="1">
      <c r="A267" s="2">
        <v>1.0</v>
      </c>
      <c r="B267" s="2" t="s">
        <v>870</v>
      </c>
      <c r="C267" s="2" t="s">
        <v>871</v>
      </c>
      <c r="D267" s="2" t="s">
        <v>24</v>
      </c>
      <c r="E267" s="2" t="s">
        <v>14</v>
      </c>
      <c r="F267" s="2" t="s">
        <v>15</v>
      </c>
      <c r="G267" s="2" t="s">
        <v>872</v>
      </c>
      <c r="H267" s="2" t="s">
        <v>131</v>
      </c>
      <c r="I267" s="2" t="str">
        <f>IFERROR(__xludf.DUMMYFUNCTION("GOOGLETRANSLATE(C267,""fr"",""en"")"),"Be careful with this insurer concerning your contract renewal. For my part even situation and guaranteed that last year, no claim with a better coefficient. Yet I go from 340 euros to 364 euros ... I do the insurance comparator simulator yesterday, I meet"&amp;" my personal conditions identically ... I am indicated 320 euros at the Olivier Insurance. I contact them to explain this inconsistency to them, I am explained that the renewal conditions are not the same as the first customers ... with a different rate.
"&amp;"
It is a shame to see its subscription increase when it should not increase without any claim ...
In addition, be careful because for my part my deadline arrives at October 8 ... Problem The mail dates from September 8 and I received it two days ago in m"&amp;"y mailbox. Knowing that the period to terminate is 20 days from the date of the mail ... rather difficult to terminate times.
")</f>
        <v>Be careful with this insurer concerning your contract renewal. For my part even situation and guaranteed that last year, no claim with a better coefficient. Yet I go from 340 euros to 364 euros ... I do the insurance comparator simulator yesterday, I meet my personal conditions identically ... I am indicated 320 euros at the Olivier Insurance. I contact them to explain this inconsistency to them, I am explained that the renewal conditions are not the same as the first customers ... with a different rate.
It is a shame to see its subscription increase when it should not increase without any claim ...
In addition, be careful because for my part my deadline arrives at October 8 ... Problem The mail dates from September 8 and I received it two days ago in my mailbox. Knowing that the period to terminate is 20 days from the date of the mail ... rather difficult to terminate times.
</v>
      </c>
    </row>
    <row r="268" ht="15.75" customHeight="1">
      <c r="A268" s="2">
        <v>1.0</v>
      </c>
      <c r="B268" s="2" t="s">
        <v>873</v>
      </c>
      <c r="C268" s="2" t="s">
        <v>874</v>
      </c>
      <c r="D268" s="2" t="s">
        <v>209</v>
      </c>
      <c r="E268" s="2" t="s">
        <v>14</v>
      </c>
      <c r="F268" s="2" t="s">
        <v>15</v>
      </c>
      <c r="G268" s="2" t="s">
        <v>875</v>
      </c>
      <c r="H268" s="2" t="s">
        <v>335</v>
      </c>
      <c r="I268" s="2" t="str">
        <f>IFERROR(__xludf.DUMMYFUNCTION("GOOGLETRANSLATE(C268,""fr"",""en"")"),"Our vehicle has been blocked in an Approved Maaf garage for 3 weeks, following a fire. An expert has passed whose report does not satisfy the MAAF. Too expensive no doubt .... Despite the emails, the blows of the sons nothing is advancing. The mechanic hi"&amp;"mself loses patience and plans to charge guard costs. Are totally unsatisfied. Yet we have been customers for over 30 years. Making us pay exorbitant prices does not bother them but when it comes to taking care of it is another matter ....
In the meantim"&amp;"e we are therefore without vehicle.")</f>
        <v>Our vehicle has been blocked in an Approved Maaf garage for 3 weeks, following a fire. An expert has passed whose report does not satisfy the MAAF. Too expensive no doubt .... Despite the emails, the blows of the sons nothing is advancing. The mechanic himself loses patience and plans to charge guard costs. Are totally unsatisfied. Yet we have been customers for over 30 years. Making us pay exorbitant prices does not bother them but when it comes to taking care of it is another matter ....
In the meantime we are therefore without vehicle.</v>
      </c>
    </row>
    <row r="269" ht="15.75" customHeight="1">
      <c r="A269" s="2">
        <v>4.0</v>
      </c>
      <c r="B269" s="2" t="s">
        <v>876</v>
      </c>
      <c r="C269" s="2" t="s">
        <v>877</v>
      </c>
      <c r="D269" s="2" t="s">
        <v>24</v>
      </c>
      <c r="E269" s="2" t="s">
        <v>14</v>
      </c>
      <c r="F269" s="2" t="s">
        <v>15</v>
      </c>
      <c r="G269" s="2" t="s">
        <v>878</v>
      </c>
      <c r="H269" s="2" t="s">
        <v>167</v>
      </c>
      <c r="I269" s="2" t="str">
        <f>IFERROR(__xludf.DUMMYFUNCTION("GOOGLETRANSLATE(C269,""fr"",""en"")"),"I am satisfied with telephone answers
Good contact of my interlocutors and good knowledge of their subject
I hope everything will continue in this direction
Thank you")</f>
        <v>I am satisfied with telephone answers
Good contact of my interlocutors and good knowledge of their subject
I hope everything will continue in this direction
Thank you</v>
      </c>
    </row>
    <row r="270" ht="15.75" customHeight="1">
      <c r="A270" s="2">
        <v>2.0</v>
      </c>
      <c r="B270" s="2" t="s">
        <v>879</v>
      </c>
      <c r="C270" s="2" t="s">
        <v>880</v>
      </c>
      <c r="D270" s="2" t="s">
        <v>45</v>
      </c>
      <c r="E270" s="2" t="s">
        <v>56</v>
      </c>
      <c r="F270" s="2" t="s">
        <v>15</v>
      </c>
      <c r="G270" s="2" t="s">
        <v>881</v>
      </c>
      <c r="H270" s="2" t="s">
        <v>882</v>
      </c>
      <c r="I270" s="2" t="str">
        <f>IFERROR(__xludf.DUMMYFUNCTION("GOOGLETRANSLATE(C270,""fr"",""en"")"),"A dispute opposes me to a garage whose insurance takes care of everything, but the Toulon Sanna-Vuillaume agency wants to do nothing. I am looking for other insurance")</f>
        <v>A dispute opposes me to a garage whose insurance takes care of everything, but the Toulon Sanna-Vuillaume agency wants to do nothing. I am looking for other insurance</v>
      </c>
    </row>
    <row r="271" ht="15.75" customHeight="1">
      <c r="A271" s="2">
        <v>4.0</v>
      </c>
      <c r="B271" s="2" t="s">
        <v>883</v>
      </c>
      <c r="C271" s="2" t="s">
        <v>884</v>
      </c>
      <c r="D271" s="2" t="s">
        <v>13</v>
      </c>
      <c r="E271" s="2" t="s">
        <v>14</v>
      </c>
      <c r="F271" s="2" t="s">
        <v>15</v>
      </c>
      <c r="G271" s="2" t="s">
        <v>16</v>
      </c>
      <c r="H271" s="2" t="s">
        <v>17</v>
      </c>
      <c r="I271" s="2" t="str">
        <f>IFERROR(__xludf.DUMMYFUNCTION("GOOGLETRANSLATE(C271,""fr"",""en"")"),"Very well. To see in time if customer service is effective, the guarantee that I have also subscribed, after having made the comparison with several insurances it seems suitable for me")</f>
        <v>Very well. To see in time if customer service is effective, the guarantee that I have also subscribed, after having made the comparison with several insurances it seems suitable for me</v>
      </c>
    </row>
    <row r="272" ht="15.75" customHeight="1">
      <c r="A272" s="2">
        <v>2.0</v>
      </c>
      <c r="B272" s="2" t="s">
        <v>885</v>
      </c>
      <c r="C272" s="2" t="s">
        <v>886</v>
      </c>
      <c r="D272" s="2" t="s">
        <v>13</v>
      </c>
      <c r="E272" s="2" t="s">
        <v>14</v>
      </c>
      <c r="F272" s="2" t="s">
        <v>15</v>
      </c>
      <c r="G272" s="2" t="s">
        <v>887</v>
      </c>
      <c r="H272" s="2" t="s">
        <v>798</v>
      </c>
      <c r="I272" s="2" t="str">
        <f>IFERROR(__xludf.DUMMYFUNCTION("GOOGLETRANSLATE(C272,""fr"",""en"")"),"Total disappointment.
I had no problem with Direct Insurance until the day I moved forward and that I must have my insurance years of insurance in France recognized ....
This is the problem (s) have started ...
No one was able to help me at Direct Insu"&amp;"rance.
When I ask for a simple email address so that my future insurance contacts them by email I have been answered that Direct Insurance does not have an email address (in 2018 ...)
When I ask for the redaction of a specific email my request is still "&amp;"refused.
In summary none of my requests has been made.
These are the first to say yes to our money but nobody is there to say yes to the needs of the customer! It is quite scandalous and I am very happy to have this insurance company anymore.")</f>
        <v>Total disappointment.
I had no problem with Direct Insurance until the day I moved forward and that I must have my insurance years of insurance in France recognized ....
This is the problem (s) have started ...
No one was able to help me at Direct Insurance.
When I ask for a simple email address so that my future insurance contacts them by email I have been answered that Direct Insurance does not have an email address (in 2018 ...)
When I ask for the redaction of a specific email my request is still refused.
In summary none of my requests has been made.
These are the first to say yes to our money but nobody is there to say yes to the needs of the customer! It is quite scandalous and I am very happy to have this insurance company anymore.</v>
      </c>
    </row>
    <row r="273" ht="15.75" customHeight="1">
      <c r="A273" s="2">
        <v>5.0</v>
      </c>
      <c r="B273" s="2" t="s">
        <v>888</v>
      </c>
      <c r="C273" s="2" t="s">
        <v>889</v>
      </c>
      <c r="D273" s="2" t="s">
        <v>13</v>
      </c>
      <c r="E273" s="2" t="s">
        <v>14</v>
      </c>
      <c r="F273" s="2" t="s">
        <v>15</v>
      </c>
      <c r="G273" s="2" t="s">
        <v>890</v>
      </c>
      <c r="H273" s="2" t="s">
        <v>84</v>
      </c>
      <c r="I273" s="2" t="str">
        <f>IFERROR(__xludf.DUMMYFUNCTION("GOOGLETRANSLATE(C273,""fr"",""en"")"),"I am satisfied with the telephone reception (Valérie, in Brittany), advice and availability.
Ease of contracted my insurance.
Very attractive price.")</f>
        <v>I am satisfied with the telephone reception (Valérie, in Brittany), advice and availability.
Ease of contracted my insurance.
Very attractive price.</v>
      </c>
    </row>
    <row r="274" ht="15.75" customHeight="1">
      <c r="A274" s="2">
        <v>1.0</v>
      </c>
      <c r="B274" s="2" t="s">
        <v>891</v>
      </c>
      <c r="C274" s="2" t="s">
        <v>892</v>
      </c>
      <c r="D274" s="2" t="s">
        <v>106</v>
      </c>
      <c r="E274" s="2" t="s">
        <v>40</v>
      </c>
      <c r="F274" s="2" t="s">
        <v>15</v>
      </c>
      <c r="G274" s="2" t="s">
        <v>893</v>
      </c>
      <c r="H274" s="2" t="s">
        <v>180</v>
      </c>
      <c r="I274" s="2" t="str">
        <f>IFERROR(__xludf.DUMMYFUNCTION("GOOGLETRANSLATE(C274,""fr"",""en"")"),"No refund following burglary with break -in")</f>
        <v>No refund following burglary with break -in</v>
      </c>
    </row>
    <row r="275" ht="15.75" customHeight="1">
      <c r="A275" s="2">
        <v>1.0</v>
      </c>
      <c r="B275" s="2" t="s">
        <v>894</v>
      </c>
      <c r="C275" s="2" t="s">
        <v>895</v>
      </c>
      <c r="D275" s="2" t="s">
        <v>13</v>
      </c>
      <c r="E275" s="2" t="s">
        <v>14</v>
      </c>
      <c r="F275" s="2" t="s">
        <v>15</v>
      </c>
      <c r="G275" s="2" t="s">
        <v>579</v>
      </c>
      <c r="H275" s="2" t="s">
        <v>17</v>
      </c>
      <c r="I275" s="2" t="str">
        <f>IFERROR(__xludf.DUMMYFUNCTION("GOOGLETRANSLATE(C275,""fr"",""en"")"),"I am very very dissatisfied. Total absence of management of my disaster. No one reminds me of it, it's been 14 days since I had a disaster, my car is not repaired, all for a computer problem between Direct Insurance, the expert and the garage. It's a sham"&amp;"e. Run away !")</f>
        <v>I am very very dissatisfied. Total absence of management of my disaster. No one reminds me of it, it's been 14 days since I had a disaster, my car is not repaired, all for a computer problem between Direct Insurance, the expert and the garage. It's a shame. Run away !</v>
      </c>
    </row>
    <row r="276" ht="15.75" customHeight="1">
      <c r="A276" s="2">
        <v>2.0</v>
      </c>
      <c r="B276" s="2" t="s">
        <v>896</v>
      </c>
      <c r="C276" s="2" t="s">
        <v>897</v>
      </c>
      <c r="D276" s="2" t="s">
        <v>24</v>
      </c>
      <c r="E276" s="2" t="s">
        <v>14</v>
      </c>
      <c r="F276" s="2" t="s">
        <v>15</v>
      </c>
      <c r="G276" s="2" t="s">
        <v>898</v>
      </c>
      <c r="H276" s="2" t="s">
        <v>131</v>
      </c>
      <c r="I276" s="2" t="str">
        <f>IFERROR(__xludf.DUMMYFUNCTION("GOOGLETRANSLATE(C276,""fr"",""en"")"),"I put a star but if I had been able to put any of them I would have done it. Prix attractive actually, to take they are champion! They stopped my car contract from my new vehicle instead of stopping the old I rolled up with two babies for two months when "&amp;"my car was no longer insured. error of their shares. I had a sinister disturbance its 2 months obviously the only answer I had for this enormous Error C of Re subscribing to a new contract! What answer !! as a bonus I must repay 120 € of file fees !! the "&amp;"joke !! I applauded this magnificent incompetent and this certain lack of professionalism. better pay more and have to do to real professional. I do not recommend")</f>
        <v>I put a star but if I had been able to put any of them I would have done it. Prix attractive actually, to take they are champion! They stopped my car contract from my new vehicle instead of stopping the old I rolled up with two babies for two months when my car was no longer insured. error of their shares. I had a sinister disturbance its 2 months obviously the only answer I had for this enormous Error C of Re subscribing to a new contract! What answer !! as a bonus I must repay 120 € of file fees !! the joke !! I applauded this magnificent incompetent and this certain lack of professionalism. better pay more and have to do to real professional. I do not recommend</v>
      </c>
    </row>
    <row r="277" ht="15.75" customHeight="1">
      <c r="A277" s="2">
        <v>4.0</v>
      </c>
      <c r="B277" s="2" t="s">
        <v>899</v>
      </c>
      <c r="C277" s="2" t="s">
        <v>900</v>
      </c>
      <c r="D277" s="2" t="s">
        <v>60</v>
      </c>
      <c r="E277" s="2" t="s">
        <v>14</v>
      </c>
      <c r="F277" s="2" t="s">
        <v>15</v>
      </c>
      <c r="G277" s="2" t="s">
        <v>901</v>
      </c>
      <c r="H277" s="2" t="s">
        <v>259</v>
      </c>
      <c r="I277" s="2" t="str">
        <f>IFERROR(__xludf.DUMMYFUNCTION("GOOGLETRANSLATE(C277,""fr"",""en"")"),"A little high insurance but very reactive ever had a very attentive problem and always available I can not review the reimbursement I never needed it")</f>
        <v>A little high insurance but very reactive ever had a very attentive problem and always available I can not review the reimbursement I never needed it</v>
      </c>
    </row>
    <row r="278" ht="15.75" customHeight="1">
      <c r="A278" s="2">
        <v>4.0</v>
      </c>
      <c r="B278" s="2" t="s">
        <v>902</v>
      </c>
      <c r="C278" s="2" t="s">
        <v>903</v>
      </c>
      <c r="D278" s="2" t="s">
        <v>134</v>
      </c>
      <c r="E278" s="2" t="s">
        <v>56</v>
      </c>
      <c r="F278" s="2" t="s">
        <v>15</v>
      </c>
      <c r="G278" s="2" t="s">
        <v>158</v>
      </c>
      <c r="H278" s="2" t="s">
        <v>84</v>
      </c>
      <c r="I278" s="2" t="str">
        <f>IFERROR(__xludf.DUMMYFUNCTION("GOOGLETRANSLATE(C278,""fr"",""en"")"),"Good site ergonomics Easy comprehension affordable price awaiting the provisional insurance certificate nothing more than it is to have to write a notice of 150 characteristics to modify")</f>
        <v>Good site ergonomics Easy comprehension affordable price awaiting the provisional insurance certificate nothing more than it is to have to write a notice of 150 characteristics to modify</v>
      </c>
    </row>
    <row r="279" ht="15.75" customHeight="1">
      <c r="A279" s="2">
        <v>3.0</v>
      </c>
      <c r="B279" s="2" t="s">
        <v>904</v>
      </c>
      <c r="C279" s="2" t="s">
        <v>905</v>
      </c>
      <c r="D279" s="2" t="s">
        <v>24</v>
      </c>
      <c r="E279" s="2" t="s">
        <v>14</v>
      </c>
      <c r="F279" s="2" t="s">
        <v>15</v>
      </c>
      <c r="G279" s="2" t="s">
        <v>906</v>
      </c>
      <c r="H279" s="2" t="s">
        <v>128</v>
      </c>
      <c r="I279" s="2" t="str">
        <f>IFERROR(__xludf.DUMMYFUNCTION("GOOGLETRANSLATE(C279,""fr"",""en"")"),"I am satisfied with the 1st telephone contact, the implementation of the quote and the responsiveness of my interlocutor. The price being a little higher than the competition, I hope that in the event of need the service will be up to par.")</f>
        <v>I am satisfied with the 1st telephone contact, the implementation of the quote and the responsiveness of my interlocutor. The price being a little higher than the competition, I hope that in the event of need the service will be up to par.</v>
      </c>
    </row>
    <row r="280" ht="15.75" customHeight="1">
      <c r="A280" s="2">
        <v>2.0</v>
      </c>
      <c r="B280" s="2" t="s">
        <v>907</v>
      </c>
      <c r="C280" s="2" t="s">
        <v>908</v>
      </c>
      <c r="D280" s="2" t="s">
        <v>639</v>
      </c>
      <c r="E280" s="2" t="s">
        <v>46</v>
      </c>
      <c r="F280" s="2" t="s">
        <v>15</v>
      </c>
      <c r="G280" s="2" t="s">
        <v>909</v>
      </c>
      <c r="H280" s="2" t="s">
        <v>119</v>
      </c>
      <c r="I280" s="2" t="str">
        <f>IFERROR(__xludf.DUMMYFUNCTION("GOOGLETRANSLATE(C280,""fr"",""en"")"),"Deplorable customer service as part of a success: 2 months without news. The advisor indicates that it is Paris who manages, says that it relaunches and nothing happens, no visibility, deplorable!")</f>
        <v>Deplorable customer service as part of a success: 2 months without news. The advisor indicates that it is Paris who manages, says that it relaunches and nothing happens, no visibility, deplorable!</v>
      </c>
    </row>
    <row r="281" ht="15.75" customHeight="1">
      <c r="A281" s="2">
        <v>2.0</v>
      </c>
      <c r="B281" s="2" t="s">
        <v>910</v>
      </c>
      <c r="C281" s="2" t="s">
        <v>911</v>
      </c>
      <c r="D281" s="2" t="s">
        <v>45</v>
      </c>
      <c r="E281" s="2" t="s">
        <v>40</v>
      </c>
      <c r="F281" s="2" t="s">
        <v>15</v>
      </c>
      <c r="G281" s="2" t="s">
        <v>47</v>
      </c>
      <c r="H281" s="2" t="s">
        <v>48</v>
      </c>
      <c r="I281" s="2" t="str">
        <f>IFERROR(__xludf.DUMMYFUNCTION("GOOGLETRANSLATE(C281,""fr"",""en"")"),"After a fall at my home of a person who visits my home to buy it after assignment of insurer of the victim to myself and to axa after having pushed audience without my being notified and no contact with avocado axa. I had the new date of audience by telep"&amp;"honne of AXA agency 3 days before and that lawyer represents that Axa and that I
 Find a lawyer and that the same evening that Axa had mandated a detective who and spends with my neighbor to make them write an honorary declaration which my farnhest which"&amp;" was not provided at audience 3 days after my neighbor was recovered by email after noon after morning audience")</f>
        <v>After a fall at my home of a person who visits my home to buy it after assignment of insurer of the victim to myself and to axa after having pushed audience without my being notified and no contact with avocado axa. I had the new date of audience by telephonne of AXA agency 3 days before and that lawyer represents that Axa and that I
 Find a lawyer and that the same evening that Axa had mandated a detective who and spends with my neighbor to make them write an honorary declaration which my farnhest which was not provided at audience 3 days after my neighbor was recovered by email after noon after morning audience</v>
      </c>
    </row>
    <row r="282" ht="15.75" customHeight="1">
      <c r="A282" s="2">
        <v>2.0</v>
      </c>
      <c r="B282" s="2" t="s">
        <v>912</v>
      </c>
      <c r="C282" s="2" t="s">
        <v>913</v>
      </c>
      <c r="D282" s="2" t="s">
        <v>55</v>
      </c>
      <c r="E282" s="2" t="s">
        <v>56</v>
      </c>
      <c r="F282" s="2" t="s">
        <v>15</v>
      </c>
      <c r="G282" s="2" t="s">
        <v>914</v>
      </c>
      <c r="H282" s="2" t="s">
        <v>915</v>
      </c>
      <c r="I282" s="2" t="str">
        <f>IFERROR(__xludf.DUMMYFUNCTION("GOOGLETRANSLATE(C282,""fr"",""en"")"),"Very disappointed with AMV no assistance thank you to my KTM warranty extension which took care of me without discussing a franchise will be applied
Scandalous, after this case I will consult the competition and finally I have to go on vacation next week"&amp;" on a motorcycle but to date no news I will have to find a Becane")</f>
        <v>Very disappointed with AMV no assistance thank you to my KTM warranty extension which took care of me without discussing a franchise will be applied
Scandalous, after this case I will consult the competition and finally I have to go on vacation next week on a motorcycle but to date no news I will have to find a Becane</v>
      </c>
    </row>
    <row r="283" ht="15.75" customHeight="1">
      <c r="A283" s="2">
        <v>2.0</v>
      </c>
      <c r="B283" s="2" t="s">
        <v>916</v>
      </c>
      <c r="C283" s="2" t="s">
        <v>917</v>
      </c>
      <c r="D283" s="2" t="s">
        <v>493</v>
      </c>
      <c r="E283" s="2" t="s">
        <v>14</v>
      </c>
      <c r="F283" s="2" t="s">
        <v>15</v>
      </c>
      <c r="G283" s="2" t="s">
        <v>918</v>
      </c>
      <c r="H283" s="2" t="s">
        <v>381</v>
      </c>
      <c r="I283" s="2" t="str">
        <f>IFERROR(__xludf.DUMMYFUNCTION("GOOGLETRANSLATE(C283,""fr"",""en"")"),"The price was low to the subscription compared to my former insurer (Macif), so I took the plunge a few years ago for Eurofil. The first problem is that, each year, your price increases more than if you were ""new"" customer ... In 3 to 4 years, we find o"&amp;"urselves almost at the rate of normal insurance.
But the main problem I encountered concerns the quality of repairs and the consequences that followed it: victim of a non -responsible accident, I repaired my vehicle with a Eurofil ""approved"" mechanic. "&amp;"Backed training, the latter did not detect a problem on the vehicle which, following the repair, began to ""pull right"" and to far in the roundabouts and turns in the rain. Rather than assuming his responsibilities, the insurer took refuge behind experts"&amp;". All have recognized the problem, none of the solutions implemented resolved it ... and Eurofil tried the ""war of wear"": many fixed assets, numerous expertise ... but no solution. Ha if, at the end of my contract, they tried to harm me (without explana"&amp;"tion, because they were not held legally) ... Fortunately, I was faster than them, and had denounced my contract just before.
Finally, I went back to a classic insurer (MAIF) which is cheaper than Eurofil (price after a few years) and which offers a serv"&amp;"ice without any comparison with this insurer ""low cost"", but above all """" low "".
If you are insured at home, advice: choose your repairer/mechanic yourself. You have the right and they accept in 80% of cases to collect after the insurance has reimbu"&amp;"rsed you.")</f>
        <v>The price was low to the subscription compared to my former insurer (Macif), so I took the plunge a few years ago for Eurofil. The first problem is that, each year, your price increases more than if you were "new" customer ... In 3 to 4 years, we find ourselves almost at the rate of normal insurance.
But the main problem I encountered concerns the quality of repairs and the consequences that followed it: victim of a non -responsible accident, I repaired my vehicle with a Eurofil "approved" mechanic. Backed training, the latter did not detect a problem on the vehicle which, following the repair, began to "pull right" and to far in the roundabouts and turns in the rain. Rather than assuming his responsibilities, the insurer took refuge behind experts. All have recognized the problem, none of the solutions implemented resolved it ... and Eurofil tried the "war of wear": many fixed assets, numerous expertise ... but no solution. Ha if, at the end of my contract, they tried to harm me (without explanation, because they were not held legally) ... Fortunately, I was faster than them, and had denounced my contract just before.
Finally, I went back to a classic insurer (MAIF) which is cheaper than Eurofil (price after a few years) and which offers a service without any comparison with this insurer "low cost", but above all "" low ".
If you are insured at home, advice: choose your repairer/mechanic yourself. You have the right and they accept in 80% of cases to collect after the insurance has reimbursed you.</v>
      </c>
    </row>
    <row r="284" ht="15.75" customHeight="1">
      <c r="A284" s="2">
        <v>5.0</v>
      </c>
      <c r="B284" s="2" t="s">
        <v>919</v>
      </c>
      <c r="C284" s="2" t="s">
        <v>920</v>
      </c>
      <c r="D284" s="2" t="s">
        <v>13</v>
      </c>
      <c r="E284" s="2" t="s">
        <v>14</v>
      </c>
      <c r="F284" s="2" t="s">
        <v>15</v>
      </c>
      <c r="G284" s="2" t="s">
        <v>921</v>
      </c>
      <c r="H284" s="2" t="s">
        <v>84</v>
      </c>
      <c r="I284" s="2" t="str">
        <f>IFERROR(__xludf.DUMMYFUNCTION("GOOGLETRANSLATE(C284,""fr"",""en"")"),"I am satisfied with the service, on the phone it is always very fast and very clear. I would recommend without problem.")</f>
        <v>I am satisfied with the service, on the phone it is always very fast and very clear. I would recommend without problem.</v>
      </c>
    </row>
    <row r="285" ht="15.75" customHeight="1">
      <c r="A285" s="2">
        <v>4.0</v>
      </c>
      <c r="B285" s="2" t="s">
        <v>922</v>
      </c>
      <c r="C285" s="2" t="s">
        <v>923</v>
      </c>
      <c r="D285" s="2" t="s">
        <v>13</v>
      </c>
      <c r="E285" s="2" t="s">
        <v>14</v>
      </c>
      <c r="F285" s="2" t="s">
        <v>15</v>
      </c>
      <c r="G285" s="2" t="s">
        <v>166</v>
      </c>
      <c r="H285" s="2" t="s">
        <v>167</v>
      </c>
      <c r="I285" s="2" t="str">
        <f>IFERROR(__xludf.DUMMYFUNCTION("GOOGLETRANSLATE(C285,""fr"",""en"")"),"I am satisfied with the prices and services included. Thank you
The speed of the management of my request. The ergonomics of the site is also satisfied.")</f>
        <v>I am satisfied with the prices and services included. Thank you
The speed of the management of my request. The ergonomics of the site is also satisfied.</v>
      </c>
    </row>
    <row r="286" ht="15.75" customHeight="1">
      <c r="A286" s="2">
        <v>5.0</v>
      </c>
      <c r="B286" s="2" t="s">
        <v>924</v>
      </c>
      <c r="C286" s="2" t="s">
        <v>925</v>
      </c>
      <c r="D286" s="2" t="s">
        <v>24</v>
      </c>
      <c r="E286" s="2" t="s">
        <v>14</v>
      </c>
      <c r="F286" s="2" t="s">
        <v>15</v>
      </c>
      <c r="G286" s="2" t="s">
        <v>926</v>
      </c>
      <c r="H286" s="2" t="s">
        <v>84</v>
      </c>
      <c r="I286" s="2" t="str">
        <f>IFERROR(__xludf.DUMMYFUNCTION("GOOGLETRANSLATE(C286,""fr"",""en"")"),"Speed ​​of contact and support for the development of my insurance file.
The prices largely challenge the competition and the explanations are very clear.
Thanks to Coralie for the development of the contract.")</f>
        <v>Speed ​​of contact and support for the development of my insurance file.
The prices largely challenge the competition and the explanations are very clear.
Thanks to Coralie for the development of the contract.</v>
      </c>
    </row>
    <row r="287" ht="15.75" customHeight="1">
      <c r="A287" s="2">
        <v>4.0</v>
      </c>
      <c r="B287" s="2" t="s">
        <v>927</v>
      </c>
      <c r="C287" s="2" t="s">
        <v>928</v>
      </c>
      <c r="D287" s="2" t="s">
        <v>231</v>
      </c>
      <c r="E287" s="2" t="s">
        <v>34</v>
      </c>
      <c r="F287" s="2" t="s">
        <v>15</v>
      </c>
      <c r="G287" s="2" t="s">
        <v>929</v>
      </c>
      <c r="H287" s="2" t="s">
        <v>367</v>
      </c>
      <c r="I287" s="2" t="str">
        <f>IFERROR(__xludf.DUMMYFUNCTION("GOOGLETRANSLATE(C287,""fr"",""en"")"),"I have been a member since 2013. I am quite satisfied that I am reconstructive in order to redo the point on my needs.")</f>
        <v>I have been a member since 2013. I am quite satisfied that I am reconstructive in order to redo the point on my needs.</v>
      </c>
    </row>
    <row r="288" ht="15.75" customHeight="1">
      <c r="A288" s="2">
        <v>4.0</v>
      </c>
      <c r="B288" s="2" t="s">
        <v>930</v>
      </c>
      <c r="C288" s="2" t="s">
        <v>931</v>
      </c>
      <c r="D288" s="2" t="s">
        <v>246</v>
      </c>
      <c r="E288" s="2" t="s">
        <v>34</v>
      </c>
      <c r="F288" s="2" t="s">
        <v>15</v>
      </c>
      <c r="G288" s="2" t="s">
        <v>819</v>
      </c>
      <c r="H288" s="2" t="s">
        <v>444</v>
      </c>
      <c r="I288" s="2" t="str">
        <f>IFERROR(__xludf.DUMMYFUNCTION("GOOGLETRANSLATE(C288,""fr"",""en"")"),"Hello
I was contained by Santiane for a mutual and I was very well informed !! I am relieved to have found a mutual and especially this one that advised me well !!! We will see during me if the third party paying well. In any case I thank them")</f>
        <v>Hello
I was contained by Santiane for a mutual and I was very well informed !! I am relieved to have found a mutual and especially this one that advised me well !!! We will see during me if the third party paying well. In any case I thank them</v>
      </c>
    </row>
    <row r="289" ht="15.75" customHeight="1">
      <c r="A289" s="2">
        <v>2.0</v>
      </c>
      <c r="B289" s="2" t="s">
        <v>932</v>
      </c>
      <c r="C289" s="2" t="s">
        <v>933</v>
      </c>
      <c r="D289" s="2" t="s">
        <v>117</v>
      </c>
      <c r="E289" s="2" t="s">
        <v>14</v>
      </c>
      <c r="F289" s="2" t="s">
        <v>15</v>
      </c>
      <c r="G289" s="2" t="s">
        <v>934</v>
      </c>
      <c r="H289" s="2" t="s">
        <v>36</v>
      </c>
      <c r="I289" s="2" t="str">
        <f>IFERROR(__xludf.DUMMYFUNCTION("GOOGLETRANSLATE(C289,""fr"",""en"")"),"To sign a contract nothing faster !! To pay ditto no problem, !!!!!")</f>
        <v>To sign a contract nothing faster !! To pay ditto no problem, !!!!!</v>
      </c>
    </row>
    <row r="290" ht="15.75" customHeight="1">
      <c r="A290" s="2">
        <v>2.0</v>
      </c>
      <c r="B290" s="2" t="s">
        <v>935</v>
      </c>
      <c r="C290" s="2" t="s">
        <v>936</v>
      </c>
      <c r="D290" s="2" t="s">
        <v>13</v>
      </c>
      <c r="E290" s="2" t="s">
        <v>14</v>
      </c>
      <c r="F290" s="2" t="s">
        <v>15</v>
      </c>
      <c r="G290" s="2" t="s">
        <v>937</v>
      </c>
      <c r="H290" s="2" t="s">
        <v>636</v>
      </c>
      <c r="I290" s="2" t="str">
        <f>IFERROR(__xludf.DUMMYFUNCTION("GOOGLETRANSLATE(C290,""fr"",""en"")"),"As long as there is no claim, everything is fine.")</f>
        <v>As long as there is no claim, everything is fine.</v>
      </c>
    </row>
    <row r="291" ht="15.75" customHeight="1">
      <c r="A291" s="2">
        <v>3.0</v>
      </c>
      <c r="B291" s="2" t="s">
        <v>938</v>
      </c>
      <c r="C291" s="2" t="s">
        <v>939</v>
      </c>
      <c r="D291" s="2" t="s">
        <v>13</v>
      </c>
      <c r="E291" s="2" t="s">
        <v>14</v>
      </c>
      <c r="F291" s="2" t="s">
        <v>15</v>
      </c>
      <c r="G291" s="2" t="s">
        <v>940</v>
      </c>
      <c r="H291" s="2" t="s">
        <v>42</v>
      </c>
      <c r="I291" s="2" t="str">
        <f>IFERROR(__xludf.DUMMYFUNCTION("GOOGLETRANSLATE(C291,""fr"",""en"")"),"The option is missing without a franchise
The all -risk price is a bit expensive in view of the price of my vehicle and my bonus years ...
I point out to you that I was at home before and that I left because you did not want to ensure a powerful car ..."&amp;" It's really a shame.")</f>
        <v>The option is missing without a franchise
The all -risk price is a bit expensive in view of the price of my vehicle and my bonus years ...
I point out to you that I was at home before and that I left because you did not want to ensure a powerful car ... It's really a shame.</v>
      </c>
    </row>
    <row r="292" ht="15.75" customHeight="1">
      <c r="A292" s="2">
        <v>1.0</v>
      </c>
      <c r="B292" s="2" t="s">
        <v>941</v>
      </c>
      <c r="C292" s="2" t="s">
        <v>942</v>
      </c>
      <c r="D292" s="2" t="s">
        <v>625</v>
      </c>
      <c r="E292" s="2" t="s">
        <v>34</v>
      </c>
      <c r="F292" s="2" t="s">
        <v>15</v>
      </c>
      <c r="G292" s="2" t="s">
        <v>943</v>
      </c>
      <c r="H292" s="2" t="s">
        <v>363</v>
      </c>
      <c r="I292" s="2" t="str">
        <f>IFERROR(__xludf.DUMMYFUNCTION("GOOGLETRANSLATE(C292,""fr"",""en"")"),"Impossible to contact them mail no answer and by phone if they want to win up to 25 mm waiting if they want to answer us a shame when in hospital care very very difficult to have them hospitals are dissatisfied and Mençoise to get you paying this mutual i"&amp;"nsurance company is really to be avoided and expensive in addition.")</f>
        <v>Impossible to contact them mail no answer and by phone if they want to win up to 25 mm waiting if they want to answer us a shame when in hospital care very very difficult to have them hospitals are dissatisfied and Mençoise to get you paying this mutual insurance company is really to be avoided and expensive in addition.</v>
      </c>
    </row>
    <row r="293" ht="15.75" customHeight="1">
      <c r="A293" s="2">
        <v>3.0</v>
      </c>
      <c r="B293" s="2" t="s">
        <v>944</v>
      </c>
      <c r="C293" s="2" t="s">
        <v>945</v>
      </c>
      <c r="D293" s="2" t="s">
        <v>13</v>
      </c>
      <c r="E293" s="2" t="s">
        <v>14</v>
      </c>
      <c r="F293" s="2" t="s">
        <v>15</v>
      </c>
      <c r="G293" s="2" t="s">
        <v>946</v>
      </c>
      <c r="H293" s="2" t="s">
        <v>73</v>
      </c>
      <c r="I293" s="2" t="str">
        <f>IFERROR(__xludf.DUMMYFUNCTION("GOOGLETRANSLATE(C293,""fr"",""en"")"),"I find that the quote is very high for the type of this vehicle we will make several quotes to competition to be able to make our decision")</f>
        <v>I find that the quote is very high for the type of this vehicle we will make several quotes to competition to be able to make our decision</v>
      </c>
    </row>
    <row r="294" ht="15.75" customHeight="1">
      <c r="A294" s="2">
        <v>1.0</v>
      </c>
      <c r="B294" s="2" t="s">
        <v>947</v>
      </c>
      <c r="C294" s="2" t="s">
        <v>948</v>
      </c>
      <c r="D294" s="2" t="s">
        <v>117</v>
      </c>
      <c r="E294" s="2" t="s">
        <v>40</v>
      </c>
      <c r="F294" s="2" t="s">
        <v>15</v>
      </c>
      <c r="G294" s="2" t="s">
        <v>949</v>
      </c>
      <c r="H294" s="2" t="s">
        <v>349</v>
      </c>
      <c r="I294" s="2" t="str">
        <f>IFERROR(__xludf.DUMMYFUNCTION("GOOGLETRANSLATE(C294,""fr"",""en"")"),"Insurer to avoid at all costs. Regularly relaunched me with an injunction to pay for insurance that I have not even taken out. It is a question of forcing payment. And after two recommended and a complaint on the website, always threats of recovery and no"&amp;" response from the Insurer Allianz. It is unacceptable. to be avoided")</f>
        <v>Insurer to avoid at all costs. Regularly relaunched me with an injunction to pay for insurance that I have not even taken out. It is a question of forcing payment. And after two recommended and a complaint on the website, always threats of recovery and no response from the Insurer Allianz. It is unacceptable. to be avoided</v>
      </c>
    </row>
    <row r="295" ht="15.75" customHeight="1">
      <c r="A295" s="2">
        <v>1.0</v>
      </c>
      <c r="B295" s="2" t="s">
        <v>950</v>
      </c>
      <c r="C295" s="2" t="s">
        <v>951</v>
      </c>
      <c r="D295" s="2" t="s">
        <v>253</v>
      </c>
      <c r="E295" s="2" t="s">
        <v>97</v>
      </c>
      <c r="F295" s="2" t="s">
        <v>15</v>
      </c>
      <c r="G295" s="2" t="s">
        <v>732</v>
      </c>
      <c r="H295" s="2" t="s">
        <v>108</v>
      </c>
      <c r="I295" s="2" t="str">
        <f>IFERROR(__xludf.DUMMYFUNCTION("GOOGLETRANSLATE(C295,""fr"",""en"")"),"Insurer V-L--R. Same contract renounced the company collects a dimensions of 50 euros for costs ... !!!! This is the first time that I have been trying online insurance and it will be the last time notices to new betatesseurs ....")</f>
        <v>Insurer V-L--R. Same contract renounced the company collects a dimensions of 50 euros for costs ... !!!! This is the first time that I have been trying online insurance and it will be the last time notices to new betatesseurs ....</v>
      </c>
    </row>
    <row r="296" ht="15.75" customHeight="1">
      <c r="A296" s="2">
        <v>1.0</v>
      </c>
      <c r="B296" s="2" t="s">
        <v>952</v>
      </c>
      <c r="C296" s="2" t="s">
        <v>953</v>
      </c>
      <c r="D296" s="2" t="s">
        <v>621</v>
      </c>
      <c r="E296" s="2" t="s">
        <v>66</v>
      </c>
      <c r="F296" s="2" t="s">
        <v>15</v>
      </c>
      <c r="G296" s="2" t="s">
        <v>954</v>
      </c>
      <c r="H296" s="2" t="s">
        <v>814</v>
      </c>
      <c r="I296" s="2" t="str">
        <f>IFERROR(__xludf.DUMMYFUNCTION("GOOGLETRANSLATE(C296,""fr"",""en"")"),"stealth insurance! They take us every month money for specific covers, and the day you have health problems and think to be covered for your pathology, you are doing tale that they will do everything so as not to honor their services by playing On the wor"&amp;"ds and by dragging as much as possible to discourage you and that you abandon! I think they are incompetent in this insurance profession!
I strongly advise them if we want to be well covered!")</f>
        <v>stealth insurance! They take us every month money for specific covers, and the day you have health problems and think to be covered for your pathology, you are doing tale that they will do everything so as not to honor their services by playing On the words and by dragging as much as possible to discourage you and that you abandon! I think they are incompetent in this insurance profession!
I strongly advise them if we want to be well covered!</v>
      </c>
    </row>
    <row r="297" ht="15.75" customHeight="1">
      <c r="A297" s="2">
        <v>5.0</v>
      </c>
      <c r="B297" s="2" t="s">
        <v>955</v>
      </c>
      <c r="C297" s="2" t="s">
        <v>956</v>
      </c>
      <c r="D297" s="2" t="s">
        <v>134</v>
      </c>
      <c r="E297" s="2" t="s">
        <v>56</v>
      </c>
      <c r="F297" s="2" t="s">
        <v>15</v>
      </c>
      <c r="G297" s="2" t="s">
        <v>274</v>
      </c>
      <c r="H297" s="2" t="s">
        <v>128</v>
      </c>
      <c r="I297" s="2" t="str">
        <f>IFERROR(__xludf.DUMMYFUNCTION("GOOGLETRANSLATE(C297,""fr"",""en"")"),"To adopt quickly!
Simple and easy!
Super intuitive tool!
Subscribe because it is motorcycle insurance at the best value for money to save as much as possible.")</f>
        <v>To adopt quickly!
Simple and easy!
Super intuitive tool!
Subscribe because it is motorcycle insurance at the best value for money to save as much as possible.</v>
      </c>
    </row>
    <row r="298" ht="15.75" customHeight="1">
      <c r="A298" s="2">
        <v>3.0</v>
      </c>
      <c r="B298" s="2" t="s">
        <v>957</v>
      </c>
      <c r="C298" s="2" t="s">
        <v>958</v>
      </c>
      <c r="D298" s="2" t="s">
        <v>134</v>
      </c>
      <c r="E298" s="2" t="s">
        <v>56</v>
      </c>
      <c r="F298" s="2" t="s">
        <v>15</v>
      </c>
      <c r="G298" s="2" t="s">
        <v>475</v>
      </c>
      <c r="H298" s="2" t="s">
        <v>84</v>
      </c>
      <c r="I298" s="2" t="str">
        <f>IFERROR(__xludf.DUMMYFUNCTION("GOOGLETRANSLATE(C298,""fr"",""en"")"),"Hello
I am very satisfied with this service. It is fast and effective I highly recommend this insurance. Thank you very much.
")</f>
        <v>Hello
I am very satisfied with this service. It is fast and effective I highly recommend this insurance. Thank you very much.
</v>
      </c>
    </row>
    <row r="299" ht="15.75" customHeight="1">
      <c r="A299" s="2">
        <v>2.0</v>
      </c>
      <c r="B299" s="2" t="s">
        <v>959</v>
      </c>
      <c r="C299" s="2" t="s">
        <v>960</v>
      </c>
      <c r="D299" s="2" t="s">
        <v>13</v>
      </c>
      <c r="E299" s="2" t="s">
        <v>14</v>
      </c>
      <c r="F299" s="2" t="s">
        <v>15</v>
      </c>
      <c r="G299" s="2" t="s">
        <v>295</v>
      </c>
      <c r="H299" s="2" t="s">
        <v>17</v>
      </c>
      <c r="I299" s="2" t="str">
        <f>IFERROR(__xludf.DUMMYFUNCTION("GOOGLETRANSLATE(C299,""fr"",""en"")"),"Price compared to that of competition, even slightly more expensive.
The advisor to respond to my request even if she tried everything so as not to grant me the delivery of the two additional months when I am already a historic direct insurance custome"&amp;"r and that it is for an additional vehicle. The reason mentioned was that I had a contract under termination.
Especially since nowhere in the general conditions of the 2 -month free offer, this mention is informed.")</f>
        <v>Price compared to that of competition, even slightly more expensive.
The advisor to respond to my request even if she tried everything so as not to grant me the delivery of the two additional months when I am already a historic direct insurance customer and that it is for an additional vehicle. The reason mentioned was that I had a contract under termination.
Especially since nowhere in the general conditions of the 2 -month free offer, this mention is informed.</v>
      </c>
    </row>
    <row r="300" ht="15.75" customHeight="1">
      <c r="A300" s="2">
        <v>1.0</v>
      </c>
      <c r="B300" s="2" t="s">
        <v>961</v>
      </c>
      <c r="C300" s="2" t="s">
        <v>962</v>
      </c>
      <c r="D300" s="2" t="s">
        <v>13</v>
      </c>
      <c r="E300" s="2" t="s">
        <v>14</v>
      </c>
      <c r="F300" s="2" t="s">
        <v>15</v>
      </c>
      <c r="G300" s="2" t="s">
        <v>963</v>
      </c>
      <c r="H300" s="2" t="s">
        <v>48</v>
      </c>
      <c r="I300" s="2" t="str">
        <f>IFERROR(__xludf.DUMMYFUNCTION("GOOGLETRANSLATE(C300,""fr"",""en"")"),"I declared a claim (not responsible) on 2/01/2019, and it drags until today to develop the expertise file ... I am assured at any risk with the ""serenity"" option but We are not serene unfortunately. Direct Insurance only gives replacement cars during re"&amp;"pair. This means that I let me wait at least 20 days without a car until the expert makes his passage, the thing I find inadmissible and not professional !! (An expert has a maximum of 48 hours to respond to a passing order!). It is insurance that I absol"&amp;"utely do not recommend!")</f>
        <v>I declared a claim (not responsible) on 2/01/2019, and it drags until today to develop the expertise file ... I am assured at any risk with the "serenity" option but We are not serene unfortunately. Direct Insurance only gives replacement cars during repair. This means that I let me wait at least 20 days without a car until the expert makes his passage, the thing I find inadmissible and not professional !! (An expert has a maximum of 48 hours to respond to a passing order!). It is insurance that I absolutely do not recommend!</v>
      </c>
    </row>
    <row r="301" ht="15.75" customHeight="1">
      <c r="A301" s="2">
        <v>4.0</v>
      </c>
      <c r="B301" s="2" t="s">
        <v>964</v>
      </c>
      <c r="C301" s="2" t="s">
        <v>965</v>
      </c>
      <c r="D301" s="2" t="s">
        <v>55</v>
      </c>
      <c r="E301" s="2" t="s">
        <v>56</v>
      </c>
      <c r="F301" s="2" t="s">
        <v>15</v>
      </c>
      <c r="G301" s="2" t="s">
        <v>858</v>
      </c>
      <c r="H301" s="2" t="s">
        <v>17</v>
      </c>
      <c r="I301" s="2" t="str">
        <f>IFERROR(__xludf.DUMMYFUNCTION("GOOGLETRANSLATE(C301,""fr"",""en"")"),"Good price good telephone and simplicity to add or modify a contract. Nothing more to add thank you or maybe take more into account the years of permit than insurance for the price")</f>
        <v>Good price good telephone and simplicity to add or modify a contract. Nothing more to add thank you or maybe take more into account the years of permit than insurance for the price</v>
      </c>
    </row>
    <row r="302" ht="15.75" customHeight="1">
      <c r="A302" s="2">
        <v>1.0</v>
      </c>
      <c r="B302" s="2" t="s">
        <v>966</v>
      </c>
      <c r="C302" s="2" t="s">
        <v>967</v>
      </c>
      <c r="D302" s="2" t="s">
        <v>60</v>
      </c>
      <c r="E302" s="2" t="s">
        <v>40</v>
      </c>
      <c r="F302" s="2" t="s">
        <v>15</v>
      </c>
      <c r="G302" s="2" t="s">
        <v>968</v>
      </c>
      <c r="H302" s="2" t="s">
        <v>969</v>
      </c>
      <c r="I302" s="2" t="str">
        <f>IFERROR(__xludf.DUMMYFUNCTION("GOOGLETRANSLATE(C302,""fr"",""en"")"),"Insurance to flee absolutely. Having a disaster the person told us to record our disaster what they did not do ...! We called a plumber at our expense and more responses from the so -called file manager, Impossible to reach it either !! Apparently there a"&amp;"re 1 manager per file and if it is not the beIN No one does not take up the file !! Simply aberrant !!! Ineffical person, not qualified, and very unpleasant !!! In the end water damage with no help when we have paid insurance for years, and the only time "&amp;"there is a worries to answer !!!!")</f>
        <v>Insurance to flee absolutely. Having a disaster the person told us to record our disaster what they did not do ...! We called a plumber at our expense and more responses from the so -called file manager, Impossible to reach it either !! Apparently there are 1 manager per file and if it is not the beIN No one does not take up the file !! Simply aberrant !!! Ineffical person, not qualified, and very unpleasant !!! In the end water damage with no help when we have paid insurance for years, and the only time there is a worries to answer !!!!</v>
      </c>
    </row>
    <row r="303" ht="15.75" customHeight="1">
      <c r="A303" s="2">
        <v>4.0</v>
      </c>
      <c r="B303" s="2" t="s">
        <v>970</v>
      </c>
      <c r="C303" s="2" t="s">
        <v>971</v>
      </c>
      <c r="D303" s="2" t="s">
        <v>24</v>
      </c>
      <c r="E303" s="2" t="s">
        <v>14</v>
      </c>
      <c r="F303" s="2" t="s">
        <v>15</v>
      </c>
      <c r="G303" s="2" t="s">
        <v>972</v>
      </c>
      <c r="H303" s="2" t="s">
        <v>128</v>
      </c>
      <c r="I303" s="2" t="str">
        <f>IFERROR(__xludf.DUMMYFUNCTION("GOOGLETRANSLATE(C303,""fr"",""en"")"),"I am satisfied to have subscribed to the olive tree which makes me make beautiful savings, my leaf door will only be better, a big thank you to my brother, my godfather.")</f>
        <v>I am satisfied to have subscribed to the olive tree which makes me make beautiful savings, my leaf door will only be better, a big thank you to my brother, my godfather.</v>
      </c>
    </row>
    <row r="304" ht="15.75" customHeight="1">
      <c r="A304" s="2">
        <v>3.0</v>
      </c>
      <c r="B304" s="2" t="s">
        <v>973</v>
      </c>
      <c r="C304" s="2" t="s">
        <v>974</v>
      </c>
      <c r="D304" s="2" t="s">
        <v>28</v>
      </c>
      <c r="E304" s="2" t="s">
        <v>14</v>
      </c>
      <c r="F304" s="2" t="s">
        <v>15</v>
      </c>
      <c r="G304" s="2" t="s">
        <v>975</v>
      </c>
      <c r="H304" s="2" t="s">
        <v>540</v>
      </c>
      <c r="I304" s="2" t="str">
        <f>IFERROR(__xludf.DUMMYFUNCTION("GOOGLETRANSLATE(C304,""fr"",""en"")"),"former Matmut over 30 years old !! Or I was going to my agency and all was resolved by leaving. In all the Internet (Le Progrès) four emails no response. Tomorrow online insurance.")</f>
        <v>former Matmut over 30 years old !! Or I was going to my agency and all was resolved by leaving. In all the Internet (Le Progrès) four emails no response. Tomorrow online insurance.</v>
      </c>
    </row>
    <row r="305" ht="15.75" customHeight="1">
      <c r="A305" s="2">
        <v>3.0</v>
      </c>
      <c r="B305" s="2" t="s">
        <v>976</v>
      </c>
      <c r="C305" s="2" t="s">
        <v>977</v>
      </c>
      <c r="D305" s="2" t="s">
        <v>24</v>
      </c>
      <c r="E305" s="2" t="s">
        <v>14</v>
      </c>
      <c r="F305" s="2" t="s">
        <v>15</v>
      </c>
      <c r="G305" s="2" t="s">
        <v>978</v>
      </c>
      <c r="H305" s="2" t="s">
        <v>798</v>
      </c>
      <c r="I305" s="2" t="str">
        <f>IFERROR(__xludf.DUMMYFUNCTION("GOOGLETRANSLATE(C305,""fr"",""en"")"),"I have subscribed for my first car at home at all risk. I wanted to subscribe for my second vehicle with the -10% multiauto offer with the same guarantees.
Except that it is a false advertisement. He offered me that a reduction of 2 euros.
The advisor e"&amp;"xplained to me that the price was already interesting but could not explain to me why I did not have -10 %.
Low offer !!!!!!
It does not even meet their own condition for promotional offers.")</f>
        <v>I have subscribed for my first car at home at all risk. I wanted to subscribe for my second vehicle with the -10% multiauto offer with the same guarantees.
Except that it is a false advertisement. He offered me that a reduction of 2 euros.
The advisor explained to me that the price was already interesting but could not explain to me why I did not have -10 %.
Low offer !!!!!!
It does not even meet their own condition for promotional offers.</v>
      </c>
    </row>
    <row r="306" ht="15.75" customHeight="1">
      <c r="A306" s="2">
        <v>2.0</v>
      </c>
      <c r="B306" s="2" t="s">
        <v>979</v>
      </c>
      <c r="C306" s="2" t="s">
        <v>980</v>
      </c>
      <c r="D306" s="2" t="s">
        <v>981</v>
      </c>
      <c r="E306" s="2" t="s">
        <v>56</v>
      </c>
      <c r="F306" s="2" t="s">
        <v>15</v>
      </c>
      <c r="G306" s="2" t="s">
        <v>982</v>
      </c>
      <c r="H306" s="2" t="s">
        <v>367</v>
      </c>
      <c r="I306" s="2" t="str">
        <f>IFERROR(__xludf.DUMMYFUNCTION("GOOGLETRANSLATE(C306,""fr"",""en"")"),"Hello,
Having been insured with this broker, I strongly advise you not to subscribe to their services, which certainly have very affordable prices. Do not let yourself be coined by their effective responses when subscribing. Having been damaged 2 years"&amp;" ago, I have still not been reimbursed for my material damage. You will systematically come across the standard which will tell you that all the ""sinister service"" lines are occupied. I prefer to pay double the price and get real information and advice."&amp;" Up to you ;)")</f>
        <v>Hello,
Having been insured with this broker, I strongly advise you not to subscribe to their services, which certainly have very affordable prices. Do not let yourself be coined by their effective responses when subscribing. Having been damaged 2 years ago, I have still not been reimbursed for my material damage. You will systematically come across the standard which will tell you that all the "sinister service" lines are occupied. I prefer to pay double the price and get real information and advice. Up to you ;)</v>
      </c>
    </row>
    <row r="307" ht="15.75" customHeight="1">
      <c r="A307" s="2">
        <v>2.0</v>
      </c>
      <c r="B307" s="2" t="s">
        <v>983</v>
      </c>
      <c r="C307" s="2" t="s">
        <v>984</v>
      </c>
      <c r="D307" s="2" t="s">
        <v>178</v>
      </c>
      <c r="E307" s="2" t="s">
        <v>97</v>
      </c>
      <c r="F307" s="2" t="s">
        <v>15</v>
      </c>
      <c r="G307" s="2" t="s">
        <v>985</v>
      </c>
      <c r="H307" s="2" t="s">
        <v>363</v>
      </c>
      <c r="I307" s="2" t="str">
        <f>IFERROR(__xludf.DUMMYFUNCTION("GOOGLETRANSLATE(C307,""fr"",""en"")"),"We have taken out borrower insurance with multi -impact intermediary. Following the death of my spouse in September 2020 Multi Impact confirmed to me well on November 9 that Generali took care of the loan that the funds would be paid in the days, today 1 "&amp;"month after nothing.
Knowing that my first request dates from September 23.
To pay no problem but to be reimbursed it is something else.
Losing a spouse generates expensive costs.
After several complaints is advancing and I continue to pay my deadli"&amp;"nes.
In addition no coordinates to reach Generali because you have to go through multi impact.
I will not advertise quite the contrary")</f>
        <v>We have taken out borrower insurance with multi -impact intermediary. Following the death of my spouse in September 2020 Multi Impact confirmed to me well on November 9 that Generali took care of the loan that the funds would be paid in the days, today 1 month after nothing.
Knowing that my first request dates from September 23.
To pay no problem but to be reimbursed it is something else.
Losing a spouse generates expensive costs.
After several complaints is advancing and I continue to pay my deadlines.
In addition no coordinates to reach Generali because you have to go through multi impact.
I will not advertise quite the contrary</v>
      </c>
    </row>
    <row r="308" ht="15.75" customHeight="1">
      <c r="A308" s="2">
        <v>5.0</v>
      </c>
      <c r="B308" s="2" t="s">
        <v>986</v>
      </c>
      <c r="C308" s="2" t="s">
        <v>987</v>
      </c>
      <c r="D308" s="2" t="s">
        <v>13</v>
      </c>
      <c r="E308" s="2" t="s">
        <v>14</v>
      </c>
      <c r="F308" s="2" t="s">
        <v>15</v>
      </c>
      <c r="G308" s="2" t="s">
        <v>384</v>
      </c>
      <c r="H308" s="2" t="s">
        <v>21</v>
      </c>
      <c r="I308" s="2" t="str">
        <f>IFERROR(__xludf.DUMMYFUNCTION("GOOGLETRANSLATE(C308,""fr"",""en"")"),"We are satisfied with the simple and fast service.
Just price.
Insurance was recommended to us by friends who also provided their car at Direct Insurance and they are also satisfied with it.")</f>
        <v>We are satisfied with the simple and fast service.
Just price.
Insurance was recommended to us by friends who also provided their car at Direct Insurance and they are also satisfied with it.</v>
      </c>
    </row>
    <row r="309" ht="15.75" customHeight="1">
      <c r="A309" s="2">
        <v>1.0</v>
      </c>
      <c r="B309" s="2" t="s">
        <v>988</v>
      </c>
      <c r="C309" s="2" t="s">
        <v>989</v>
      </c>
      <c r="D309" s="2" t="s">
        <v>13</v>
      </c>
      <c r="E309" s="2" t="s">
        <v>14</v>
      </c>
      <c r="F309" s="2" t="s">
        <v>15</v>
      </c>
      <c r="G309" s="2" t="s">
        <v>990</v>
      </c>
      <c r="H309" s="2" t="s">
        <v>814</v>
      </c>
      <c r="I309" s="2" t="str">
        <f>IFERROR(__xludf.DUMMYFUNCTION("GOOGLETRANSLATE(C309,""fr"",""en"")"),"Low coast at any level ..... Contempt of the customer. To avoid ... pray so as not to have a claim")</f>
        <v>Low coast at any level ..... Contempt of the customer. To avoid ... pray so as not to have a claim</v>
      </c>
    </row>
    <row r="310" ht="15.75" customHeight="1">
      <c r="A310" s="2">
        <v>4.0</v>
      </c>
      <c r="B310" s="2" t="s">
        <v>991</v>
      </c>
      <c r="C310" s="2" t="s">
        <v>992</v>
      </c>
      <c r="D310" s="2" t="s">
        <v>993</v>
      </c>
      <c r="E310" s="2" t="s">
        <v>268</v>
      </c>
      <c r="F310" s="2" t="s">
        <v>15</v>
      </c>
      <c r="G310" s="2" t="s">
        <v>994</v>
      </c>
      <c r="H310" s="2" t="s">
        <v>826</v>
      </c>
      <c r="I310" s="2" t="str">
        <f>IFERROR(__xludf.DUMMYFUNCTION("GOOGLETRANSLATE(C310,""fr"",""en"")"),"I am satisfied with my contract with Santévet for my cat. Refunds are made on time indicated. We must read what we are committed to before signing as for any insurance")</f>
        <v>I am satisfied with my contract with Santévet for my cat. Refunds are made on time indicated. We must read what we are committed to before signing as for any insurance</v>
      </c>
    </row>
    <row r="311" ht="15.75" customHeight="1">
      <c r="A311" s="2">
        <v>2.0</v>
      </c>
      <c r="B311" s="2" t="s">
        <v>995</v>
      </c>
      <c r="C311" s="2" t="s">
        <v>996</v>
      </c>
      <c r="D311" s="2" t="s">
        <v>570</v>
      </c>
      <c r="E311" s="2" t="s">
        <v>56</v>
      </c>
      <c r="F311" s="2" t="s">
        <v>15</v>
      </c>
      <c r="G311" s="2" t="s">
        <v>997</v>
      </c>
      <c r="H311" s="2" t="s">
        <v>694</v>
      </c>
      <c r="I311" s="2" t="str">
        <f>IFERROR(__xludf.DUMMYFUNCTION("GOOGLETRANSLATE(C311,""fr"",""en"")"),"Impossible to join them in the event of a claim. 36th appeal and nobody discreets.
The registered letter following the claim has arrived at home for 8 days and nothing. No. Astral vacuum")</f>
        <v>Impossible to join them in the event of a claim. 36th appeal and nobody discreets.
The registered letter following the claim has arrived at home for 8 days and nothing. No. Astral vacuum</v>
      </c>
    </row>
    <row r="312" ht="15.75" customHeight="1">
      <c r="A312" s="2">
        <v>4.0</v>
      </c>
      <c r="B312" s="2" t="s">
        <v>998</v>
      </c>
      <c r="C312" s="2" t="s">
        <v>999</v>
      </c>
      <c r="D312" s="2" t="s">
        <v>617</v>
      </c>
      <c r="E312" s="2" t="s">
        <v>46</v>
      </c>
      <c r="F312" s="2" t="s">
        <v>15</v>
      </c>
      <c r="G312" s="2" t="s">
        <v>784</v>
      </c>
      <c r="H312" s="2" t="s">
        <v>292</v>
      </c>
      <c r="I312" s="2" t="str">
        <f>IFERROR(__xludf.DUMMYFUNCTION("GOOGLETRANSLATE(C312,""fr"",""en"")"),"Death of my dad who had life insurance. I provided the documents by internet. A few days after the transfer was made on my account. Very well. Clear fast and serious.")</f>
        <v>Death of my dad who had life insurance. I provided the documents by internet. A few days after the transfer was made on my account. Very well. Clear fast and serious.</v>
      </c>
    </row>
    <row r="313" ht="15.75" customHeight="1">
      <c r="A313" s="2">
        <v>5.0</v>
      </c>
      <c r="B313" s="2" t="s">
        <v>1000</v>
      </c>
      <c r="C313" s="2" t="s">
        <v>1001</v>
      </c>
      <c r="D313" s="2" t="s">
        <v>60</v>
      </c>
      <c r="E313" s="2" t="s">
        <v>14</v>
      </c>
      <c r="F313" s="2" t="s">
        <v>15</v>
      </c>
      <c r="G313" s="2" t="s">
        <v>475</v>
      </c>
      <c r="H313" s="2" t="s">
        <v>84</v>
      </c>
      <c r="I313" s="2" t="str">
        <f>IFERROR(__xludf.DUMMYFUNCTION("GOOGLETRANSLATE(C313,""fr"",""en"")"),"Excellent insurer. Top advisor and claims manager too.
They make the advances of funds without invoice. They are very responsive!
They are not one of the cheaper on the market but the quality of my contract is really very good.")</f>
        <v>Excellent insurer. Top advisor and claims manager too.
They make the advances of funds without invoice. They are very responsive!
They are not one of the cheaper on the market but the quality of my contract is really very good.</v>
      </c>
    </row>
    <row r="314" ht="15.75" customHeight="1">
      <c r="A314" s="2">
        <v>1.0</v>
      </c>
      <c r="B314" s="2" t="s">
        <v>1002</v>
      </c>
      <c r="C314" s="2" t="s">
        <v>1003</v>
      </c>
      <c r="D314" s="2" t="s">
        <v>13</v>
      </c>
      <c r="E314" s="2" t="s">
        <v>14</v>
      </c>
      <c r="F314" s="2" t="s">
        <v>15</v>
      </c>
      <c r="G314" s="2" t="s">
        <v>487</v>
      </c>
      <c r="H314" s="2" t="s">
        <v>128</v>
      </c>
      <c r="I314" s="2" t="str">
        <f>IFERROR(__xludf.DUMMYFUNCTION("GOOGLETRANSLATE(C314,""fr"",""en"")"),"Navigation on your site or on the not very flexible app. Plant often. You can't download a gray card despite its change. And when you call your service, impossible?")</f>
        <v>Navigation on your site or on the not very flexible app. Plant often. You can't download a gray card despite its change. And when you call your service, impossible?</v>
      </c>
    </row>
    <row r="315" ht="15.75" customHeight="1">
      <c r="A315" s="2">
        <v>1.0</v>
      </c>
      <c r="B315" s="2" t="s">
        <v>1004</v>
      </c>
      <c r="C315" s="2" t="s">
        <v>1005</v>
      </c>
      <c r="D315" s="2" t="s">
        <v>71</v>
      </c>
      <c r="E315" s="2" t="s">
        <v>14</v>
      </c>
      <c r="F315" s="2" t="s">
        <v>15</v>
      </c>
      <c r="G315" s="2" t="s">
        <v>1006</v>
      </c>
      <c r="H315" s="2" t="s">
        <v>1007</v>
      </c>
      <c r="I315" s="2" t="str">
        <f>IFERROR(__xludf.DUMMYFUNCTION("GOOGLETRANSLATE(C315,""fr"",""en"")"),"Hello,
I have been affiliated with Maif for 50 years and I must say that I am speechless in front of the way my file was managed this last month.
Small reminder of the fast facts:
Theft of my car on July 4, 2017, Maif reacts quickly and I benefit from "&amp;"the loan of a car from mid July (I will return it in August). The car was found on July 31 by the gendarmerie with false plates. Maif calls an expert. It will be necessary to wait until September 12 for the expert report to be taken into account by the MA"&amp;"IF.
On September 14, I receive a maif email telling me that there is no mechanical and electronic offense and therefore the flight is not materialized !! This email adds that the vehicle ""carries a different registration""
I find it mind -blowing on th"&amp;"e part of an insurer to whom I gave my confidence for 50 years. Manufacturers and insurers know very well that it is possible to steal a car (especially a Renault like mine) by electronic hacking as described in the Video turned by Auto Plus:
https://you"&amp;"tu.be/pyfrz4Huf_c
I do not understand how an insurer can tell me that my car which disappeared when I came to take it back and which is found 26 days later with different plates was not stolen !!
It is a lack of respect and absolute professionalism!
I "&amp;"strongly advise against choosing the maif to ensure your car
")</f>
        <v>Hello,
I have been affiliated with Maif for 50 years and I must say that I am speechless in front of the way my file was managed this last month.
Small reminder of the fast facts:
Theft of my car on July 4, 2017, Maif reacts quickly and I benefit from the loan of a car from mid July (I will return it in August). The car was found on July 31 by the gendarmerie with false plates. Maif calls an expert. It will be necessary to wait until September 12 for the expert report to be taken into account by the MAIF.
On September 14, I receive a maif email telling me that there is no mechanical and electronic offense and therefore the flight is not materialized !! This email adds that the vehicle "carries a different registration"
I find it mind -blowing on the part of an insurer to whom I gave my confidence for 50 years. Manufacturers and insurers know very well that it is possible to steal a car (especially a Renault like mine) by electronic hacking as described in the Video turned by Auto Plus:
https://youtu.be/pyfrz4Huf_c
I do not understand how an insurer can tell me that my car which disappeared when I came to take it back and which is found 26 days later with different plates was not stolen !!
It is a lack of respect and absolute professionalism!
I strongly advise against choosing the maif to ensure your car
</v>
      </c>
    </row>
    <row r="316" ht="15.75" customHeight="1">
      <c r="A316" s="2">
        <v>1.0</v>
      </c>
      <c r="B316" s="2" t="s">
        <v>1008</v>
      </c>
      <c r="C316" s="2" t="s">
        <v>1009</v>
      </c>
      <c r="D316" s="2" t="s">
        <v>13</v>
      </c>
      <c r="E316" s="2" t="s">
        <v>14</v>
      </c>
      <c r="F316" s="2" t="s">
        <v>15</v>
      </c>
      <c r="G316" s="2" t="s">
        <v>1010</v>
      </c>
      <c r="H316" s="2" t="s">
        <v>163</v>
      </c>
      <c r="I316" s="2" t="str">
        <f>IFERROR(__xludf.DUMMYFUNCTION("GOOGLETRANSLATE(C316,""fr"",""en"")"),"taken which increases every year very hard to reach you on the phone")</f>
        <v>taken which increases every year very hard to reach you on the phone</v>
      </c>
    </row>
    <row r="317" ht="15.75" customHeight="1">
      <c r="A317" s="2">
        <v>2.0</v>
      </c>
      <c r="B317" s="2" t="s">
        <v>1011</v>
      </c>
      <c r="C317" s="2" t="s">
        <v>1012</v>
      </c>
      <c r="D317" s="2" t="s">
        <v>71</v>
      </c>
      <c r="E317" s="2" t="s">
        <v>40</v>
      </c>
      <c r="F317" s="2" t="s">
        <v>15</v>
      </c>
      <c r="G317" s="2" t="s">
        <v>242</v>
      </c>
      <c r="H317" s="2" t="s">
        <v>243</v>
      </c>
      <c r="I317" s="2" t="str">
        <f>IFERROR(__xludf.DUMMYFUNCTION("GOOGLETRANSLATE(C317,""fr"",""en"")"),"I contacted the MAIF in November following a water damage problem that revealed a criminal on the roof. The MAIF was very responsive for water damage but on the other hand is deaf ear to bring me help to solve the problem of the criminal and help me asser"&amp;"t the ten -year guarantee. There has been an error on their part on membership of a legal protection contract and despite my regular reminders I have no response. I am deeply shocked, no recognition of loyalty (I have been in Maif for 45 years)")</f>
        <v>I contacted the MAIF in November following a water damage problem that revealed a criminal on the roof. The MAIF was very responsive for water damage but on the other hand is deaf ear to bring me help to solve the problem of the criminal and help me assert the ten -year guarantee. There has been an error on their part on membership of a legal protection contract and despite my regular reminders I have no response. I am deeply shocked, no recognition of loyalty (I have been in Maif for 45 years)</v>
      </c>
    </row>
    <row r="318" ht="15.75" customHeight="1">
      <c r="A318" s="2">
        <v>1.0</v>
      </c>
      <c r="B318" s="2" t="s">
        <v>1013</v>
      </c>
      <c r="C318" s="2" t="s">
        <v>1014</v>
      </c>
      <c r="D318" s="2" t="s">
        <v>33</v>
      </c>
      <c r="E318" s="2" t="s">
        <v>34</v>
      </c>
      <c r="F318" s="2" t="s">
        <v>15</v>
      </c>
      <c r="G318" s="2" t="s">
        <v>1015</v>
      </c>
      <c r="H318" s="2" t="s">
        <v>119</v>
      </c>
      <c r="I318" s="2" t="str">
        <f>IFERROR(__xludf.DUMMYFUNCTION("GOOGLETRANSLATE(C318,""fr"",""en"")"),"I have left the mutual for a long time because very very very expensive and inexpensive but I have to stay at MGEN as a social security.
With my husband we lost our vital cards. Mr is at the CPAM. The card request was made online with the photo scan. The"&amp;" CPAM sent it 1 week later. Nickel nothing to complain about: easy, fast and efficient.
Now MGEN ..... after 1/4 hour on the site I find a paper form to print, fill out and return to the MGEN ....
After 15 days, seeing nothing I went to my section and"&amp;" no trace of my request. I fill a new print and for 2 months nothing moves (confinement no doubt)
It's been 3 months since I have a vital card (fortunately I have a paper certificate)
Why such a simple approach is so complex at MGEN.
I ask myself a q"&amp;"uestion: then I go to register in security at the CPAM and definitively leave the MGEN because I can no longer of these incompetent.
If the MGEN can answer me or if someone knows if we can leave the MGEN SECTION I am interested.")</f>
        <v>I have left the mutual for a long time because very very very expensive and inexpensive but I have to stay at MGEN as a social security.
With my husband we lost our vital cards. Mr is at the CPAM. The card request was made online with the photo scan. The CPAM sent it 1 week later. Nickel nothing to complain about: easy, fast and efficient.
Now MGEN ..... after 1/4 hour on the site I find a paper form to print, fill out and return to the MGEN ....
After 15 days, seeing nothing I went to my section and no trace of my request. I fill a new print and for 2 months nothing moves (confinement no doubt)
It's been 3 months since I have a vital card (fortunately I have a paper certificate)
Why such a simple approach is so complex at MGEN.
I ask myself a question: then I go to register in security at the CPAM and definitively leave the MGEN because I can no longer of these incompetent.
If the MGEN can answer me or if someone knows if we can leave the MGEN SECTION I am interested.</v>
      </c>
    </row>
    <row r="319" ht="15.75" customHeight="1">
      <c r="A319" s="2">
        <v>4.0</v>
      </c>
      <c r="B319" s="2" t="s">
        <v>1016</v>
      </c>
      <c r="C319" s="2" t="s">
        <v>1017</v>
      </c>
      <c r="D319" s="2" t="s">
        <v>13</v>
      </c>
      <c r="E319" s="2" t="s">
        <v>14</v>
      </c>
      <c r="F319" s="2" t="s">
        <v>15</v>
      </c>
      <c r="G319" s="2" t="s">
        <v>1018</v>
      </c>
      <c r="H319" s="2" t="s">
        <v>21</v>
      </c>
      <c r="I319" s="2" t="str">
        <f>IFERROR(__xludf.DUMMYFUNCTION("GOOGLETRANSLATE(C319,""fr"",""en"")"),"The value for money is satisfactory for a young driver but it is difficult to reach you by phone and have the same interlocutor
")</f>
        <v>The value for money is satisfactory for a young driver but it is difficult to reach you by phone and have the same interlocutor
</v>
      </c>
    </row>
    <row r="320" ht="15.75" customHeight="1">
      <c r="A320" s="2">
        <v>1.0</v>
      </c>
      <c r="B320" s="2" t="s">
        <v>1019</v>
      </c>
      <c r="C320" s="2" t="s">
        <v>1020</v>
      </c>
      <c r="D320" s="2" t="s">
        <v>33</v>
      </c>
      <c r="E320" s="2" t="s">
        <v>34</v>
      </c>
      <c r="F320" s="2" t="s">
        <v>15</v>
      </c>
      <c r="G320" s="2" t="s">
        <v>1021</v>
      </c>
      <c r="H320" s="2" t="s">
        <v>798</v>
      </c>
      <c r="I320" s="2" t="str">
        <f>IFERROR(__xludf.DUMMYFUNCTION("GOOGLETRANSLATE(C320,""fr"",""en"")"),"40 years of contributions for what benefit? No value and lots of unnecessary expenses. The MGEN went on the CAC40 clothes and makes its members pay dearly. We promote young people and we plume the ancients. We reimburse at least, we invent new diseases an"&amp;"d we forget the essential. Deaf dialogues, difficult contacts, RTT and sacred leave. RUN AWAY. You are not married to them ...!")</f>
        <v>40 years of contributions for what benefit? No value and lots of unnecessary expenses. The MGEN went on the CAC40 clothes and makes its members pay dearly. We promote young people and we plume the ancients. We reimburse at least, we invent new diseases and we forget the essential. Deaf dialogues, difficult contacts, RTT and sacred leave. RUN AWAY. You are not married to them ...!</v>
      </c>
    </row>
    <row r="321" ht="15.75" customHeight="1">
      <c r="A321" s="2">
        <v>1.0</v>
      </c>
      <c r="B321" s="2" t="s">
        <v>1022</v>
      </c>
      <c r="C321" s="2" t="s">
        <v>1023</v>
      </c>
      <c r="D321" s="2" t="s">
        <v>361</v>
      </c>
      <c r="E321" s="2" t="s">
        <v>40</v>
      </c>
      <c r="F321" s="2" t="s">
        <v>15</v>
      </c>
      <c r="G321" s="2" t="s">
        <v>1024</v>
      </c>
      <c r="H321" s="2" t="s">
        <v>292</v>
      </c>
      <c r="I321" s="2" t="str">
        <f>IFERROR(__xludf.DUMMYFUNCTION("GOOGLETRANSLATE(C321,""fr"",""en"")"),"If we could put 0 star I think this insurance would deserve it.
I paid for a leak search service because my neighbor had water flowing in his apartment. Thinking that I will be reimbursed and as the problem came from my house I did not ask myself.
After"&amp;" several weeks without news I decided to contact Sogessur to find out where my file is. And finally I am replied that I will not be reimbursed because there was no material damage at home or my neighbor!
It's a shame to pay insurance that plays on words "&amp;"so as not to reimburse you!")</f>
        <v>If we could put 0 star I think this insurance would deserve it.
I paid for a leak search service because my neighbor had water flowing in his apartment. Thinking that I will be reimbursed and as the problem came from my house I did not ask myself.
After several weeks without news I decided to contact Sogessur to find out where my file is. And finally I am replied that I will not be reimbursed because there was no material damage at home or my neighbor!
It's a shame to pay insurance that plays on words so as not to reimburse you!</v>
      </c>
    </row>
    <row r="322" ht="15.75" customHeight="1">
      <c r="A322" s="2">
        <v>3.0</v>
      </c>
      <c r="B322" s="2" t="s">
        <v>1025</v>
      </c>
      <c r="C322" s="2" t="s">
        <v>1026</v>
      </c>
      <c r="D322" s="2" t="s">
        <v>13</v>
      </c>
      <c r="E322" s="2" t="s">
        <v>14</v>
      </c>
      <c r="F322" s="2" t="s">
        <v>15</v>
      </c>
      <c r="G322" s="2" t="s">
        <v>1027</v>
      </c>
      <c r="H322" s="2" t="s">
        <v>84</v>
      </c>
      <c r="I322" s="2" t="str">
        <f>IFERROR(__xludf.DUMMYFUNCTION("GOOGLETRANSLATE(C322,""fr"",""en"")"),"Simple and practical, fast online access
Former customer direct insurance part insurance by obligation and return today.
Easy access to competitive quotes
Thank you")</f>
        <v>Simple and practical, fast online access
Former customer direct insurance part insurance by obligation and return today.
Easy access to competitive quotes
Thank you</v>
      </c>
    </row>
    <row r="323" ht="15.75" customHeight="1">
      <c r="A323" s="2">
        <v>1.0</v>
      </c>
      <c r="B323" s="2" t="s">
        <v>1028</v>
      </c>
      <c r="C323" s="2" t="s">
        <v>1029</v>
      </c>
      <c r="D323" s="2" t="s">
        <v>209</v>
      </c>
      <c r="E323" s="2" t="s">
        <v>14</v>
      </c>
      <c r="F323" s="2" t="s">
        <v>15</v>
      </c>
      <c r="G323" s="2" t="s">
        <v>1030</v>
      </c>
      <c r="H323" s="2" t="s">
        <v>444</v>
      </c>
      <c r="I323" s="2" t="str">
        <f>IFERROR(__xludf.DUMMYFUNCTION("GOOGLETRANSLATE(C323,""fr"",""en"")"),"I do not advise you the Maaf completely disappointed 25 years with them and for a disaster we make you pass for a madman we wish the repatriation of our vehicle which was already done 10 years ago I am told that it does not exist and that it never existed"&amp;".
This vehicle we really hold it, it's true its argus has dropped a lot.
25 years that we have been at home for all our insurance 3 cars and housing.
We really disappointed we will terminate")</f>
        <v>I do not advise you the Maaf completely disappointed 25 years with them and for a disaster we make you pass for a madman we wish the repatriation of our vehicle which was already done 10 years ago I am told that it does not exist and that it never existed.
This vehicle we really hold it, it's true its argus has dropped a lot.
25 years that we have been at home for all our insurance 3 cars and housing.
We really disappointed we will terminate</v>
      </c>
    </row>
    <row r="324" ht="15.75" customHeight="1">
      <c r="A324" s="2">
        <v>4.0</v>
      </c>
      <c r="B324" s="2" t="s">
        <v>1031</v>
      </c>
      <c r="C324" s="2" t="s">
        <v>1032</v>
      </c>
      <c r="D324" s="2" t="s">
        <v>24</v>
      </c>
      <c r="E324" s="2" t="s">
        <v>14</v>
      </c>
      <c r="F324" s="2" t="s">
        <v>15</v>
      </c>
      <c r="G324" s="2" t="s">
        <v>1033</v>
      </c>
      <c r="H324" s="2" t="s">
        <v>21</v>
      </c>
      <c r="I324" s="2" t="str">
        <f>IFERROR(__xludf.DUMMYFUNCTION("GOOGLETRANSLATE(C324,""fr"",""en"")"),"I am satisfied even if I had problems paying online (I had to subscribe by phone ...)
I don't know what to say so I'm embroidery")</f>
        <v>I am satisfied even if I had problems paying online (I had to subscribe by phone ...)
I don't know what to say so I'm embroidery</v>
      </c>
    </row>
    <row r="325" ht="15.75" customHeight="1">
      <c r="A325" s="2">
        <v>1.0</v>
      </c>
      <c r="B325" s="2" t="s">
        <v>1034</v>
      </c>
      <c r="C325" s="2" t="s">
        <v>1035</v>
      </c>
      <c r="D325" s="2" t="s">
        <v>376</v>
      </c>
      <c r="E325" s="2" t="s">
        <v>34</v>
      </c>
      <c r="F325" s="2" t="s">
        <v>15</v>
      </c>
      <c r="G325" s="2" t="s">
        <v>943</v>
      </c>
      <c r="H325" s="2" t="s">
        <v>363</v>
      </c>
      <c r="I325" s="2" t="str">
        <f>IFERROR(__xludf.DUMMYFUNCTION("GOOGLETRANSLATE(C325,""fr"",""en"")"),"Disastrous customer service. No follow -up of the files. IT service that does not work. Telephone expectations to contact endless and unsuccessful customer service and billed at a crippling price ... No reminder of a manager despite numerous telephone and"&amp;" written reminders. Letter with AR sent to the customer service manager without any response for more than a month. More than 7,000 euros in blocked and not reimbursed care without the slightest explanation. A real scandal. If you are looking for a mutual"&amp;" insurance for your way. This company is the worst with which you can have to do.")</f>
        <v>Disastrous customer service. No follow -up of the files. IT service that does not work. Telephone expectations to contact endless and unsuccessful customer service and billed at a crippling price ... No reminder of a manager despite numerous telephone and written reminders. Letter with AR sent to the customer service manager without any response for more than a month. More than 7,000 euros in blocked and not reimbursed care without the slightest explanation. A real scandal. If you are looking for a mutual insurance for your way. This company is the worst with which you can have to do.</v>
      </c>
    </row>
    <row r="326" ht="15.75" customHeight="1">
      <c r="A326" s="2">
        <v>5.0</v>
      </c>
      <c r="B326" s="2" t="s">
        <v>1036</v>
      </c>
      <c r="C326" s="2" t="s">
        <v>1037</v>
      </c>
      <c r="D326" s="2" t="s">
        <v>24</v>
      </c>
      <c r="E326" s="2" t="s">
        <v>14</v>
      </c>
      <c r="F326" s="2" t="s">
        <v>15</v>
      </c>
      <c r="G326" s="2" t="s">
        <v>825</v>
      </c>
      <c r="H326" s="2" t="s">
        <v>826</v>
      </c>
      <c r="I326" s="2" t="str">
        <f>IFERROR(__xludf.DUMMYFUNCTION("GOOGLETRANSLATE(C326,""fr"",""en"")"),"Surprise..ancienne client of the GMF or we do not choose a discharge date ... Old at ASSU 2000 Extremely expensive and Departmenting no less than 50kms house ... The onion save my price level ... and date of pacement ..jai had a tire to die ... they send "&amp;"the Depanneur because I did not narrow to unlock my spare tire ... the Depanneur did it ... and I just pete my windshield ... they Mont Depanner .. PRETE A VEHICLE AND PROVIDE THE Taxi for my DEPLACES ... I am happy to find my insurer")</f>
        <v>Surprise..ancienne client of the GMF or we do not choose a discharge date ... Old at ASSU 2000 Extremely expensive and Departmenting no less than 50kms house ... The onion save my price level ... and date of pacement ..jai had a tire to die ... they send the Depanneur because I did not narrow to unlock my spare tire ... the Depanneur did it ... and I just pete my windshield ... they Mont Depanner .. PRETE A VEHICLE AND PROVIDE THE Taxi for my DEPLACES ... I am happy to find my insurer</v>
      </c>
    </row>
    <row r="327" ht="15.75" customHeight="1">
      <c r="A327" s="2">
        <v>5.0</v>
      </c>
      <c r="B327" s="2" t="s">
        <v>1038</v>
      </c>
      <c r="C327" s="2" t="s">
        <v>1039</v>
      </c>
      <c r="D327" s="2" t="s">
        <v>24</v>
      </c>
      <c r="E327" s="2" t="s">
        <v>14</v>
      </c>
      <c r="F327" s="2" t="s">
        <v>15</v>
      </c>
      <c r="G327" s="2" t="s">
        <v>1040</v>
      </c>
      <c r="H327" s="2" t="s">
        <v>764</v>
      </c>
      <c r="I327" s="2" t="str">
        <f>IFERROR(__xludf.DUMMYFUNCTION("GOOGLETRANSLATE(C327,""fr"",""en"")"),"I am very satisfied the prices The friendliness The service and the excellent reception very professional always listening to us Regards Mr. Schmitt")</f>
        <v>I am very satisfied the prices The friendliness The service and the excellent reception very professional always listening to us Regards Mr. Schmitt</v>
      </c>
    </row>
    <row r="328" ht="15.75" customHeight="1">
      <c r="A328" s="2">
        <v>2.0</v>
      </c>
      <c r="B328" s="2" t="s">
        <v>1041</v>
      </c>
      <c r="C328" s="2" t="s">
        <v>1042</v>
      </c>
      <c r="D328" s="2" t="s">
        <v>809</v>
      </c>
      <c r="E328" s="2" t="s">
        <v>66</v>
      </c>
      <c r="F328" s="2" t="s">
        <v>15</v>
      </c>
      <c r="G328" s="2" t="s">
        <v>1043</v>
      </c>
      <c r="H328" s="2" t="s">
        <v>108</v>
      </c>
      <c r="I328" s="2" t="str">
        <f>IFERROR(__xludf.DUMMYFUNCTION("GOOGLETRANSLATE(C328,""fr"",""en"")"),"Done in disability category 2 Since November 01, 2018, I warned the AG2R of this state of affairs on October 16, since after 5 or 6 letters plus a dozen telephone communications my file was stopped, to note That a few days after a call or I am told that m"&amp;"y file is complete, I systematically receive a new request from other documents by mail. Summum yesterday or I am announced an end of not receiving from my file, however the AG2R customer service is not able to provide me with a refusal notification which"&amp;" would allow me to enter the conciliator. The icing on the cake they do not respond to the emails left on their platform in the complaint menu.")</f>
        <v>Done in disability category 2 Since November 01, 2018, I warned the AG2R of this state of affairs on October 16, since after 5 or 6 letters plus a dozen telephone communications my file was stopped, to note That a few days after a call or I am told that my file is complete, I systematically receive a new request from other documents by mail. Summum yesterday or I am announced an end of not receiving from my file, however the AG2R customer service is not able to provide me with a refusal notification which would allow me to enter the conciliator. The icing on the cake they do not respond to the emails left on their platform in the complaint menu.</v>
      </c>
    </row>
    <row r="329" ht="15.75" customHeight="1">
      <c r="A329" s="2">
        <v>1.0</v>
      </c>
      <c r="B329" s="2" t="s">
        <v>1044</v>
      </c>
      <c r="C329" s="2" t="s">
        <v>1045</v>
      </c>
      <c r="D329" s="2" t="s">
        <v>731</v>
      </c>
      <c r="E329" s="2" t="s">
        <v>34</v>
      </c>
      <c r="F329" s="2" t="s">
        <v>15</v>
      </c>
      <c r="G329" s="2" t="s">
        <v>1046</v>
      </c>
      <c r="H329" s="2" t="s">
        <v>259</v>
      </c>
      <c r="I329" s="2" t="str">
        <f>IFERROR(__xludf.DUMMYFUNCTION("GOOGLETRANSLATE(C329,""fr"",""en"")"),"Very quick to make a quote and have the contract signed but no one when it comes to processing a complaint and above all an art to drag things.
I strongly advise against April")</f>
        <v>Very quick to make a quote and have the contract signed but no one when it comes to processing a complaint and above all an art to drag things.
I strongly advise against April</v>
      </c>
    </row>
    <row r="330" ht="15.75" customHeight="1">
      <c r="A330" s="2">
        <v>2.0</v>
      </c>
      <c r="B330" s="2" t="s">
        <v>1047</v>
      </c>
      <c r="C330" s="2" t="s">
        <v>1048</v>
      </c>
      <c r="D330" s="2" t="s">
        <v>117</v>
      </c>
      <c r="E330" s="2" t="s">
        <v>14</v>
      </c>
      <c r="F330" s="2" t="s">
        <v>15</v>
      </c>
      <c r="G330" s="2" t="s">
        <v>1049</v>
      </c>
      <c r="H330" s="2" t="s">
        <v>331</v>
      </c>
      <c r="I330" s="2" t="str">
        <f>IFERROR(__xludf.DUMMYFUNCTION("GOOGLETRANSLATE(C330,""fr"",""en"")"),"When it comes to taking out a contract, Eallianz reminds you in the 3min following your request for a quote, on the other hand as soon as you have paid, there is no one in customer service ... The validation of my 1st car contract at home Still took 5 wee"&amp;"ks because they were not able to edit a contract with the guarantees that I had chosen on their website ... In the end, I gave up my initial choice to finally be assured because After 4 email exchanges with 4 ""advisers"" (trainees?")</f>
        <v>When it comes to taking out a contract, Eallianz reminds you in the 3min following your request for a quote, on the other hand as soon as you have paid, there is no one in customer service ... The validation of my 1st car contract at home Still took 5 weeks because they were not able to edit a contract with the guarantees that I had chosen on their website ... In the end, I gave up my initial choice to finally be assured because After 4 email exchanges with 4 "advisers" (trainees?</v>
      </c>
    </row>
    <row r="331" ht="15.75" customHeight="1">
      <c r="A331" s="2">
        <v>4.0</v>
      </c>
      <c r="B331" s="2" t="s">
        <v>1050</v>
      </c>
      <c r="C331" s="2" t="s">
        <v>1051</v>
      </c>
      <c r="D331" s="2" t="s">
        <v>39</v>
      </c>
      <c r="E331" s="2" t="s">
        <v>40</v>
      </c>
      <c r="F331" s="2" t="s">
        <v>15</v>
      </c>
      <c r="G331" s="2" t="s">
        <v>1052</v>
      </c>
      <c r="H331" s="2" t="s">
        <v>140</v>
      </c>
      <c r="I331" s="2" t="str">
        <f>IFERROR(__xludf.DUMMYFUNCTION("GOOGLETRANSLATE(C331,""fr"",""en"")"),"Hello
The GMF is topissime! I highly recommend it.
Following a search for leakage due to a water damage in my apartment, the plumber left me an invoice of 400 euros. GMF reimbursed me entirely from the leak search, without even retaining a deductibl"&amp;"e on the sum that I had spent.
And this, within quick time (just over a month). GMF thus rewarded me my loyalty and as I had never had claims, it had to help full reimbursement.
This is my insurer for the multi -risk housing for years and, at the time"&amp;" of the claim, I can count on him. I will therefore remain faithful to GMF, since everything goes well in the event of a glitch. Nothing is worth a mutualist insurer like GMF.")</f>
        <v>Hello
The GMF is topissime! I highly recommend it.
Following a search for leakage due to a water damage in my apartment, the plumber left me an invoice of 400 euros. GMF reimbursed me entirely from the leak search, without even retaining a deductible on the sum that I had spent.
And this, within quick time (just over a month). GMF thus rewarded me my loyalty and as I had never had claims, it had to help full reimbursement.
This is my insurer for the multi -risk housing for years and, at the time of the claim, I can count on him. I will therefore remain faithful to GMF, since everything goes well in the event of a glitch. Nothing is worth a mutualist insurer like GMF.</v>
      </c>
    </row>
    <row r="332" ht="15.75" customHeight="1">
      <c r="A332" s="2">
        <v>5.0</v>
      </c>
      <c r="B332" s="2" t="s">
        <v>1053</v>
      </c>
      <c r="C332" s="2" t="s">
        <v>1054</v>
      </c>
      <c r="D332" s="2" t="s">
        <v>24</v>
      </c>
      <c r="E332" s="2" t="s">
        <v>14</v>
      </c>
      <c r="F332" s="2" t="s">
        <v>15</v>
      </c>
      <c r="G332" s="2" t="s">
        <v>1055</v>
      </c>
      <c r="H332" s="2" t="s">
        <v>540</v>
      </c>
      <c r="I332" s="2" t="str">
        <f>IFERROR(__xludf.DUMMYFUNCTION("GOOGLETRANSLATE(C332,""fr"",""en"")"),"Competitive auto insurance in terms of price and very reactive guarantees in the event of a claim or in the event of a contract modification, that is why I recommend it")</f>
        <v>Competitive auto insurance in terms of price and very reactive guarantees in the event of a claim or in the event of a contract modification, that is why I recommend it</v>
      </c>
    </row>
    <row r="333" ht="15.75" customHeight="1">
      <c r="A333" s="2">
        <v>1.0</v>
      </c>
      <c r="B333" s="2" t="s">
        <v>1056</v>
      </c>
      <c r="C333" s="2" t="s">
        <v>1057</v>
      </c>
      <c r="D333" s="2" t="s">
        <v>209</v>
      </c>
      <c r="E333" s="2" t="s">
        <v>14</v>
      </c>
      <c r="F333" s="2" t="s">
        <v>15</v>
      </c>
      <c r="G333" s="2" t="s">
        <v>1058</v>
      </c>
      <c r="H333" s="2" t="s">
        <v>403</v>
      </c>
      <c r="I333" s="2" t="str">
        <f>IFERROR(__xludf.DUMMYFUNCTION("GOOGLETRANSLATE(C333,""fr"",""en"")"),"Carpet merchants ... We push you to all risk with arguments that fall from the slightest claim (including not responsible)")</f>
        <v>Carpet merchants ... We push you to all risk with arguments that fall from the slightest claim (including not responsible)</v>
      </c>
    </row>
    <row r="334" ht="15.75" customHeight="1">
      <c r="A334" s="2">
        <v>1.0</v>
      </c>
      <c r="B334" s="2" t="s">
        <v>1059</v>
      </c>
      <c r="C334" s="2" t="s">
        <v>1060</v>
      </c>
      <c r="D334" s="2" t="s">
        <v>71</v>
      </c>
      <c r="E334" s="2" t="s">
        <v>40</v>
      </c>
      <c r="F334" s="2" t="s">
        <v>15</v>
      </c>
      <c r="G334" s="2" t="s">
        <v>1061</v>
      </c>
      <c r="H334" s="2" t="s">
        <v>1062</v>
      </c>
      <c r="I334" s="2" t="str">
        <f>IFERROR(__xludf.DUMMYFUNCTION("GOOGLETRANSLATE(C334,""fr"",""en"")"),"No I definitely not recommend MAIF to potentially interested people even if it is a big company, big company does not mean excellent service. Precisely files they have their shovels, so it is not a problem for them to get rid of you if necessary. They mak"&amp;"e sure to pay as little as possible during claims, while clearing themselves, outdated deadlines, no witness. I think most of the insurances are like them, see worse unfortunately. I was abused from their home, they never contacted me to find out if they "&amp;"could take or manage that my contracts do not end. You are entitled to two trials after it is the door if they judge that you have been too long without calling you beforehand, explain what they can do to update your non -payment file. After twice, you no"&amp;" longer have the right to monthly payments and you will have to pay the amount remaining entirely each year, refer to the insurance code, the famous code, what could be more banal, right? I have been at home since 2011. Since April I have no more insuranc"&amp;"e thanks to their termination, in addition they are often unreachable in times of crisis like now. They do not take into account the resources, there is also no assessment established with them at each end of the anniversary of contract in order to see if"&amp;" all goes well in their contracts, if we are satisfied or not. You have to call them otherwise they consider that everything is going well and you can spend several years without anything going on while contributing of course, that they will not forget. A"&amp;"ll the details of telephone and physical meetings are written in their database, I think they must establish statistics on your profitability rate, there is a good chance. What leaves me perplexing is the real interest in paying them for contracts that on"&amp;"ly serve to enrich them, we are just files. Form of dehumanization of the person. No real follow -up, when we apply for a call in relation to a file or a disagreement with them, no answer. Just, we are made to understand roughly, that no complaint will be"&amp;" granted and no use possible. Apart from making them a trial we will say. But French courts are not that either. Can we make them bad ad? Oh of course. I paid, I can give my opinion on them. That's what I have to do.")</f>
        <v>No I definitely not recommend MAIF to potentially interested people even if it is a big company, big company does not mean excellent service. Precisely files they have their shovels, so it is not a problem for them to get rid of you if necessary. They make sure to pay as little as possible during claims, while clearing themselves, outdated deadlines, no witness. I think most of the insurances are like them, see worse unfortunately. I was abused from their home, they never contacted me to find out if they could take or manage that my contracts do not end. You are entitled to two trials after it is the door if they judge that you have been too long without calling you beforehand, explain what they can do to update your non -payment file. After twice, you no longer have the right to monthly payments and you will have to pay the amount remaining entirely each year, refer to the insurance code, the famous code, what could be more banal, right? I have been at home since 2011. Since April I have no more insurance thanks to their termination, in addition they are often unreachable in times of crisis like now. They do not take into account the resources, there is also no assessment established with them at each end of the anniversary of contract in order to see if all goes well in their contracts, if we are satisfied or not. You have to call them otherwise they consider that everything is going well and you can spend several years without anything going on while contributing of course, that they will not forget. All the details of telephone and physical meetings are written in their database, I think they must establish statistics on your profitability rate, there is a good chance. What leaves me perplexing is the real interest in paying them for contracts that only serve to enrich them, we are just files. Form of dehumanization of the person. No real follow -up, when we apply for a call in relation to a file or a disagreement with them, no answer. Just, we are made to understand roughly, that no complaint will be granted and no use possible. Apart from making them a trial we will say. But French courts are not that either. Can we make them bad ad? Oh of course. I paid, I can give my opinion on them. That's what I have to do.</v>
      </c>
    </row>
    <row r="335" ht="15.75" customHeight="1">
      <c r="A335" s="2">
        <v>5.0</v>
      </c>
      <c r="B335" s="2" t="s">
        <v>1063</v>
      </c>
      <c r="C335" s="2" t="s">
        <v>1064</v>
      </c>
      <c r="D335" s="2" t="s">
        <v>13</v>
      </c>
      <c r="E335" s="2" t="s">
        <v>14</v>
      </c>
      <c r="F335" s="2" t="s">
        <v>15</v>
      </c>
      <c r="G335" s="2" t="s">
        <v>1065</v>
      </c>
      <c r="H335" s="2" t="s">
        <v>42</v>
      </c>
      <c r="I335" s="2" t="str">
        <f>IFERROR(__xludf.DUMMYFUNCTION("GOOGLETRANSLATE(C335,""fr"",""en"")"),"I am completely satisfied with the Direct Insurance service. Speed, reliability and professionalism are the watchwords of this service. And I recommend it")</f>
        <v>I am completely satisfied with the Direct Insurance service. Speed, reliability and professionalism are the watchwords of this service. And I recommend it</v>
      </c>
    </row>
    <row r="336" ht="15.75" customHeight="1">
      <c r="A336" s="2">
        <v>4.0</v>
      </c>
      <c r="B336" s="2" t="s">
        <v>1066</v>
      </c>
      <c r="C336" s="2" t="s">
        <v>1067</v>
      </c>
      <c r="D336" s="2" t="s">
        <v>13</v>
      </c>
      <c r="E336" s="2" t="s">
        <v>14</v>
      </c>
      <c r="F336" s="2" t="s">
        <v>15</v>
      </c>
      <c r="G336" s="2" t="s">
        <v>1068</v>
      </c>
      <c r="H336" s="2" t="s">
        <v>73</v>
      </c>
      <c r="I336" s="2" t="str">
        <f>IFERROR(__xludf.DUMMYFUNCTION("GOOGLETRANSLATE(C336,""fr"",""en"")"),"No opinion at the moment. Because I am not yet insured at home I want to admit that the prices are very interesting. According to your quote I will see I would have an overview of my choice.
Cordially.")</f>
        <v>No opinion at the moment. Because I am not yet insured at home I want to admit that the prices are very interesting. According to your quote I will see I would have an overview of my choice.
Cordially.</v>
      </c>
    </row>
    <row r="337" ht="15.75" customHeight="1">
      <c r="A337" s="2">
        <v>4.0</v>
      </c>
      <c r="B337" s="2" t="s">
        <v>1069</v>
      </c>
      <c r="C337" s="2" t="s">
        <v>1070</v>
      </c>
      <c r="D337" s="2" t="s">
        <v>24</v>
      </c>
      <c r="E337" s="2" t="s">
        <v>14</v>
      </c>
      <c r="F337" s="2" t="s">
        <v>15</v>
      </c>
      <c r="G337" s="2" t="s">
        <v>1071</v>
      </c>
      <c r="H337" s="2" t="s">
        <v>103</v>
      </c>
      <c r="I337" s="2" t="str">
        <f>IFERROR(__xludf.DUMMYFUNCTION("GOOGLETRANSLATE(C337,""fr"",""en"")"),"Friendly, competent and very available personnel, coherent and fast responses")</f>
        <v>Friendly, competent and very available personnel, coherent and fast responses</v>
      </c>
    </row>
    <row r="338" ht="15.75" customHeight="1">
      <c r="A338" s="2">
        <v>1.0</v>
      </c>
      <c r="B338" s="2" t="s">
        <v>1072</v>
      </c>
      <c r="C338" s="2" t="s">
        <v>1073</v>
      </c>
      <c r="D338" s="2" t="s">
        <v>13</v>
      </c>
      <c r="E338" s="2" t="s">
        <v>40</v>
      </c>
      <c r="F338" s="2" t="s">
        <v>15</v>
      </c>
      <c r="G338" s="2" t="s">
        <v>1074</v>
      </c>
      <c r="H338" s="2" t="s">
        <v>211</v>
      </c>
      <c r="I338" s="2" t="str">
        <f>IFERROR(__xludf.DUMMYFUNCTION("GOOGLETRANSLATE(C338,""fr"",""en"")"),"Company to flee, I have been ensuring for more than 10 years with them 2 vehicles + housing a degate of waters which has lasted since October 2018 and which is still not resolved;
Expertise performs in 10 minutes. I had to fight so that all the degates w"&amp;"ere taken into account.
The partner company for the not serious work does not respect any of their commitment.
Only one advice flee")</f>
        <v>Company to flee, I have been ensuring for more than 10 years with them 2 vehicles + housing a degate of waters which has lasted since October 2018 and which is still not resolved;
Expertise performs in 10 minutes. I had to fight so that all the degates were taken into account.
The partner company for the not serious work does not respect any of their commitment.
Only one advice flee</v>
      </c>
    </row>
    <row r="339" ht="15.75" customHeight="1">
      <c r="A339" s="2">
        <v>4.0</v>
      </c>
      <c r="B339" s="2" t="s">
        <v>1075</v>
      </c>
      <c r="C339" s="2" t="s">
        <v>1076</v>
      </c>
      <c r="D339" s="2" t="s">
        <v>24</v>
      </c>
      <c r="E339" s="2" t="s">
        <v>14</v>
      </c>
      <c r="F339" s="2" t="s">
        <v>15</v>
      </c>
      <c r="G339" s="2" t="s">
        <v>475</v>
      </c>
      <c r="H339" s="2" t="s">
        <v>84</v>
      </c>
      <c r="I339" s="2" t="str">
        <f>IFERROR(__xludf.DUMMYFUNCTION("GOOGLETRANSLATE(C339,""fr"",""en"")"),"The subscription is simple and and the interesting price on a vehicle classified ""luxury"" in other companies. Gain of almost 30 % with equivalent coverage. It remains to be seen in the event of a claim if this insurer keeps its promises. Fingers crossed"&amp;" !")</f>
        <v>The subscription is simple and and the interesting price on a vehicle classified "luxury" in other companies. Gain of almost 30 % with equivalent coverage. It remains to be seen in the event of a claim if this insurer keeps its promises. Fingers crossed !</v>
      </c>
    </row>
    <row r="340" ht="15.75" customHeight="1">
      <c r="A340" s="2">
        <v>5.0</v>
      </c>
      <c r="B340" s="2" t="s">
        <v>1077</v>
      </c>
      <c r="C340" s="2" t="s">
        <v>1078</v>
      </c>
      <c r="D340" s="2" t="s">
        <v>24</v>
      </c>
      <c r="E340" s="2" t="s">
        <v>14</v>
      </c>
      <c r="F340" s="2" t="s">
        <v>15</v>
      </c>
      <c r="G340" s="2" t="s">
        <v>1079</v>
      </c>
      <c r="H340" s="2" t="s">
        <v>335</v>
      </c>
      <c r="I340" s="2" t="str">
        <f>IFERROR(__xludf.DUMMYFUNCTION("GOOGLETRANSLATE(C340,""fr"",""en"")"),"As a comment and I have no action with the olive tree apart from my own experience and what sometimes annoys me is to see certain comments on the networks which denigrates this or that assurance everyone is this complain when it is not Not satisfied but t"&amp;"oo much can give their opinions when they are satisfied! I recommend the olive tree and stacks for a second year!")</f>
        <v>As a comment and I have no action with the olive tree apart from my own experience and what sometimes annoys me is to see certain comments on the networks which denigrates this or that assurance everyone is this complain when it is not Not satisfied but too much can give their opinions when they are satisfied! I recommend the olive tree and stacks for a second year!</v>
      </c>
    </row>
    <row r="341" ht="15.75" customHeight="1">
      <c r="A341" s="2">
        <v>4.0</v>
      </c>
      <c r="B341" s="2" t="s">
        <v>1080</v>
      </c>
      <c r="C341" s="2" t="s">
        <v>1081</v>
      </c>
      <c r="D341" s="2" t="s">
        <v>55</v>
      </c>
      <c r="E341" s="2" t="s">
        <v>56</v>
      </c>
      <c r="F341" s="2" t="s">
        <v>15</v>
      </c>
      <c r="G341" s="2" t="s">
        <v>1082</v>
      </c>
      <c r="H341" s="2" t="s">
        <v>21</v>
      </c>
      <c r="I341" s="2" t="str">
        <f>IFERROR(__xludf.DUMMYFUNCTION("GOOGLETRANSLATE(C341,""fr"",""en"")"),"Pafa! Easy and quick, very satisfied with the service. Nothing to say except that I remain faithful to this insurance that does the job. Continue like that !")</f>
        <v>Pafa! Easy and quick, very satisfied with the service. Nothing to say except that I remain faithful to this insurance that does the job. Continue like that !</v>
      </c>
    </row>
    <row r="342" ht="15.75" customHeight="1">
      <c r="A342" s="2">
        <v>1.0</v>
      </c>
      <c r="B342" s="2" t="s">
        <v>1083</v>
      </c>
      <c r="C342" s="2" t="s">
        <v>1084</v>
      </c>
      <c r="D342" s="2" t="s">
        <v>13</v>
      </c>
      <c r="E342" s="2" t="s">
        <v>14</v>
      </c>
      <c r="F342" s="2" t="s">
        <v>15</v>
      </c>
      <c r="G342" s="2" t="s">
        <v>166</v>
      </c>
      <c r="H342" s="2" t="s">
        <v>167</v>
      </c>
      <c r="I342" s="2" t="str">
        <f>IFERROR(__xludf.DUMMYFUNCTION("GOOGLETRANSLATE(C342,""fr"",""en"")"),"It has now been the third time I take the process to terminate this contract. I just learned that he is still active when I left this apartment in August 2018. So no, I am not at all satisfied with having the unpleasant surprise twice to pay for nothing a"&amp;"nd that my termination requests are not taken into account.")</f>
        <v>It has now been the third time I take the process to terminate this contract. I just learned that he is still active when I left this apartment in August 2018. So no, I am not at all satisfied with having the unpleasant surprise twice to pay for nothing and that my termination requests are not taken into account.</v>
      </c>
    </row>
    <row r="343" ht="15.75" customHeight="1">
      <c r="A343" s="2">
        <v>3.0</v>
      </c>
      <c r="B343" s="2" t="s">
        <v>1085</v>
      </c>
      <c r="C343" s="2" t="s">
        <v>1086</v>
      </c>
      <c r="D343" s="2" t="s">
        <v>55</v>
      </c>
      <c r="E343" s="2" t="s">
        <v>56</v>
      </c>
      <c r="F343" s="2" t="s">
        <v>15</v>
      </c>
      <c r="G343" s="2" t="s">
        <v>1087</v>
      </c>
      <c r="H343" s="2" t="s">
        <v>335</v>
      </c>
      <c r="I343" s="2" t="str">
        <f>IFERROR(__xludf.DUMMYFUNCTION("GOOGLETRANSLATE(C343,""fr"",""en"")"),"I had a motorcycle accident on May 7, 2019, everything was very quickly at the beginning, taken care of the motorcycle by a tow truck, take in the garage of my choice, the expert is spending a week after that, I I received a loss file and the papers of sa"&amp;"le of the motorcycle to Icare ICV because the motorcycle is RSV, I have returned everything immediately, only since, no news from Icare ICV and AMV tells me that it is not Back on their part either, the motorcycle is still with my mechanic and I do not kn"&amp;"ow when I will be reimbursed, I start to find the long time !! I intended to insure my car also at home, can say that for the moment it is badly left !!")</f>
        <v>I had a motorcycle accident on May 7, 2019, everything was very quickly at the beginning, taken care of the motorcycle by a tow truck, take in the garage of my choice, the expert is spending a week after that, I I received a loss file and the papers of sale of the motorcycle to Icare ICV because the motorcycle is RSV, I have returned everything immediately, only since, no news from Icare ICV and AMV tells me that it is not Back on their part either, the motorcycle is still with my mechanic and I do not know when I will be reimbursed, I start to find the long time !! I intended to insure my car also at home, can say that for the moment it is badly left !!</v>
      </c>
    </row>
    <row r="344" ht="15.75" customHeight="1">
      <c r="A344" s="2">
        <v>2.0</v>
      </c>
      <c r="B344" s="2" t="s">
        <v>1088</v>
      </c>
      <c r="C344" s="2" t="s">
        <v>1089</v>
      </c>
      <c r="D344" s="2" t="s">
        <v>493</v>
      </c>
      <c r="E344" s="2" t="s">
        <v>14</v>
      </c>
      <c r="F344" s="2" t="s">
        <v>15</v>
      </c>
      <c r="G344" s="2" t="s">
        <v>714</v>
      </c>
      <c r="H344" s="2" t="s">
        <v>180</v>
      </c>
      <c r="I344" s="2" t="str">
        <f>IFERROR(__xludf.DUMMYFUNCTION("GOOGLETRANSLATE(C344,""fr"",""en"")"),"I ask for a quote. I am contacted by phone, I am sold the qualities of this insurance, I am told that I am totally assured, in short ... until I tell them that I was never insured in France but in another European country. I was hung on the nose!")</f>
        <v>I ask for a quote. I am contacted by phone, I am sold the qualities of this insurance, I am told that I am totally assured, in short ... until I tell them that I was never insured in France but in another European country. I was hung on the nose!</v>
      </c>
    </row>
    <row r="345" ht="15.75" customHeight="1">
      <c r="A345" s="2">
        <v>5.0</v>
      </c>
      <c r="B345" s="2" t="s">
        <v>1090</v>
      </c>
      <c r="C345" s="2" t="s">
        <v>1091</v>
      </c>
      <c r="D345" s="2" t="s">
        <v>246</v>
      </c>
      <c r="E345" s="2" t="s">
        <v>34</v>
      </c>
      <c r="F345" s="2" t="s">
        <v>15</v>
      </c>
      <c r="G345" s="2" t="s">
        <v>582</v>
      </c>
      <c r="H345" s="2" t="s">
        <v>21</v>
      </c>
      <c r="I345" s="2" t="str">
        <f>IFERROR(__xludf.DUMMYFUNCTION("GOOGLETRANSLATE(C345,""fr"",""en"")"),"Rawane fully answered my questions. I thank it.
I am satisfied with the services of Santiane which makes me change my mutual based on my needs.")</f>
        <v>Rawane fully answered my questions. I thank it.
I am satisfied with the services of Santiane which makes me change my mutual based on my needs.</v>
      </c>
    </row>
    <row r="346" ht="15.75" customHeight="1">
      <c r="A346" s="2">
        <v>2.0</v>
      </c>
      <c r="B346" s="2" t="s">
        <v>1092</v>
      </c>
      <c r="C346" s="2" t="s">
        <v>1093</v>
      </c>
      <c r="D346" s="2" t="s">
        <v>45</v>
      </c>
      <c r="E346" s="2" t="s">
        <v>66</v>
      </c>
      <c r="F346" s="2" t="s">
        <v>15</v>
      </c>
      <c r="G346" s="2" t="s">
        <v>1094</v>
      </c>
      <c r="H346" s="2" t="s">
        <v>882</v>
      </c>
      <c r="I346" s="2" t="str">
        <f>IFERROR(__xludf.DUMMYFUNCTION("GOOGLETRANSLATE(C346,""fr"",""en"")"),"In 2004 I had a labor accident in 2006 I was recognized inappropriate at work my employer did not declare my AXA work accident refused to make award of salary after 10 years of AXA procedure has just been sentenced The judgment indicates that the contract"&amp;" is in force but AXA refuses to pay here is the reality AXA knew that the contract was in force but awaits that it has dropped its arms for not paid
To date AXA does not pay the monthly supplement or the
")</f>
        <v>In 2004 I had a labor accident in 2006 I was recognized inappropriate at work my employer did not declare my AXA work accident refused to make award of salary after 10 years of AXA procedure has just been sentenced The judgment indicates that the contract is in force but AXA refuses to pay here is the reality AXA knew that the contract was in force but awaits that it has dropped its arms for not paid
To date AXA does not pay the monthly supplement or the
</v>
      </c>
    </row>
    <row r="347" ht="15.75" customHeight="1">
      <c r="A347" s="2">
        <v>4.0</v>
      </c>
      <c r="B347" s="2" t="s">
        <v>1095</v>
      </c>
      <c r="C347" s="2" t="s">
        <v>1096</v>
      </c>
      <c r="D347" s="2" t="s">
        <v>24</v>
      </c>
      <c r="E347" s="2" t="s">
        <v>14</v>
      </c>
      <c r="F347" s="2" t="s">
        <v>15</v>
      </c>
      <c r="G347" s="2" t="s">
        <v>662</v>
      </c>
      <c r="H347" s="2" t="s">
        <v>17</v>
      </c>
      <c r="I347" s="2" t="str">
        <f>IFERROR(__xludf.DUMMYFUNCTION("GOOGLETRANSLATE(C347,""fr"",""en"")"),"I am satisfied with the price of insurance. advised polite and clear. To see in time, if I would be as satisfied.")</f>
        <v>I am satisfied with the price of insurance. advised polite and clear. To see in time, if I would be as satisfied.</v>
      </c>
    </row>
    <row r="348" ht="15.75" customHeight="1">
      <c r="A348" s="2">
        <v>4.0</v>
      </c>
      <c r="B348" s="2" t="s">
        <v>1097</v>
      </c>
      <c r="C348" s="2" t="s">
        <v>1098</v>
      </c>
      <c r="D348" s="2" t="s">
        <v>13</v>
      </c>
      <c r="E348" s="2" t="s">
        <v>14</v>
      </c>
      <c r="F348" s="2" t="s">
        <v>15</v>
      </c>
      <c r="G348" s="2" t="s">
        <v>1033</v>
      </c>
      <c r="H348" s="2" t="s">
        <v>21</v>
      </c>
      <c r="I348" s="2" t="str">
        <f>IFERROR(__xludf.DUMMYFUNCTION("GOOGLETRANSLATE(C348,""fr"",""en"")"),"I am satisfied thank you very much the prices are affordable. Thank you very much thank you very much thank you very much thank you very much thank you very much")</f>
        <v>I am satisfied thank you very much the prices are affordable. Thank you very much thank you very much thank you very much thank you very much thank you very much</v>
      </c>
    </row>
    <row r="349" ht="15.75" customHeight="1">
      <c r="A349" s="2">
        <v>4.0</v>
      </c>
      <c r="B349" s="2" t="s">
        <v>1099</v>
      </c>
      <c r="C349" s="2" t="s">
        <v>1100</v>
      </c>
      <c r="D349" s="2" t="s">
        <v>639</v>
      </c>
      <c r="E349" s="2" t="s">
        <v>46</v>
      </c>
      <c r="F349" s="2" t="s">
        <v>15</v>
      </c>
      <c r="G349" s="2" t="s">
        <v>1101</v>
      </c>
      <c r="H349" s="2" t="s">
        <v>292</v>
      </c>
      <c r="I349" s="2" t="str">
        <f>IFERROR(__xludf.DUMMYFUNCTION("GOOGLETRANSLATE(C349,""fr"",""en"")"),"Having 2 important partial acquisitions to make, I admit that I had fears in view of the many comments. Well no, everything was impeccable, I went through the GIE AFER and a few days after they received (by registeredment) my requests I had the transfers "&amp;"on my bank account.
Here, I wanted to give my opinion.")</f>
        <v>Having 2 important partial acquisitions to make, I admit that I had fears in view of the many comments. Well no, everything was impeccable, I went through the GIE AFER and a few days after they received (by registeredment) my requests I had the transfers on my bank account.
Here, I wanted to give my opinion.</v>
      </c>
    </row>
    <row r="350" ht="15.75" customHeight="1">
      <c r="A350" s="2">
        <v>4.0</v>
      </c>
      <c r="B350" s="2" t="s">
        <v>1102</v>
      </c>
      <c r="C350" s="2" t="s">
        <v>1103</v>
      </c>
      <c r="D350" s="2" t="s">
        <v>24</v>
      </c>
      <c r="E350" s="2" t="s">
        <v>14</v>
      </c>
      <c r="F350" s="2" t="s">
        <v>15</v>
      </c>
      <c r="G350" s="2" t="s">
        <v>1104</v>
      </c>
      <c r="H350" s="2" t="s">
        <v>128</v>
      </c>
      <c r="I350" s="2" t="str">
        <f>IFERROR(__xludf.DUMMYFUNCTION("GOOGLETRANSLATE(C350,""fr"",""en"")"),"The price suits me
satisfied with the fact that the steps are online even the signing of the contract it makes the subscription easier and effective")</f>
        <v>The price suits me
satisfied with the fact that the steps are online even the signing of the contract it makes the subscription easier and effective</v>
      </c>
    </row>
    <row r="351" ht="15.75" customHeight="1">
      <c r="A351" s="2">
        <v>1.0</v>
      </c>
      <c r="B351" s="2" t="s">
        <v>1105</v>
      </c>
      <c r="C351" s="2" t="s">
        <v>1106</v>
      </c>
      <c r="D351" s="2" t="s">
        <v>809</v>
      </c>
      <c r="E351" s="2" t="s">
        <v>34</v>
      </c>
      <c r="F351" s="2" t="s">
        <v>15</v>
      </c>
      <c r="G351" s="2" t="s">
        <v>1107</v>
      </c>
      <c r="H351" s="2" t="s">
        <v>292</v>
      </c>
      <c r="I351" s="2" t="str">
        <f>IFERROR(__xludf.DUMMYFUNCTION("GOOGLETRANSLATE(C351,""fr"",""en"")")," I do not advise, high price for not very interesting guarantees, thereafter I have contacted an EMII Big Service insurance broker who are listening and really offers a formula adapted to your needs, Melissa Leblanc A very operational advisor Who follows "&amp;"me again even after the subscription of my contract, his number is 04 65 84 99 03 if someone is interested")</f>
        <v> I do not advise, high price for not very interesting guarantees, thereafter I have contacted an EMII Big Service insurance broker who are listening and really offers a formula adapted to your needs, Melissa Leblanc A very operational advisor Who follows me again even after the subscription of my contract, his number is 04 65 84 99 03 if someone is interested</v>
      </c>
    </row>
    <row r="352" ht="15.75" customHeight="1">
      <c r="A352" s="2">
        <v>1.0</v>
      </c>
      <c r="B352" s="2" t="s">
        <v>1108</v>
      </c>
      <c r="C352" s="2" t="s">
        <v>1109</v>
      </c>
      <c r="D352" s="2" t="s">
        <v>39</v>
      </c>
      <c r="E352" s="2" t="s">
        <v>14</v>
      </c>
      <c r="F352" s="2" t="s">
        <v>15</v>
      </c>
      <c r="G352" s="2" t="s">
        <v>1110</v>
      </c>
      <c r="H352" s="2" t="s">
        <v>108</v>
      </c>
      <c r="I352" s="2" t="str">
        <f>IFERROR(__xludf.DUMMYFUNCTION("GOOGLETRANSLATE(C352,""fr"",""en"")"),"
I did not really need the requested, just when they resumed a car contract it is not terminated with the Macif.
Suddenly made very careful to delete all the contracts linked to your car insurance, especially that at the beginning it takes care of eve"&amp;"rything and finally, I found myself my insurance more the months which was not terminated at the Macif.
The price remains high but with the two months free it offered it was interesting.
Unfortunately no alignment is possible highly the end of the year "&amp;"so that I change insurance.
")</f>
        <v>
I did not really need the requested, just when they resumed a car contract it is not terminated with the Macif.
Suddenly made very careful to delete all the contracts linked to your car insurance, especially that at the beginning it takes care of everything and finally, I found myself my insurance more the months which was not terminated at the Macif.
The price remains high but with the two months free it offered it was interesting.
Unfortunately no alignment is possible highly the end of the year so that I change insurance.
</v>
      </c>
    </row>
    <row r="353" ht="15.75" customHeight="1">
      <c r="A353" s="2">
        <v>1.0</v>
      </c>
      <c r="B353" s="2" t="s">
        <v>1111</v>
      </c>
      <c r="C353" s="2" t="s">
        <v>1112</v>
      </c>
      <c r="D353" s="2" t="s">
        <v>416</v>
      </c>
      <c r="E353" s="2" t="s">
        <v>34</v>
      </c>
      <c r="F353" s="2" t="s">
        <v>15</v>
      </c>
      <c r="G353" s="2" t="s">
        <v>1113</v>
      </c>
      <c r="H353" s="2" t="s">
        <v>259</v>
      </c>
      <c r="I353" s="2" t="str">
        <f>IFERROR(__xludf.DUMMYFUNCTION("GOOGLETRANSLATE(C353,""fr"",""en"")"),"I do not recommend this mutual. But then not at all.
My account has been suspended since April due to documents not received.
After several months, I finally discover that two documents are missing to transmit to them, which I do immediately. Only, afte"&amp;"r calls to customer service, they tell me that they have received my documents well but that the processing (hear there: reactivating my account) will take 1 month !!!! 1 month ... yes ... just to press a button and go back to ""active"" status and I only"&amp;" talk about the time to reactivate my account !!! Added to this is the period of reimbursement of the frames and glasses (for example). We walk on the head with this mutual. I hate this provider. Definitively.")</f>
        <v>I do not recommend this mutual. But then not at all.
My account has been suspended since April due to documents not received.
After several months, I finally discover that two documents are missing to transmit to them, which I do immediately. Only, after calls to customer service, they tell me that they have received my documents well but that the processing (hear there: reactivating my account) will take 1 month !!!! 1 month ... yes ... just to press a button and go back to "active" status and I only talk about the time to reactivate my account !!! Added to this is the period of reimbursement of the frames and glasses (for example). We walk on the head with this mutual. I hate this provider. Definitively.</v>
      </c>
    </row>
    <row r="354" ht="15.75" customHeight="1">
      <c r="A354" s="2">
        <v>5.0</v>
      </c>
      <c r="B354" s="2" t="s">
        <v>1114</v>
      </c>
      <c r="C354" s="2" t="s">
        <v>1115</v>
      </c>
      <c r="D354" s="2" t="s">
        <v>183</v>
      </c>
      <c r="E354" s="2" t="s">
        <v>97</v>
      </c>
      <c r="F354" s="2" t="s">
        <v>15</v>
      </c>
      <c r="G354" s="2" t="s">
        <v>1116</v>
      </c>
      <c r="H354" s="2" t="s">
        <v>167</v>
      </c>
      <c r="I354" s="2" t="str">
        <f>IFERROR(__xludf.DUMMYFUNCTION("GOOGLETRANSLATE(C354,""fr"",""en"")"),"I am very satisfied with this zen /up insurance that my bank offers very good quality price! I am delighted that I was offered
Thanking you
Sincerely yours")</f>
        <v>I am very satisfied with this zen /up insurance that my bank offers very good quality price! I am delighted that I was offered
Thanking you
Sincerely yours</v>
      </c>
    </row>
    <row r="355" ht="15.75" customHeight="1">
      <c r="A355" s="2">
        <v>1.0</v>
      </c>
      <c r="B355" s="2" t="s">
        <v>1117</v>
      </c>
      <c r="C355" s="2" t="s">
        <v>1118</v>
      </c>
      <c r="D355" s="2" t="s">
        <v>639</v>
      </c>
      <c r="E355" s="2" t="s">
        <v>46</v>
      </c>
      <c r="F355" s="2" t="s">
        <v>15</v>
      </c>
      <c r="G355" s="2" t="s">
        <v>750</v>
      </c>
      <c r="H355" s="2" t="s">
        <v>536</v>
      </c>
      <c r="I355" s="2" t="str">
        <f>IFERROR(__xludf.DUMMYFUNCTION("GOOGLETRANSLATE(C355,""fr"",""en"")"),"I applied for partial buyout to partially finance a real estate purchase a month ago. No payment on the date, no way to contact the GIE (pretext of computer migration) neither by phone nor by email. I risk losing the sale and paying compensation to the se"&amp;"ller")</f>
        <v>I applied for partial buyout to partially finance a real estate purchase a month ago. No payment on the date, no way to contact the GIE (pretext of computer migration) neither by phone nor by email. I risk losing the sale and paying compensation to the seller</v>
      </c>
    </row>
    <row r="356" ht="15.75" customHeight="1">
      <c r="A356" s="2">
        <v>5.0</v>
      </c>
      <c r="B356" s="2" t="s">
        <v>1119</v>
      </c>
      <c r="C356" s="2" t="s">
        <v>1120</v>
      </c>
      <c r="D356" s="2" t="s">
        <v>55</v>
      </c>
      <c r="E356" s="2" t="s">
        <v>56</v>
      </c>
      <c r="F356" s="2" t="s">
        <v>15</v>
      </c>
      <c r="G356" s="2" t="s">
        <v>741</v>
      </c>
      <c r="H356" s="2" t="s">
        <v>42</v>
      </c>
      <c r="I356" s="2" t="str">
        <f>IFERROR(__xludf.DUMMYFUNCTION("GOOGLETRANSLATE(C356,""fr"",""en"")"),"Nothing to say level value for money is the top of the top and the telephone reception is great I strongly recommend this insurance specialized in motorcycle")</f>
        <v>Nothing to say level value for money is the top of the top and the telephone reception is great I strongly recommend this insurance specialized in motorcycle</v>
      </c>
    </row>
    <row r="357" ht="15.75" customHeight="1">
      <c r="A357" s="2">
        <v>1.0</v>
      </c>
      <c r="B357" s="2" t="s">
        <v>1121</v>
      </c>
      <c r="C357" s="2" t="s">
        <v>1122</v>
      </c>
      <c r="D357" s="2" t="s">
        <v>209</v>
      </c>
      <c r="E357" s="2" t="s">
        <v>14</v>
      </c>
      <c r="F357" s="2" t="s">
        <v>15</v>
      </c>
      <c r="G357" s="2" t="s">
        <v>1123</v>
      </c>
      <c r="H357" s="2" t="s">
        <v>444</v>
      </c>
      <c r="I357" s="2" t="str">
        <f>IFERROR(__xludf.DUMMYFUNCTION("GOOGLETRANSLATE(C357,""fr"",""en"")"),"It's a shame we are forced to put at least a star !!!
I was insured for a while, with no responsible accident, but for them everything is considered responsible (towing, non -responsible accident, ...)
No followed by customers, no processing of the docu"&amp;"ments sent forced to restart them without stops
Waiting time is just huge!
And all to crowned everything, he did not want to ensure my new vehicle, the blow of blood took me, I start from this insurance !!
")</f>
        <v>It's a shame we are forced to put at least a star !!!
I was insured for a while, with no responsible accident, but for them everything is considered responsible (towing, non -responsible accident, ...)
No followed by customers, no processing of the documents sent forced to restart them without stops
Waiting time is just huge!
And all to crowned everything, he did not want to ensure my new vehicle, the blow of blood took me, I start from this insurance !!
</v>
      </c>
    </row>
    <row r="358" ht="15.75" customHeight="1">
      <c r="A358" s="2">
        <v>3.0</v>
      </c>
      <c r="B358" s="2" t="s">
        <v>1124</v>
      </c>
      <c r="C358" s="2" t="s">
        <v>1125</v>
      </c>
      <c r="D358" s="2" t="s">
        <v>13</v>
      </c>
      <c r="E358" s="2" t="s">
        <v>14</v>
      </c>
      <c r="F358" s="2" t="s">
        <v>15</v>
      </c>
      <c r="G358" s="2" t="s">
        <v>1126</v>
      </c>
      <c r="H358" s="2" t="s">
        <v>969</v>
      </c>
      <c r="I358" s="2" t="str">
        <f>IFERROR(__xludf.DUMMYFUNCTION("GOOGLETRANSLATE(C358,""fr"",""en"")"),"Insured since 6/2/19 I am a new client but very decu by remaining polite.
They did not do the necessary necessary of the old insurance for termination by the wrong address.
They postpone insurance from 1 month until April at the March link and warn me b"&amp;"y email and find me paying 150 euros to the old insurance and do not make me any commercial gesture.
So I wanted to cancel because I am not yet assured knowing that I paid 3 months at a time on 6/3/19, and tell me that it takes a request for termination "&amp;"by mail while everything was by email for subscription , knowing that I am not even insuring. They sent the new request today.
How to do so that he reimburses me these escros ...
Not surprising that some go crazy and do justice themselves ........")</f>
        <v>Insured since 6/2/19 I am a new client but very decu by remaining polite.
They did not do the necessary necessary of the old insurance for termination by the wrong address.
They postpone insurance from 1 month until April at the March link and warn me by email and find me paying 150 euros to the old insurance and do not make me any commercial gesture.
So I wanted to cancel because I am not yet assured knowing that I paid 3 months at a time on 6/3/19, and tell me that it takes a request for termination by mail while everything was by email for subscription , knowing that I am not even insuring. They sent the new request today.
How to do so that he reimburses me these escros ...
Not surprising that some go crazy and do justice themselves ........</v>
      </c>
    </row>
    <row r="359" ht="15.75" customHeight="1">
      <c r="A359" s="2">
        <v>4.0</v>
      </c>
      <c r="B359" s="2" t="s">
        <v>1127</v>
      </c>
      <c r="C359" s="2" t="s">
        <v>1128</v>
      </c>
      <c r="D359" s="2" t="s">
        <v>13</v>
      </c>
      <c r="E359" s="2" t="s">
        <v>14</v>
      </c>
      <c r="F359" s="2" t="s">
        <v>15</v>
      </c>
      <c r="G359" s="2" t="s">
        <v>1129</v>
      </c>
      <c r="H359" s="2" t="s">
        <v>42</v>
      </c>
      <c r="I359" s="2" t="str">
        <f>IFERROR(__xludf.DUMMYFUNCTION("GOOGLETRANSLATE(C359,""fr"",""en"")"),"Good prices. TOP responsiveness (telephone approach and employees answer questions clearly and precisely).
I hope the registered promo code will work because two vehicles in my home are provided by you")</f>
        <v>Good prices. TOP responsiveness (telephone approach and employees answer questions clearly and precisely).
I hope the registered promo code will work because two vehicles in my home are provided by you</v>
      </c>
    </row>
    <row r="360" ht="15.75" customHeight="1">
      <c r="A360" s="2">
        <v>1.0</v>
      </c>
      <c r="B360" s="2" t="s">
        <v>1130</v>
      </c>
      <c r="C360" s="2" t="s">
        <v>1131</v>
      </c>
      <c r="D360" s="2" t="s">
        <v>60</v>
      </c>
      <c r="E360" s="2" t="s">
        <v>40</v>
      </c>
      <c r="F360" s="2" t="s">
        <v>15</v>
      </c>
      <c r="G360" s="2" t="s">
        <v>1132</v>
      </c>
      <c r="H360" s="2" t="s">
        <v>594</v>
      </c>
      <c r="I360" s="2" t="str">
        <f>IFERROR(__xludf.DUMMYFUNCTION("GOOGLETRANSLATE(C360,""fr"",""en"")"),"Catastrophic insurance. With the Immo loan of the CA we trusted the bank and did not pay attention to the charges. We pay 40 € per month for a house only half insured. We therefore leave for the maaf and the, Pacifica bill € 35 so that they check that the"&amp;" MAAF ensures well against the fire. And when I call to say, what if I am poorly assured? Well too bad for you! You will have to manage to guarantee the reimbursement of the loan. I therefore answer that the € 35 verif are useless since insured or not I c"&amp;"an terminate with you thanks to the law! The response of my advisor .. yes Madam but that's like that ..
Well yes do what you want. We are there that to pay everything anyway")</f>
        <v>Catastrophic insurance. With the Immo loan of the CA we trusted the bank and did not pay attention to the charges. We pay 40 € per month for a house only half insured. We therefore leave for the maaf and the, Pacifica bill € 35 so that they check that the MAAF ensures well against the fire. And when I call to say, what if I am poorly assured? Well too bad for you! You will have to manage to guarantee the reimbursement of the loan. I therefore answer that the € 35 verif are useless since insured or not I can terminate with you thanks to the law! The response of my advisor .. yes Madam but that's like that ..
Well yes do what you want. We are there that to pay everything anyway</v>
      </c>
    </row>
    <row r="361" ht="15.75" customHeight="1">
      <c r="A361" s="2">
        <v>4.0</v>
      </c>
      <c r="B361" s="2" t="s">
        <v>1133</v>
      </c>
      <c r="C361" s="2" t="s">
        <v>1134</v>
      </c>
      <c r="D361" s="2" t="s">
        <v>13</v>
      </c>
      <c r="E361" s="2" t="s">
        <v>14</v>
      </c>
      <c r="F361" s="2" t="s">
        <v>15</v>
      </c>
      <c r="G361" s="2" t="s">
        <v>1135</v>
      </c>
      <c r="H361" s="2" t="s">
        <v>52</v>
      </c>
      <c r="I361" s="2" t="str">
        <f>IFERROR(__xludf.DUMMYFUNCTION("GOOGLETRANSLATE(C361,""fr"",""en"")"),"Very friendly collaborators, who take the time to explain well.
I hope it will be so simple if it happens to me a disaster.
Very advantageous price compared to competition.")</f>
        <v>Very friendly collaborators, who take the time to explain well.
I hope it will be so simple if it happens to me a disaster.
Very advantageous price compared to competition.</v>
      </c>
    </row>
    <row r="362" ht="15.75" customHeight="1">
      <c r="A362" s="2">
        <v>5.0</v>
      </c>
      <c r="B362" s="2" t="s">
        <v>1136</v>
      </c>
      <c r="C362" s="2" t="s">
        <v>1137</v>
      </c>
      <c r="D362" s="2" t="s">
        <v>13</v>
      </c>
      <c r="E362" s="2" t="s">
        <v>14</v>
      </c>
      <c r="F362" s="2" t="s">
        <v>15</v>
      </c>
      <c r="G362" s="2" t="s">
        <v>1138</v>
      </c>
      <c r="H362" s="2" t="s">
        <v>42</v>
      </c>
      <c r="I362" s="2" t="str">
        <f>IFERROR(__xludf.DUMMYFUNCTION("GOOGLETRANSLATE(C362,""fr"",""en"")"),"A clear and effective approach. In a few minutes, we obtain an advantageous estimate and quote. The only insurer to offer a solution for this type of vehicle for a young driver and at a reasonable price.")</f>
        <v>A clear and effective approach. In a few minutes, we obtain an advantageous estimate and quote. The only insurer to offer a solution for this type of vehicle for a young driver and at a reasonable price.</v>
      </c>
    </row>
    <row r="363" ht="15.75" customHeight="1">
      <c r="A363" s="2">
        <v>2.0</v>
      </c>
      <c r="B363" s="2" t="s">
        <v>1139</v>
      </c>
      <c r="C363" s="2" t="s">
        <v>1140</v>
      </c>
      <c r="D363" s="2" t="s">
        <v>117</v>
      </c>
      <c r="E363" s="2" t="s">
        <v>14</v>
      </c>
      <c r="F363" s="2" t="s">
        <v>15</v>
      </c>
      <c r="G363" s="2" t="s">
        <v>1141</v>
      </c>
      <c r="H363" s="2" t="s">
        <v>659</v>
      </c>
      <c r="I363" s="2" t="str">
        <f>IFERROR(__xludf.DUMMYFUNCTION("GOOGLETRANSLATE(C363,""fr"",""en"")"),"Allianz terminates the contract under the pretext of ""claims and/or frequency of claims"" after 10 years of insurance. We only had two small responsible clashes two years apart. However, we had 0.5 of coefficient since the start of the contract.")</f>
        <v>Allianz terminates the contract under the pretext of "claims and/or frequency of claims" after 10 years of insurance. We only had two small responsible clashes two years apart. However, we had 0.5 of coefficient since the start of the contract.</v>
      </c>
    </row>
    <row r="364" ht="15.75" customHeight="1">
      <c r="A364" s="2">
        <v>1.0</v>
      </c>
      <c r="B364" s="2" t="s">
        <v>1142</v>
      </c>
      <c r="C364" s="2" t="s">
        <v>1143</v>
      </c>
      <c r="D364" s="2" t="s">
        <v>731</v>
      </c>
      <c r="E364" s="2" t="s">
        <v>34</v>
      </c>
      <c r="F364" s="2" t="s">
        <v>15</v>
      </c>
      <c r="G364" s="2" t="s">
        <v>1144</v>
      </c>
      <c r="H364" s="2" t="s">
        <v>292</v>
      </c>
      <c r="I364" s="2" t="str">
        <f>IFERROR(__xludf.DUMMYFUNCTION("GOOGLETRANSLATE(C364,""fr"",""en"")"),"Flash too much with a horrible and expensive price increase .... no interlocutor, reimbursement delays ... I'm waiting for the end of my 1st year to terminate and leave this")</f>
        <v>Flash too much with a horrible and expensive price increase .... no interlocutor, reimbursement delays ... I'm waiting for the end of my 1st year to terminate and leave this</v>
      </c>
    </row>
    <row r="365" ht="15.75" customHeight="1">
      <c r="A365" s="2">
        <v>3.0</v>
      </c>
      <c r="B365" s="2" t="s">
        <v>1145</v>
      </c>
      <c r="C365" s="2" t="s">
        <v>1146</v>
      </c>
      <c r="D365" s="2" t="s">
        <v>24</v>
      </c>
      <c r="E365" s="2" t="s">
        <v>14</v>
      </c>
      <c r="F365" s="2" t="s">
        <v>15</v>
      </c>
      <c r="G365" s="2" t="s">
        <v>453</v>
      </c>
      <c r="H365" s="2" t="s">
        <v>17</v>
      </c>
      <c r="I365" s="2" t="str">
        <f>IFERROR(__xludf.DUMMYFUNCTION("GOOGLETRANSLATE(C365,""fr"",""en"")"),"Satisfied to recommend
Easy price in good relation to the guarantees offer I advise you for your car insurance except for the housing a little elevated for me")</f>
        <v>Satisfied to recommend
Easy price in good relation to the guarantees offer I advise you for your car insurance except for the housing a little elevated for me</v>
      </c>
    </row>
    <row r="366" ht="15.75" customHeight="1">
      <c r="A366" s="2">
        <v>4.0</v>
      </c>
      <c r="B366" s="2" t="s">
        <v>1147</v>
      </c>
      <c r="C366" s="2" t="s">
        <v>1148</v>
      </c>
      <c r="D366" s="2" t="s">
        <v>13</v>
      </c>
      <c r="E366" s="2" t="s">
        <v>14</v>
      </c>
      <c r="F366" s="2" t="s">
        <v>15</v>
      </c>
      <c r="G366" s="2" t="s">
        <v>1149</v>
      </c>
      <c r="H366" s="2" t="s">
        <v>167</v>
      </c>
      <c r="I366" s="2" t="str">
        <f>IFERROR(__xludf.DUMMYFUNCTION("GOOGLETRANSLATE(C366,""fr"",""en"")"),"The subscription is fast and effective with specific points. Simple reading of the contract and good synthesis for a good understanding. Payment means too.")</f>
        <v>The subscription is fast and effective with specific points. Simple reading of the contract and good synthesis for a good understanding. Payment means too.</v>
      </c>
    </row>
    <row r="367" ht="15.75" customHeight="1">
      <c r="A367" s="2">
        <v>1.0</v>
      </c>
      <c r="B367" s="2" t="s">
        <v>1150</v>
      </c>
      <c r="C367" s="2" t="s">
        <v>1151</v>
      </c>
      <c r="D367" s="2" t="s">
        <v>45</v>
      </c>
      <c r="E367" s="2" t="s">
        <v>14</v>
      </c>
      <c r="F367" s="2" t="s">
        <v>15</v>
      </c>
      <c r="G367" s="2" t="s">
        <v>1152</v>
      </c>
      <c r="H367" s="2" t="s">
        <v>103</v>
      </c>
      <c r="I367" s="2" t="str">
        <f>IFERROR(__xludf.DUMMYFUNCTION("GOOGLETRANSLATE(C367,""fr"",""en"")"),"Agent Axa in Darnétal completely exceeded since the departure of his father, no more contract management, launches into the bank and wealth management. They know how to take money but without consideration. The advisers leave the agency one after the othe"&amp;"r ... it's very bad sign !!")</f>
        <v>Agent Axa in Darnétal completely exceeded since the departure of his father, no more contract management, launches into the bank and wealth management. They know how to take money but without consideration. The advisers leave the agency one after the other ... it's very bad sign !!</v>
      </c>
    </row>
    <row r="368" ht="15.75" customHeight="1">
      <c r="A368" s="2">
        <v>5.0</v>
      </c>
      <c r="B368" s="2" t="s">
        <v>1153</v>
      </c>
      <c r="C368" s="2" t="s">
        <v>1154</v>
      </c>
      <c r="D368" s="2" t="s">
        <v>24</v>
      </c>
      <c r="E368" s="2" t="s">
        <v>14</v>
      </c>
      <c r="F368" s="2" t="s">
        <v>15</v>
      </c>
      <c r="G368" s="2" t="s">
        <v>1155</v>
      </c>
      <c r="H368" s="2" t="s">
        <v>84</v>
      </c>
      <c r="I368" s="2" t="str">
        <f>IFERROR(__xludf.DUMMYFUNCTION("GOOGLETRANSLATE(C368,""fr"",""en"")"),"I am satisfied with the price and the reception, compared to my current insurance which is far too expensive and for the same guarantees. I do not regret having changed.")</f>
        <v>I am satisfied with the price and the reception, compared to my current insurance which is far too expensive and for the same guarantees. I do not regret having changed.</v>
      </c>
    </row>
    <row r="369" ht="15.75" customHeight="1">
      <c r="A369" s="2">
        <v>5.0</v>
      </c>
      <c r="B369" s="2" t="s">
        <v>1156</v>
      </c>
      <c r="C369" s="2" t="s">
        <v>1157</v>
      </c>
      <c r="D369" s="2" t="s">
        <v>257</v>
      </c>
      <c r="E369" s="2" t="s">
        <v>34</v>
      </c>
      <c r="F369" s="2" t="s">
        <v>15</v>
      </c>
      <c r="G369" s="2" t="s">
        <v>1158</v>
      </c>
      <c r="H369" s="2" t="s">
        <v>144</v>
      </c>
      <c r="I369" s="2" t="str">
        <f>IFERROR(__xludf.DUMMYFUNCTION("GOOGLETRANSLATE(C369,""fr"",""en"")"),"I am very satisfied with my mutual health that responds effectively and quickly to my questions and problems. Nothing else to report outside these points.")</f>
        <v>I am very satisfied with my mutual health that responds effectively and quickly to my questions and problems. Nothing else to report outside these points.</v>
      </c>
    </row>
    <row r="370" ht="15.75" customHeight="1">
      <c r="A370" s="2">
        <v>4.0</v>
      </c>
      <c r="B370" s="2" t="s">
        <v>1159</v>
      </c>
      <c r="C370" s="2" t="s">
        <v>1160</v>
      </c>
      <c r="D370" s="2" t="s">
        <v>24</v>
      </c>
      <c r="E370" s="2" t="s">
        <v>14</v>
      </c>
      <c r="F370" s="2" t="s">
        <v>15</v>
      </c>
      <c r="G370" s="2" t="s">
        <v>567</v>
      </c>
      <c r="H370" s="2" t="s">
        <v>42</v>
      </c>
      <c r="I370" s="2" t="str">
        <f>IFERROR(__xludf.DUMMYFUNCTION("GOOGLETRANSLATE(C370,""fr"",""en"")"),"I am satisfied with the service,
The is rather affordable price compared to the other,
I am just a little disappointed not to be able to sponsor me to my spouse.")</f>
        <v>I am satisfied with the service,
The is rather affordable price compared to the other,
I am just a little disappointed not to be able to sponsor me to my spouse.</v>
      </c>
    </row>
    <row r="371" ht="15.75" customHeight="1">
      <c r="A371" s="2">
        <v>1.0</v>
      </c>
      <c r="B371" s="2" t="s">
        <v>1161</v>
      </c>
      <c r="C371" s="2" t="s">
        <v>1162</v>
      </c>
      <c r="D371" s="2" t="s">
        <v>60</v>
      </c>
      <c r="E371" s="2" t="s">
        <v>14</v>
      </c>
      <c r="F371" s="2" t="s">
        <v>15</v>
      </c>
      <c r="G371" s="2" t="s">
        <v>1163</v>
      </c>
      <c r="H371" s="2" t="s">
        <v>540</v>
      </c>
      <c r="I371" s="2" t="str">
        <f>IFERROR(__xludf.DUMMYFUNCTION("GOOGLETRANSLATE(C371,""fr"",""en"")"),"Insurance too expensive during a single disaster. The value for money is not valid. I left 1 time. Back to have all my insurances at the same insurer. I think I will stop my car contract.")</f>
        <v>Insurance too expensive during a single disaster. The value for money is not valid. I left 1 time. Back to have all my insurances at the same insurer. I think I will stop my car contract.</v>
      </c>
    </row>
    <row r="372" ht="15.75" customHeight="1">
      <c r="A372" s="2">
        <v>4.0</v>
      </c>
      <c r="B372" s="2" t="s">
        <v>1164</v>
      </c>
      <c r="C372" s="2" t="s">
        <v>1165</v>
      </c>
      <c r="D372" s="2" t="s">
        <v>24</v>
      </c>
      <c r="E372" s="2" t="s">
        <v>14</v>
      </c>
      <c r="F372" s="2" t="s">
        <v>15</v>
      </c>
      <c r="G372" s="2" t="s">
        <v>1166</v>
      </c>
      <c r="H372" s="2" t="s">
        <v>17</v>
      </c>
      <c r="I372" s="2" t="str">
        <f>IFERROR(__xludf.DUMMYFUNCTION("GOOGLETRANSLATE(C372,""fr"",""en"")"),"I'm satisfied
easy customer area and very understandable
The price is good with all the guarantees planned and that I consider essential
")</f>
        <v>I'm satisfied
easy customer area and very understandable
The price is good with all the guarantees planned and that I consider essential
</v>
      </c>
    </row>
    <row r="373" ht="15.75" customHeight="1">
      <c r="A373" s="2">
        <v>3.0</v>
      </c>
      <c r="B373" s="2" t="s">
        <v>1167</v>
      </c>
      <c r="C373" s="2" t="s">
        <v>1168</v>
      </c>
      <c r="D373" s="2" t="s">
        <v>45</v>
      </c>
      <c r="E373" s="2" t="s">
        <v>56</v>
      </c>
      <c r="F373" s="2" t="s">
        <v>15</v>
      </c>
      <c r="G373" s="2" t="s">
        <v>1006</v>
      </c>
      <c r="H373" s="2" t="s">
        <v>1007</v>
      </c>
      <c r="I373" s="2" t="str">
        <f>IFERROR(__xludf.DUMMYFUNCTION("GOOGLETRANSLATE(C373,""fr"",""en"")"),"Axa Agency Crocompette Paris 19. Very good! Reception, service, availability. The AXA website is a useless and not funny joke.")</f>
        <v>Axa Agency Crocompette Paris 19. Very good! Reception, service, availability. The AXA website is a useless and not funny joke.</v>
      </c>
    </row>
    <row r="374" ht="15.75" customHeight="1">
      <c r="A374" s="2">
        <v>4.0</v>
      </c>
      <c r="B374" s="2" t="s">
        <v>1169</v>
      </c>
      <c r="C374" s="2" t="s">
        <v>1170</v>
      </c>
      <c r="D374" s="2" t="s">
        <v>24</v>
      </c>
      <c r="E374" s="2" t="s">
        <v>14</v>
      </c>
      <c r="F374" s="2" t="s">
        <v>15</v>
      </c>
      <c r="G374" s="2" t="s">
        <v>822</v>
      </c>
      <c r="H374" s="2" t="s">
        <v>21</v>
      </c>
      <c r="I374" s="2" t="str">
        <f>IFERROR(__xludf.DUMMYFUNCTION("GOOGLETRANSLATE(C374,""fr"",""en"")"),"Nothing to say I will see in time if I chose well. For the moment it is too early to give me an opinion. The first contacts are satisfactory")</f>
        <v>Nothing to say I will see in time if I chose well. For the moment it is too early to give me an opinion. The first contacts are satisfactory</v>
      </c>
    </row>
    <row r="375" ht="15.75" customHeight="1">
      <c r="A375" s="2">
        <v>3.0</v>
      </c>
      <c r="B375" s="2" t="s">
        <v>1171</v>
      </c>
      <c r="C375" s="2" t="s">
        <v>1172</v>
      </c>
      <c r="D375" s="2" t="s">
        <v>13</v>
      </c>
      <c r="E375" s="2" t="s">
        <v>14</v>
      </c>
      <c r="F375" s="2" t="s">
        <v>15</v>
      </c>
      <c r="G375" s="2" t="s">
        <v>228</v>
      </c>
      <c r="H375" s="2" t="s">
        <v>17</v>
      </c>
      <c r="I375" s="2" t="str">
        <f>IFERROR(__xludf.DUMMYFUNCTION("GOOGLETRANSLATE(C375,""fr"",""en"")"),"Price now too high compared to other companies with equivalent guarantees including with troubleshooting 0 km. I therefore plan to terminate my contract,")</f>
        <v>Price now too high compared to other companies with equivalent guarantees including with troubleshooting 0 km. I therefore plan to terminate my contract,</v>
      </c>
    </row>
    <row r="376" ht="15.75" customHeight="1">
      <c r="A376" s="2">
        <v>3.0</v>
      </c>
      <c r="B376" s="2" t="s">
        <v>1173</v>
      </c>
      <c r="C376" s="2" t="s">
        <v>1174</v>
      </c>
      <c r="D376" s="2" t="s">
        <v>65</v>
      </c>
      <c r="E376" s="2" t="s">
        <v>34</v>
      </c>
      <c r="F376" s="2" t="s">
        <v>15</v>
      </c>
      <c r="G376" s="2" t="s">
        <v>1175</v>
      </c>
      <c r="H376" s="2" t="s">
        <v>292</v>
      </c>
      <c r="I376" s="2" t="str">
        <f>IFERROR(__xludf.DUMMYFUNCTION("GOOGLETRANSLATE(C376,""fr"",""en"")"),"Good information Fast welcome clear and fast intervention Not much waiting request for improvement of my contract in the near future concerning care reimbursements")</f>
        <v>Good information Fast welcome clear and fast intervention Not much waiting request for improvement of my contract in the near future concerning care reimbursements</v>
      </c>
    </row>
    <row r="377" ht="15.75" customHeight="1">
      <c r="A377" s="2">
        <v>1.0</v>
      </c>
      <c r="B377" s="2" t="s">
        <v>1176</v>
      </c>
      <c r="C377" s="2" t="s">
        <v>1177</v>
      </c>
      <c r="D377" s="2" t="s">
        <v>993</v>
      </c>
      <c r="E377" s="2" t="s">
        <v>268</v>
      </c>
      <c r="F377" s="2" t="s">
        <v>15</v>
      </c>
      <c r="G377" s="2" t="s">
        <v>1178</v>
      </c>
      <c r="H377" s="2" t="s">
        <v>969</v>
      </c>
      <c r="I377" s="2" t="str">
        <f>IFERROR(__xludf.DUMMYFUNCTION("GOOGLETRANSLATE(C377,""fr"",""en"")"),"They told me that it was not necessary for my ferret to be pucked up when taking the insurance and when it was necessary to reimburse costs it was required that I prove that my animal was pucked. Results no fees reimbursed.")</f>
        <v>They told me that it was not necessary for my ferret to be pucked up when taking the insurance and when it was necessary to reimburse costs it was required that I prove that my animal was pucked. Results no fees reimbursed.</v>
      </c>
    </row>
    <row r="378" ht="15.75" customHeight="1">
      <c r="A378" s="2">
        <v>2.0</v>
      </c>
      <c r="B378" s="2" t="s">
        <v>1179</v>
      </c>
      <c r="C378" s="2" t="s">
        <v>1180</v>
      </c>
      <c r="D378" s="2" t="s">
        <v>65</v>
      </c>
      <c r="E378" s="2" t="s">
        <v>66</v>
      </c>
      <c r="F378" s="2" t="s">
        <v>15</v>
      </c>
      <c r="G378" s="2" t="s">
        <v>1181</v>
      </c>
      <c r="H378" s="2" t="s">
        <v>434</v>
      </c>
      <c r="I378" s="2" t="str">
        <f>IFERROR(__xludf.DUMMYFUNCTION("GOOGLETRANSLATE(C378,""fr"",""en"")"),"hello I am on the stop since April you take over for payment my these very long I still have nothing when I will have payment to make and I am told no planned payment may be next week my there is 15 /08 So we don't care if people are in precariousness c n"&amp;"ot your problem")</f>
        <v>hello I am on the stop since April you take over for payment my these very long I still have nothing when I will have payment to make and I am told no planned payment may be next week my there is 15 /08 So we don't care if people are in precariousness c not your problem</v>
      </c>
    </row>
    <row r="379" ht="15.75" customHeight="1">
      <c r="A379" s="2">
        <v>2.0</v>
      </c>
      <c r="B379" s="2" t="s">
        <v>1182</v>
      </c>
      <c r="C379" s="2" t="s">
        <v>1183</v>
      </c>
      <c r="D379" s="2" t="s">
        <v>39</v>
      </c>
      <c r="E379" s="2" t="s">
        <v>40</v>
      </c>
      <c r="F379" s="2" t="s">
        <v>15</v>
      </c>
      <c r="G379" s="2" t="s">
        <v>108</v>
      </c>
      <c r="H379" s="2" t="s">
        <v>108</v>
      </c>
      <c r="I379" s="2" t="str">
        <f>IFERROR(__xludf.DUMMYFUNCTION("GOOGLETRANSLATE(C379,""fr"",""en"")"),"Flee, run away !!! I have always been insured at GMF without any incident. Last summer, cracks following a natural disaster for soil movement. The expert has passed, and still no news from the GMF. After several months of appeal (they are practically unre"&amp;"achable), I am told that my file is closed, when I have no expert report ... It's shameful! Seeing their error, the GMF replies that there is no ground movement while cracks run everywhere from floor to ceiling and we are recognized in natural disaster !!"&amp;"! I explain that all the houses in the neighborhoods are compensated except mine. And there, the icing on the cake, I am asked if the house has piles on the ground? My house dates from 1870 it is a stone body all in stone ...
In short, the state of natur"&amp;"al disaster means nothing for GMF.
The word mutuality no longer means anything for GMF.
To spend millions in sponsorship for a XV from France which is worth nothing, there, they are strong ....")</f>
        <v>Flee, run away !!! I have always been insured at GMF without any incident. Last summer, cracks following a natural disaster for soil movement. The expert has passed, and still no news from the GMF. After several months of appeal (they are practically unreachable), I am told that my file is closed, when I have no expert report ... It's shameful! Seeing their error, the GMF replies that there is no ground movement while cracks run everywhere from floor to ceiling and we are recognized in natural disaster !!! I explain that all the houses in the neighborhoods are compensated except mine. And there, the icing on the cake, I am asked if the house has piles on the ground? My house dates from 1870 it is a stone body all in stone ...
In short, the state of natural disaster means nothing for GMF.
The word mutuality no longer means anything for GMF.
To spend millions in sponsorship for a XV from France which is worth nothing, there, they are strong ....</v>
      </c>
    </row>
    <row r="380" ht="15.75" customHeight="1">
      <c r="A380" s="2">
        <v>5.0</v>
      </c>
      <c r="B380" s="2" t="s">
        <v>1184</v>
      </c>
      <c r="C380" s="2" t="s">
        <v>1185</v>
      </c>
      <c r="D380" s="2" t="s">
        <v>134</v>
      </c>
      <c r="E380" s="2" t="s">
        <v>56</v>
      </c>
      <c r="F380" s="2" t="s">
        <v>15</v>
      </c>
      <c r="G380" s="2" t="s">
        <v>1186</v>
      </c>
      <c r="H380" s="2" t="s">
        <v>84</v>
      </c>
      <c r="I380" s="2" t="str">
        <f>IFERROR(__xludf.DUMMYFUNCTION("GOOGLETRANSLATE(C380,""fr"",""en"")"),"It's perfect ! Thank you April because for I do not know what reason run from Direct Insurance from which I am a customer to refuse to make sure when I have never had the slightest claim in my whole life!")</f>
        <v>It's perfect ! Thank you April because for I do not know what reason run from Direct Insurance from which I am a customer to refuse to make sure when I have never had the slightest claim in my whole life!</v>
      </c>
    </row>
    <row r="381" ht="15.75" customHeight="1">
      <c r="A381" s="2">
        <v>4.0</v>
      </c>
      <c r="B381" s="2" t="s">
        <v>1187</v>
      </c>
      <c r="C381" s="2" t="s">
        <v>1188</v>
      </c>
      <c r="D381" s="2" t="s">
        <v>24</v>
      </c>
      <c r="E381" s="2" t="s">
        <v>14</v>
      </c>
      <c r="F381" s="2" t="s">
        <v>15</v>
      </c>
      <c r="G381" s="2" t="s">
        <v>1189</v>
      </c>
      <c r="H381" s="2" t="s">
        <v>42</v>
      </c>
      <c r="I381" s="2" t="str">
        <f>IFERROR(__xludf.DUMMYFUNCTION("GOOGLETRANSLATE(C381,""fr"",""en"")"),"Quick service, I am satisfied with the entire maneuver of the quote until the finalization of the contract. I recommend this insurance to everyone.")</f>
        <v>Quick service, I am satisfied with the entire maneuver of the quote until the finalization of the contract. I recommend this insurance to everyone.</v>
      </c>
    </row>
    <row r="382" ht="15.75" customHeight="1">
      <c r="A382" s="2">
        <v>3.0</v>
      </c>
      <c r="B382" s="2" t="s">
        <v>1190</v>
      </c>
      <c r="C382" s="2" t="s">
        <v>1191</v>
      </c>
      <c r="D382" s="2" t="s">
        <v>13</v>
      </c>
      <c r="E382" s="2" t="s">
        <v>14</v>
      </c>
      <c r="F382" s="2" t="s">
        <v>15</v>
      </c>
      <c r="G382" s="2" t="s">
        <v>76</v>
      </c>
      <c r="H382" s="2" t="s">
        <v>42</v>
      </c>
      <c r="I382" s="2" t="str">
        <f>IFERROR(__xludf.DUMMYFUNCTION("GOOGLETRANSLATE(C382,""fr"",""en"")"),"I cannot give my opinion since I am not yet at home, but I think and I hope to save money. I will give a favorable or unfavorable opinion in a year.")</f>
        <v>I cannot give my opinion since I am not yet at home, but I think and I hope to save money. I will give a favorable or unfavorable opinion in a year.</v>
      </c>
    </row>
    <row r="383" ht="15.75" customHeight="1">
      <c r="A383" s="2">
        <v>2.0</v>
      </c>
      <c r="B383" s="2" t="s">
        <v>1192</v>
      </c>
      <c r="C383" s="2" t="s">
        <v>1193</v>
      </c>
      <c r="D383" s="2" t="s">
        <v>209</v>
      </c>
      <c r="E383" s="2" t="s">
        <v>14</v>
      </c>
      <c r="F383" s="2" t="s">
        <v>15</v>
      </c>
      <c r="G383" s="2" t="s">
        <v>1194</v>
      </c>
      <c r="H383" s="2" t="s">
        <v>167</v>
      </c>
      <c r="I383" s="2" t="str">
        <f>IFERROR(__xludf.DUMMYFUNCTION("GOOGLETRANSLATE(C383,""fr"",""en"")"),"hello, 
Maaf client for over 15 years, this aprem I receive a call either I accept that my franchise increases to 500 € or I terminate my insurance.
On the c ...., I ask for reason, ..... so it is by contribution to the frequency of claims, that is: 4 c"&amp;"laims including 1 responsible, 1 icebreaker, and 2 not responsible. For 2 vehicles ensure all risk.
If it was the 4 responsible I can understand but there they really abuse.
So I prefer to terminate a thousand times even if you have to pay more elsewher"&amp;"e than stay with them. question of respect and confidence.
Summary: As long as you have no problem everything is fine.")</f>
        <v>hello, 
Maaf client for over 15 years, this aprem I receive a call either I accept that my franchise increases to 500 € or I terminate my insurance.
On the c ...., I ask for reason, ..... so it is by contribution to the frequency of claims, that is: 4 claims including 1 responsible, 1 icebreaker, and 2 not responsible. For 2 vehicles ensure all risk.
If it was the 4 responsible I can understand but there they really abuse.
So I prefer to terminate a thousand times even if you have to pay more elsewhere than stay with them. question of respect and confidence.
Summary: As long as you have no problem everything is fine.</v>
      </c>
    </row>
    <row r="384" ht="15.75" customHeight="1">
      <c r="A384" s="2">
        <v>1.0</v>
      </c>
      <c r="B384" s="2" t="s">
        <v>1195</v>
      </c>
      <c r="C384" s="2" t="s">
        <v>1196</v>
      </c>
      <c r="D384" s="2" t="s">
        <v>13</v>
      </c>
      <c r="E384" s="2" t="s">
        <v>14</v>
      </c>
      <c r="F384" s="2" t="s">
        <v>15</v>
      </c>
      <c r="G384" s="2" t="s">
        <v>16</v>
      </c>
      <c r="H384" s="2" t="s">
        <v>17</v>
      </c>
      <c r="I384" s="2" t="str">
        <f>IFERROR(__xludf.DUMMYFUNCTION("GOOGLETRANSLATE(C384,""fr"",""en"")"),"I am satisfied my car is well insured with your company I am safe when I travel
I highly recommend your company")</f>
        <v>I am satisfied my car is well insured with your company I am safe when I travel
I highly recommend your company</v>
      </c>
    </row>
    <row r="385" ht="15.75" customHeight="1">
      <c r="A385" s="2">
        <v>5.0</v>
      </c>
      <c r="B385" s="2" t="s">
        <v>1197</v>
      </c>
      <c r="C385" s="2" t="s">
        <v>1198</v>
      </c>
      <c r="D385" s="2" t="s">
        <v>55</v>
      </c>
      <c r="E385" s="2" t="s">
        <v>56</v>
      </c>
      <c r="F385" s="2" t="s">
        <v>15</v>
      </c>
      <c r="G385" s="2" t="s">
        <v>1199</v>
      </c>
      <c r="H385" s="2" t="s">
        <v>21</v>
      </c>
      <c r="I385" s="2" t="str">
        <f>IFERROR(__xludf.DUMMYFUNCTION("GOOGLETRANSLATE(C385,""fr"",""en"")"),"Super fast while waiting for the parts when it was blocked with others, I just wanted to get my motorcycle for a only 5 km journey so perfect so perfect")</f>
        <v>Super fast while waiting for the parts when it was blocked with others, I just wanted to get my motorcycle for a only 5 km journey so perfect so perfect</v>
      </c>
    </row>
    <row r="386" ht="15.75" customHeight="1">
      <c r="A386" s="2">
        <v>1.0</v>
      </c>
      <c r="B386" s="2" t="s">
        <v>1200</v>
      </c>
      <c r="C386" s="2" t="s">
        <v>1201</v>
      </c>
      <c r="D386" s="2" t="s">
        <v>809</v>
      </c>
      <c r="E386" s="2" t="s">
        <v>34</v>
      </c>
      <c r="F386" s="2" t="s">
        <v>15</v>
      </c>
      <c r="G386" s="2" t="s">
        <v>1202</v>
      </c>
      <c r="H386" s="2" t="s">
        <v>540</v>
      </c>
      <c r="I386" s="2" t="str">
        <f>IFERROR(__xludf.DUMMYFUNCTION("GOOGLETRANSLATE(C386,""fr"",""en"")"),"The worst group mutual that I have ever known !!!
HR services: Flee !!")</f>
        <v>The worst group mutual that I have ever known !!!
HR services: Flee !!</v>
      </c>
    </row>
    <row r="387" ht="15.75" customHeight="1">
      <c r="A387" s="2">
        <v>4.0</v>
      </c>
      <c r="B387" s="2" t="s">
        <v>1203</v>
      </c>
      <c r="C387" s="2" t="s">
        <v>1204</v>
      </c>
      <c r="D387" s="2" t="s">
        <v>60</v>
      </c>
      <c r="E387" s="2" t="s">
        <v>40</v>
      </c>
      <c r="F387" s="2" t="s">
        <v>15</v>
      </c>
      <c r="G387" s="2" t="s">
        <v>1205</v>
      </c>
      <c r="H387" s="2" t="s">
        <v>194</v>
      </c>
      <c r="I387" s="2" t="str">
        <f>IFERROR(__xludf.DUMMYFUNCTION("GOOGLETRANSLATE(C387,""fr"",""en"")"),"Following a water damage caused by an unidentified third party in a cellar of a rental apartment in co -ownership, I contact my insurance. (I am the owner)
Very available advisor, listening. After a brief explanation, a file is open and initially, a sum "&amp;"of € 200 (approximate evaluation by me) will have paid me. Money on my account 3 days later, you can't be faster !!!
Confidence is there ... that's how I understand insurance ... Thank you Pacifica, I recommend.")</f>
        <v>Following a water damage caused by an unidentified third party in a cellar of a rental apartment in co -ownership, I contact my insurance. (I am the owner)
Very available advisor, listening. After a brief explanation, a file is open and initially, a sum of € 200 (approximate evaluation by me) will have paid me. Money on my account 3 days later, you can't be faster !!!
Confidence is there ... that's how I understand insurance ... Thank you Pacifica, I recommend.</v>
      </c>
    </row>
    <row r="388" ht="15.75" customHeight="1">
      <c r="A388" s="2">
        <v>1.0</v>
      </c>
      <c r="B388" s="2" t="s">
        <v>1206</v>
      </c>
      <c r="C388" s="2" t="s">
        <v>1207</v>
      </c>
      <c r="D388" s="2" t="s">
        <v>625</v>
      </c>
      <c r="E388" s="2" t="s">
        <v>34</v>
      </c>
      <c r="F388" s="2" t="s">
        <v>15</v>
      </c>
      <c r="G388" s="2" t="s">
        <v>1208</v>
      </c>
      <c r="H388" s="2" t="s">
        <v>292</v>
      </c>
      <c r="I388" s="2" t="str">
        <f>IFERROR(__xludf.DUMMYFUNCTION("GOOGLETRANSLATE(C388,""fr"",""en"")"),"Since January 1 I have chosen Cegema Mutuelle. I am in a hassle for the reimbursements, this mutual insurance company has still not contacted my CPAM, I am obliged to request CPAM counts and then send them to Cegema hoping for reimbursements that do not c"&amp;"ome. I am elderly, sick, with reduced mobility, I start to depress and I regret having abandoned my old mutual that I had for 20 years. A spotlight had convinced me to take Cegema. I have to wait a year to change mutual. In what a hassle I put myself")</f>
        <v>Since January 1 I have chosen Cegema Mutuelle. I am in a hassle for the reimbursements, this mutual insurance company has still not contacted my CPAM, I am obliged to request CPAM counts and then send them to Cegema hoping for reimbursements that do not come. I am elderly, sick, with reduced mobility, I start to depress and I regret having abandoned my old mutual that I had for 20 years. A spotlight had convinced me to take Cegema. I have to wait a year to change mutual. In what a hassle I put myself</v>
      </c>
    </row>
    <row r="389" ht="15.75" customHeight="1">
      <c r="A389" s="2">
        <v>3.0</v>
      </c>
      <c r="B389" s="2" t="s">
        <v>1209</v>
      </c>
      <c r="C389" s="2" t="s">
        <v>1210</v>
      </c>
      <c r="D389" s="2" t="s">
        <v>1211</v>
      </c>
      <c r="E389" s="2" t="s">
        <v>66</v>
      </c>
      <c r="F389" s="2" t="s">
        <v>15</v>
      </c>
      <c r="G389" s="2" t="s">
        <v>521</v>
      </c>
      <c r="H389" s="2" t="s">
        <v>292</v>
      </c>
      <c r="I389" s="2" t="str">
        <f>IFERROR(__xludf.DUMMYFUNCTION("GOOGLETRANSLATE(C389,""fr"",""en"")"),"The prices are very high and the service rendered is deplorable. Impossible to join them when you need to implement the insurance contract subscribed (despite letters, multiple calls, messages left on the answering machine ...). When by miracle we manage "&amp;"to join them, they deliberately drag and ask for a multitude of supporting documents for the sole purpose of delaying the payment of the services due. I had to seize the insurance mediator to get the case!")</f>
        <v>The prices are very high and the service rendered is deplorable. Impossible to join them when you need to implement the insurance contract subscribed (despite letters, multiple calls, messages left on the answering machine ...). When by miracle we manage to join them, they deliberately drag and ask for a multitude of supporting documents for the sole purpose of delaying the payment of the services due. I had to seize the insurance mediator to get the case!</v>
      </c>
    </row>
    <row r="390" ht="15.75" customHeight="1">
      <c r="A390" s="2">
        <v>3.0</v>
      </c>
      <c r="B390" s="2" t="s">
        <v>1212</v>
      </c>
      <c r="C390" s="2" t="s">
        <v>1213</v>
      </c>
      <c r="D390" s="2" t="s">
        <v>60</v>
      </c>
      <c r="E390" s="2" t="s">
        <v>40</v>
      </c>
      <c r="F390" s="2" t="s">
        <v>15</v>
      </c>
      <c r="G390" s="2" t="s">
        <v>1214</v>
      </c>
      <c r="H390" s="2" t="s">
        <v>68</v>
      </c>
      <c r="I390" s="2" t="str">
        <f>IFERROR(__xludf.DUMMYFUNCTION("GOOGLETRANSLATE(C390,""fr"",""en"")"),"Satisfaction between customer and confidence speed insurance, following a natural disaster occurred on October 20, 2021 and good relationship quickly supported with my interlocutor by phone")</f>
        <v>Satisfaction between customer and confidence speed insurance, following a natural disaster occurred on October 20, 2021 and good relationship quickly supported with my interlocutor by phone</v>
      </c>
    </row>
    <row r="391" ht="15.75" customHeight="1">
      <c r="A391" s="2">
        <v>1.0</v>
      </c>
      <c r="B391" s="2" t="s">
        <v>1215</v>
      </c>
      <c r="C391" s="2" t="s">
        <v>1216</v>
      </c>
      <c r="D391" s="2" t="s">
        <v>1217</v>
      </c>
      <c r="E391" s="2" t="s">
        <v>66</v>
      </c>
      <c r="F391" s="2" t="s">
        <v>15</v>
      </c>
      <c r="G391" s="2" t="s">
        <v>1218</v>
      </c>
      <c r="H391" s="2" t="s">
        <v>259</v>
      </c>
      <c r="I391" s="2" t="str">
        <f>IFERROR(__xludf.DUMMYFUNCTION("GOOGLETRANSLATE(C391,""fr"",""en"")"),"Hello, I have been insured for 16 years in Gan Provident and this year, more way to have my health contract online, more reimbursement from the mutual part that I advance with some doctors, no reimbursement of an osteo session in June when it is included "&amp;"in my contract and in addition refusal to the quote of my dentist, quote represented three times with always the same negative response and while my dentist practices in a mutualist clinic.
Morality: I change mutual.
")</f>
        <v>Hello, I have been insured for 16 years in Gan Provident and this year, more way to have my health contract online, more reimbursement from the mutual part that I advance with some doctors, no reimbursement of an osteo session in June when it is included in my contract and in addition refusal to the quote of my dentist, quote represented three times with always the same negative response and while my dentist practices in a mutualist clinic.
Morality: I change mutual.
</v>
      </c>
    </row>
    <row r="392" ht="15.75" customHeight="1">
      <c r="A392" s="2">
        <v>5.0</v>
      </c>
      <c r="B392" s="2" t="s">
        <v>1219</v>
      </c>
      <c r="C392" s="2" t="s">
        <v>1220</v>
      </c>
      <c r="D392" s="2" t="s">
        <v>13</v>
      </c>
      <c r="E392" s="2" t="s">
        <v>14</v>
      </c>
      <c r="F392" s="2" t="s">
        <v>15</v>
      </c>
      <c r="G392" s="2" t="s">
        <v>1033</v>
      </c>
      <c r="H392" s="2" t="s">
        <v>21</v>
      </c>
      <c r="I392" s="2" t="str">
        <f>IFERROR(__xludf.DUMMYFUNCTION("GOOGLETRANSLATE(C392,""fr"",""en"")"),"Simple and quick, to see in time because registering is one thing, taking advantage of the service is another. But it seems simpler than in many other insurers.")</f>
        <v>Simple and quick, to see in time because registering is one thing, taking advantage of the service is another. But it seems simpler than in many other insurers.</v>
      </c>
    </row>
    <row r="393" ht="15.75" customHeight="1">
      <c r="A393" s="2">
        <v>1.0</v>
      </c>
      <c r="B393" s="2" t="s">
        <v>1221</v>
      </c>
      <c r="C393" s="2" t="s">
        <v>1222</v>
      </c>
      <c r="D393" s="2" t="s">
        <v>39</v>
      </c>
      <c r="E393" s="2" t="s">
        <v>14</v>
      </c>
      <c r="F393" s="2" t="s">
        <v>15</v>
      </c>
      <c r="G393" s="2" t="s">
        <v>540</v>
      </c>
      <c r="H393" s="2" t="s">
        <v>540</v>
      </c>
      <c r="I393" s="2" t="str">
        <f>IFERROR(__xludf.DUMMYFUNCTION("GOOGLETRANSLATE(C393,""fr"",""en"")"),"Very good service but even in risk insurance, he practices an increase in rates too much
Important annual !!!!")</f>
        <v>Very good service but even in risk insurance, he practices an increase in rates too much
Important annual !!!!</v>
      </c>
    </row>
    <row r="394" ht="15.75" customHeight="1">
      <c r="A394" s="2">
        <v>5.0</v>
      </c>
      <c r="B394" s="2" t="s">
        <v>1223</v>
      </c>
      <c r="C394" s="2" t="s">
        <v>1224</v>
      </c>
      <c r="D394" s="2" t="s">
        <v>24</v>
      </c>
      <c r="E394" s="2" t="s">
        <v>14</v>
      </c>
      <c r="F394" s="2" t="s">
        <v>15</v>
      </c>
      <c r="G394" s="2" t="s">
        <v>1225</v>
      </c>
      <c r="H394" s="2" t="s">
        <v>339</v>
      </c>
      <c r="I394" s="2" t="str">
        <f>IFERROR(__xludf.DUMMYFUNCTION("GOOGLETRANSLATE(C394,""fr"",""en"")"),"I am not used to note on the internet but the management of my disaster went very well I was well guided and reimbursed in a week")</f>
        <v>I am not used to note on the internet but the management of my disaster went very well I was well guided and reimbursed in a week</v>
      </c>
    </row>
    <row r="395" ht="15.75" customHeight="1">
      <c r="A395" s="2">
        <v>4.0</v>
      </c>
      <c r="B395" s="2" t="s">
        <v>1226</v>
      </c>
      <c r="C395" s="2" t="s">
        <v>1227</v>
      </c>
      <c r="D395" s="2" t="s">
        <v>13</v>
      </c>
      <c r="E395" s="2" t="s">
        <v>14</v>
      </c>
      <c r="F395" s="2" t="s">
        <v>15</v>
      </c>
      <c r="G395" s="2" t="s">
        <v>1228</v>
      </c>
      <c r="H395" s="2" t="s">
        <v>52</v>
      </c>
      <c r="I395" s="2" t="str">
        <f>IFERROR(__xludf.DUMMYFUNCTION("GOOGLETRANSLATE(C395,""fr"",""en"")"),"I subscribed my new car in 5 minutes. It's simple and the transaction was very fast. The price is not the lowest I have found. Neanmois I am very happy")</f>
        <v>I subscribed my new car in 5 minutes. It's simple and the transaction was very fast. The price is not the lowest I have found. Neanmois I am very happy</v>
      </c>
    </row>
    <row r="396" ht="15.75" customHeight="1">
      <c r="A396" s="2">
        <v>1.0</v>
      </c>
      <c r="B396" s="2" t="s">
        <v>1229</v>
      </c>
      <c r="C396" s="2" t="s">
        <v>1230</v>
      </c>
      <c r="D396" s="2" t="s">
        <v>138</v>
      </c>
      <c r="E396" s="2" t="s">
        <v>40</v>
      </c>
      <c r="F396" s="2" t="s">
        <v>15</v>
      </c>
      <c r="G396" s="2" t="s">
        <v>1231</v>
      </c>
      <c r="H396" s="2" t="s">
        <v>225</v>
      </c>
      <c r="I396" s="2" t="str">
        <f>IFERROR(__xludf.DUMMYFUNCTION("GOOGLETRANSLATE(C396,""fr"",""en"")"),"A disaster!
Insurance that leads you by boat but which is unable to defend you correctly ... An incompetent and unpleasant claim manager who calls on without even having taken the trouble to study your before and does not know what she is talking about, "&amp;"we wonder who Is the customer?
To end up telling you we can't cover you you have to pay!
A shame ...")</f>
        <v>A disaster!
Insurance that leads you by boat but which is unable to defend you correctly ... An incompetent and unpleasant claim manager who calls on without even having taken the trouble to study your before and does not know what she is talking about, we wonder who Is the customer?
To end up telling you we can't cover you you have to pay!
A shame ...</v>
      </c>
    </row>
    <row r="397" ht="15.75" customHeight="1">
      <c r="A397" s="2">
        <v>1.0</v>
      </c>
      <c r="B397" s="2" t="s">
        <v>1232</v>
      </c>
      <c r="C397" s="2" t="s">
        <v>1233</v>
      </c>
      <c r="D397" s="2" t="s">
        <v>96</v>
      </c>
      <c r="E397" s="2" t="s">
        <v>97</v>
      </c>
      <c r="F397" s="2" t="s">
        <v>15</v>
      </c>
      <c r="G397" s="2" t="s">
        <v>1234</v>
      </c>
      <c r="H397" s="2" t="s">
        <v>466</v>
      </c>
      <c r="I397" s="2" t="str">
        <f>IFERROR(__xludf.DUMMYFUNCTION("GOOGLETRANSLATE(C397,""fr"",""en"")"),"""Cardif direct"" insurance is a deception:
- Folder fees added at the time of the signature
- Risks excluded on united questions (international trips to the international)
- It is not so direct, because we discover along the way that we talk sometimes"&amp;" to a broker without knowing what he is doing there ...
Avoid at all costs!")</f>
        <v>"Cardif direct" insurance is a deception:
- Folder fees added at the time of the signature
- Risks excluded on united questions (international trips to the international)
- It is not so direct, because we discover along the way that we talk sometimes to a broker without knowing what he is doing there ...
Avoid at all costs!</v>
      </c>
    </row>
    <row r="398" ht="15.75" customHeight="1">
      <c r="A398" s="2">
        <v>1.0</v>
      </c>
      <c r="B398" s="2" t="s">
        <v>1235</v>
      </c>
      <c r="C398" s="2" t="s">
        <v>1236</v>
      </c>
      <c r="D398" s="2" t="s">
        <v>96</v>
      </c>
      <c r="E398" s="2" t="s">
        <v>97</v>
      </c>
      <c r="F398" s="2" t="s">
        <v>15</v>
      </c>
      <c r="G398" s="2" t="s">
        <v>1237</v>
      </c>
      <c r="H398" s="2" t="s">
        <v>798</v>
      </c>
      <c r="I398" s="2" t="str">
        <f>IFERROR(__xludf.DUMMYFUNCTION("GOOGLETRANSLATE(C398,""fr"",""en"")"),"In disability 2 category following an illness and insurance does not take me into consideration because it is estimated that I do not enter their percentage granted while I had taken 100% per capita.")</f>
        <v>In disability 2 category following an illness and insurance does not take me into consideration because it is estimated that I do not enter their percentage granted while I had taken 100% per capita.</v>
      </c>
    </row>
    <row r="399" ht="15.75" customHeight="1">
      <c r="A399" s="2">
        <v>1.0</v>
      </c>
      <c r="B399" s="2" t="s">
        <v>1238</v>
      </c>
      <c r="C399" s="2" t="s">
        <v>1239</v>
      </c>
      <c r="D399" s="2" t="s">
        <v>106</v>
      </c>
      <c r="E399" s="2" t="s">
        <v>14</v>
      </c>
      <c r="F399" s="2" t="s">
        <v>15</v>
      </c>
      <c r="G399" s="2" t="s">
        <v>1240</v>
      </c>
      <c r="H399" s="2" t="s">
        <v>52</v>
      </c>
      <c r="I399" s="2" t="str">
        <f>IFERROR(__xludf.DUMMYFUNCTION("GOOGLETRANSLATE(C399,""fr"",""en"")"),"Many error tp. VS never say the same during telephone calls. I also find the increase in my inappropriate car insurance contract given the current context.")</f>
        <v>Many error tp. VS never say the same during telephone calls. I also find the increase in my inappropriate car insurance contract given the current context.</v>
      </c>
    </row>
    <row r="400" ht="15.75" customHeight="1">
      <c r="A400" s="2">
        <v>4.0</v>
      </c>
      <c r="B400" s="2" t="s">
        <v>1241</v>
      </c>
      <c r="C400" s="2" t="s">
        <v>1242</v>
      </c>
      <c r="D400" s="2" t="s">
        <v>24</v>
      </c>
      <c r="E400" s="2" t="s">
        <v>14</v>
      </c>
      <c r="F400" s="2" t="s">
        <v>15</v>
      </c>
      <c r="G400" s="2" t="s">
        <v>1104</v>
      </c>
      <c r="H400" s="2" t="s">
        <v>128</v>
      </c>
      <c r="I400" s="2" t="str">
        <f>IFERROR(__xludf.DUMMYFUNCTION("GOOGLETRANSLATE(C400,""fr"",""en"")"),"Ice brie at € 125 to replacement it's a bit expensive, € 70 would have been more acceptable
And a legal assistance option would have been good too.
Otherwise it's very good.")</f>
        <v>Ice brie at € 125 to replacement it's a bit expensive, € 70 would have been more acceptable
And a legal assistance option would have been good too.
Otherwise it's very good.</v>
      </c>
    </row>
    <row r="401" ht="15.75" customHeight="1">
      <c r="A401" s="2">
        <v>2.0</v>
      </c>
      <c r="B401" s="2" t="s">
        <v>1243</v>
      </c>
      <c r="C401" s="2" t="s">
        <v>1244</v>
      </c>
      <c r="D401" s="2" t="s">
        <v>71</v>
      </c>
      <c r="E401" s="2" t="s">
        <v>40</v>
      </c>
      <c r="F401" s="2" t="s">
        <v>15</v>
      </c>
      <c r="G401" s="2" t="s">
        <v>1245</v>
      </c>
      <c r="H401" s="2" t="s">
        <v>381</v>
      </c>
      <c r="I401" s="2" t="str">
        <f>IFERROR(__xludf.DUMMYFUNCTION("GOOGLETRANSLATE(C401,""fr"",""en"")"),"First their voice recognition tool is zero) simply)!
Then every time I want to contact them, I have at least 10 minutes of waiting at least!
Finally, I had legal insurance and following a nanny problem, I call for information. I am explained to me that "&amp;"this is another ""family employment"" insurance.
I am offered it by telling me that I can use it (in addition with the review of my contracts, I pay slightly cheaper than before for more coverage !!! (now I have the family jobs included for cheaper).
Th"&amp;"en, I call for my nanny problems and there I am told that as I told them before, the protection used at home does not work !!
So be careful when you call the maif, it tracks down everything you say.
I wrote to their CEO (registered letter), no answer.
"&amp;"But should it be surprised?
When you are bad, you are until the end.")</f>
        <v>First their voice recognition tool is zero) simply)!
Then every time I want to contact them, I have at least 10 minutes of waiting at least!
Finally, I had legal insurance and following a nanny problem, I call for information. I am explained to me that this is another "family employment" insurance.
I am offered it by telling me that I can use it (in addition with the review of my contracts, I pay slightly cheaper than before for more coverage !!! (now I have the family jobs included for cheaper).
Then, I call for my nanny problems and there I am told that as I told them before, the protection used at home does not work !!
So be careful when you call the maif, it tracks down everything you say.
I wrote to their CEO (registered letter), no answer.
But should it be surprised?
When you are bad, you are until the end.</v>
      </c>
    </row>
    <row r="402" ht="15.75" customHeight="1">
      <c r="A402" s="2">
        <v>3.0</v>
      </c>
      <c r="B402" s="2" t="s">
        <v>1246</v>
      </c>
      <c r="C402" s="2" t="s">
        <v>1247</v>
      </c>
      <c r="D402" s="2" t="s">
        <v>13</v>
      </c>
      <c r="E402" s="2" t="s">
        <v>14</v>
      </c>
      <c r="F402" s="2" t="s">
        <v>15</v>
      </c>
      <c r="G402" s="2" t="s">
        <v>1248</v>
      </c>
      <c r="H402" s="2" t="s">
        <v>167</v>
      </c>
      <c r="I402" s="2" t="str">
        <f>IFERROR(__xludf.DUMMYFUNCTION("GOOGLETRANSLATE(C402,""fr"",""en"")"),"Thank you for your precious help, your patience and the good welcome on the phone. I will recommend you with pleasure. Simplicity and efficiency were the watchwords.")</f>
        <v>Thank you for your precious help, your patience and the good welcome on the phone. I will recommend you with pleasure. Simplicity and efficiency were the watchwords.</v>
      </c>
    </row>
    <row r="403" ht="15.75" customHeight="1">
      <c r="A403" s="2">
        <v>2.0</v>
      </c>
      <c r="B403" s="2" t="s">
        <v>1249</v>
      </c>
      <c r="C403" s="2" t="s">
        <v>1250</v>
      </c>
      <c r="D403" s="2" t="s">
        <v>24</v>
      </c>
      <c r="E403" s="2" t="s">
        <v>14</v>
      </c>
      <c r="F403" s="2" t="s">
        <v>15</v>
      </c>
      <c r="G403" s="2" t="s">
        <v>1251</v>
      </c>
      <c r="H403" s="2" t="s">
        <v>363</v>
      </c>
      <c r="I403" s="2" t="str">
        <f>IFERROR(__xludf.DUMMYFUNCTION("GOOGLETRANSLATE(C403,""fr"",""en"")"),"If you just look for a green card, go there! For the rest I do not recommend!
2 auto contracts at home and not even the 10% discount on the second contract ??
Bye bye l'Olivier ??
1 Star just for the form ??
")</f>
        <v>If you just look for a green card, go there! For the rest I do not recommend!
2 auto contracts at home and not even the 10% discount on the second contract ??
Bye bye l'Olivier ??
1 Star just for the form ??
</v>
      </c>
    </row>
    <row r="404" ht="15.75" customHeight="1">
      <c r="A404" s="2">
        <v>1.0</v>
      </c>
      <c r="B404" s="2" t="s">
        <v>1252</v>
      </c>
      <c r="C404" s="2" t="s">
        <v>1253</v>
      </c>
      <c r="D404" s="2" t="s">
        <v>13</v>
      </c>
      <c r="E404" s="2" t="s">
        <v>14</v>
      </c>
      <c r="F404" s="2" t="s">
        <v>15</v>
      </c>
      <c r="G404" s="2" t="s">
        <v>1254</v>
      </c>
      <c r="H404" s="2" t="s">
        <v>52</v>
      </c>
      <c r="I404" s="2" t="str">
        <f>IFERROR(__xludf.DUMMYFUNCTION("GOOGLETRANSLATE(C404,""fr"",""en"")"),"I am not satisfied with the price because I have much cheaper quotes when I make a simulation on the internet, including direct insurance and the advisers do not consider me;")</f>
        <v>I am not satisfied with the price because I have much cheaper quotes when I make a simulation on the internet, including direct insurance and the advisers do not consider me;</v>
      </c>
    </row>
    <row r="405" ht="15.75" customHeight="1">
      <c r="A405" s="2">
        <v>2.0</v>
      </c>
      <c r="B405" s="2" t="s">
        <v>1255</v>
      </c>
      <c r="C405" s="2" t="s">
        <v>1256</v>
      </c>
      <c r="D405" s="2" t="s">
        <v>13</v>
      </c>
      <c r="E405" s="2" t="s">
        <v>14</v>
      </c>
      <c r="F405" s="2" t="s">
        <v>15</v>
      </c>
      <c r="G405" s="2" t="s">
        <v>1257</v>
      </c>
      <c r="H405" s="2" t="s">
        <v>42</v>
      </c>
      <c r="I405" s="2" t="str">
        <f>IFERROR(__xludf.DUMMYFUNCTION("GOOGLETRANSLATE(C405,""fr"",""en"")"),"Satisfied with fast service
Too high price for young driver (3 years of CDI work as a driver delivery man)
I would like to be contact please for more info
")</f>
        <v>Satisfied with fast service
Too high price for young driver (3 years of CDI work as a driver delivery man)
I would like to be contact please for more info
</v>
      </c>
    </row>
    <row r="406" ht="15.75" customHeight="1">
      <c r="A406" s="2">
        <v>5.0</v>
      </c>
      <c r="B406" s="2" t="s">
        <v>1258</v>
      </c>
      <c r="C406" s="2" t="s">
        <v>1259</v>
      </c>
      <c r="D406" s="2" t="s">
        <v>60</v>
      </c>
      <c r="E406" s="2" t="s">
        <v>14</v>
      </c>
      <c r="F406" s="2" t="s">
        <v>15</v>
      </c>
      <c r="G406" s="2" t="s">
        <v>526</v>
      </c>
      <c r="H406" s="2" t="s">
        <v>292</v>
      </c>
      <c r="I406" s="2" t="str">
        <f>IFERROR(__xludf.DUMMYFUNCTION("GOOGLETRANSLATE(C406,""fr"",""en"")"),"It is a reactive, very accommodating automotive insurer and whose prices are correct and competitive. I recommand it.
After the destruction of my vehicle during an accident a few years ago, when my responsibility was not engaged, the compensation in whic"&amp;"h I was equipped was very very satisfactory.
It remains to know the consequences in the event of particular claims without proof of responsibility such as the damage of the vehicle in a parking lot without the author leaving contact details. This area is"&amp;" today the source of many hassles for insured people who only by bad luck have to change insurer and must then pay a very strong price to continue to be covered by an insurance company.
If the classic guarantees are known, the methods relating to the pro"&amp;"blem of the occurrence of more than one event for which the responsibility of the insured is not engaged is a nebula.")</f>
        <v>It is a reactive, very accommodating automotive insurer and whose prices are correct and competitive. I recommand it.
After the destruction of my vehicle during an accident a few years ago, when my responsibility was not engaged, the compensation in which I was equipped was very very satisfactory.
It remains to know the consequences in the event of particular claims without proof of responsibility such as the damage of the vehicle in a parking lot without the author leaving contact details. This area is today the source of many hassles for insured people who only by bad luck have to change insurer and must then pay a very strong price to continue to be covered by an insurance company.
If the classic guarantees are known, the methods relating to the problem of the occurrence of more than one event for which the responsibility of the insured is not engaged is a nebula.</v>
      </c>
    </row>
    <row r="407" ht="15.75" customHeight="1">
      <c r="A407" s="2">
        <v>1.0</v>
      </c>
      <c r="B407" s="2" t="s">
        <v>1260</v>
      </c>
      <c r="C407" s="2" t="s">
        <v>1261</v>
      </c>
      <c r="D407" s="2" t="s">
        <v>79</v>
      </c>
      <c r="E407" s="2" t="s">
        <v>14</v>
      </c>
      <c r="F407" s="2" t="s">
        <v>15</v>
      </c>
      <c r="G407" s="2" t="s">
        <v>1262</v>
      </c>
      <c r="H407" s="2" t="s">
        <v>36</v>
      </c>
      <c r="I407" s="2" t="str">
        <f>IFERROR(__xludf.DUMMYFUNCTION("GOOGLETRANSLATE(C407,""fr"",""en"")"),"I am still awaiting settlement of 1300 euros following the non -responsible accident in November 2016. Calls to customer service are completely useless because they have no information on claims, and the last response of service sinister to my letter is a"&amp;"s follows:
Dear,
We return to you as part of the claim of 10/28/2016, in which your ********** vehicle registered ******* is involved, following your last letter.
AXA (insurer of your vehicle for Active Assurances) informed us on February 9 to "&amp;"remain pending the funds of the opposing company in order to be able to reimburse you.
We will come back to you when Axa said we received the funds.
We ask you to receive, madam, sir, our respectful greetings.")</f>
        <v>I am still awaiting settlement of 1300 euros following the non -responsible accident in November 2016. Calls to customer service are completely useless because they have no information on claims, and the last response of service sinister to my letter is as follows:
Dear,
We return to you as part of the claim of 10/28/2016, in which your ********** vehicle registered ******* is involved, following your last letter.
AXA (insurer of your vehicle for Active Assurances) informed us on February 9 to remain pending the funds of the opposing company in order to be able to reimburse you.
We will come back to you when Axa said we received the funds.
We ask you to receive, madam, sir, our respectful greetings.</v>
      </c>
    </row>
    <row r="408" ht="15.75" customHeight="1">
      <c r="A408" s="2">
        <v>1.0</v>
      </c>
      <c r="B408" s="2" t="s">
        <v>1263</v>
      </c>
      <c r="C408" s="2" t="s">
        <v>1264</v>
      </c>
      <c r="D408" s="2" t="s">
        <v>45</v>
      </c>
      <c r="E408" s="2" t="s">
        <v>40</v>
      </c>
      <c r="F408" s="2" t="s">
        <v>15</v>
      </c>
      <c r="G408" s="2" t="s">
        <v>1265</v>
      </c>
      <c r="H408" s="2" t="s">
        <v>194</v>
      </c>
      <c r="I408" s="2" t="str">
        <f>IFERROR(__xludf.DUMMYFUNCTION("GOOGLETRANSLATE(C408,""fr"",""en"")"),"Insurance to fouir advisor does not manage the expectations of a loss of the neighbor's water his insurer quickly managed his file with the expert when I was the victims nothing fucks he asks me for quotes after saying these too dear To believe that it me"&amp;"lts arrangements with the other insurance on Axa offers me 1000th while the quotes were 3500th when you ask why the expert is not to go to my house to find out the work there is a story Finally in Fouiiiire ​​there is better as an insurer")</f>
        <v>Insurance to fouir advisor does not manage the expectations of a loss of the neighbor's water his insurer quickly managed his file with the expert when I was the victims nothing fucks he asks me for quotes after saying these too dear To believe that it melts arrangements with the other insurance on Axa offers me 1000th while the quotes were 3500th when you ask why the expert is not to go to my house to find out the work there is a story Finally in Fouiiiire ​​there is better as an insurer</v>
      </c>
    </row>
    <row r="409" ht="15.75" customHeight="1">
      <c r="A409" s="2">
        <v>5.0</v>
      </c>
      <c r="B409" s="2" t="s">
        <v>1266</v>
      </c>
      <c r="C409" s="2" t="s">
        <v>1267</v>
      </c>
      <c r="D409" s="2" t="s">
        <v>13</v>
      </c>
      <c r="E409" s="2" t="s">
        <v>14</v>
      </c>
      <c r="F409" s="2" t="s">
        <v>15</v>
      </c>
      <c r="G409" s="2" t="s">
        <v>1268</v>
      </c>
      <c r="H409" s="2" t="s">
        <v>1007</v>
      </c>
      <c r="I409" s="2" t="str">
        <f>IFERROR(__xludf.DUMMYFUNCTION("GOOGLETRANSLATE(C409,""fr"",""en"")"),"I have been insured for my 2nd car at Direct Insurance for several years and I have never had any problems.
Customer service can be reached quickly and the claim files are processed quickly. The prices are reasonable.
I recommend +++")</f>
        <v>I have been insured for my 2nd car at Direct Insurance for several years and I have never had any problems.
Customer service can be reached quickly and the claim files are processed quickly. The prices are reasonable.
I recommend +++</v>
      </c>
    </row>
    <row r="410" ht="15.75" customHeight="1">
      <c r="A410" s="2">
        <v>5.0</v>
      </c>
      <c r="B410" s="2" t="s">
        <v>1269</v>
      </c>
      <c r="C410" s="2" t="s">
        <v>1270</v>
      </c>
      <c r="D410" s="2" t="s">
        <v>24</v>
      </c>
      <c r="E410" s="2" t="s">
        <v>14</v>
      </c>
      <c r="F410" s="2" t="s">
        <v>15</v>
      </c>
      <c r="G410" s="2" t="s">
        <v>1271</v>
      </c>
      <c r="H410" s="2" t="s">
        <v>128</v>
      </c>
      <c r="I410" s="2" t="str">
        <f>IFERROR(__xludf.DUMMYFUNCTION("GOOGLETRANSLATE(C410,""fr"",""en"")"),"Satisfactory service, facilitate subscription from the site
Possibility of or not including options, modular contract.
Price/Protection ratio good")</f>
        <v>Satisfactory service, facilitate subscription from the site
Possibility of or not including options, modular contract.
Price/Protection ratio good</v>
      </c>
    </row>
    <row r="411" ht="15.75" customHeight="1">
      <c r="A411" s="2">
        <v>3.0</v>
      </c>
      <c r="B411" s="2" t="s">
        <v>1272</v>
      </c>
      <c r="C411" s="2" t="s">
        <v>1273</v>
      </c>
      <c r="D411" s="2" t="s">
        <v>257</v>
      </c>
      <c r="E411" s="2" t="s">
        <v>34</v>
      </c>
      <c r="F411" s="2" t="s">
        <v>15</v>
      </c>
      <c r="G411" s="2" t="s">
        <v>1274</v>
      </c>
      <c r="H411" s="2" t="s">
        <v>331</v>
      </c>
      <c r="I411" s="2" t="str">
        <f>IFERROR(__xludf.DUMMYFUNCTION("GOOGLETRANSLATE(C411,""fr"",""en"")"),"Good mutual insurance as a whole, reimburse well and within correct deadlines (1 week) some concerns with the management of the contract at the start, but after that is fine! Site really well done in terms of the details of the reimbursements (4 storytell"&amp;"ers, health expenses - Secu -secling - transfer to your account - transfer to the healthcare professional) and below the list of detailed reimbursements! The only annoying defect in the site is to find your formula in the contract, you must remember, othe"&amp;"rwise the PDF gives all the formulas.
Big defect that pushes me to change, it's the price. Initially very correct given the reimbursements made in charge, but each year on January 1 The subscription increases a lot, after 2 years I am around € 170 for 4 "&amp;"(2 children 2 adults) to now around 210 €. shame...")</f>
        <v>Good mutual insurance as a whole, reimburse well and within correct deadlines (1 week) some concerns with the management of the contract at the start, but after that is fine! Site really well done in terms of the details of the reimbursements (4 storytellers, health expenses - Secu -secling - transfer to your account - transfer to the healthcare professional) and below the list of detailed reimbursements! The only annoying defect in the site is to find your formula in the contract, you must remember, otherwise the PDF gives all the formulas.
Big defect that pushes me to change, it's the price. Initially very correct given the reimbursements made in charge, but each year on January 1 The subscription increases a lot, after 2 years I am around € 170 for 4 (2 children 2 adults) to now around 210 €. shame...</v>
      </c>
    </row>
    <row r="412" ht="15.75" customHeight="1">
      <c r="A412" s="2">
        <v>5.0</v>
      </c>
      <c r="B412" s="2" t="s">
        <v>1275</v>
      </c>
      <c r="C412" s="2" t="s">
        <v>1276</v>
      </c>
      <c r="D412" s="2" t="s">
        <v>55</v>
      </c>
      <c r="E412" s="2" t="s">
        <v>56</v>
      </c>
      <c r="F412" s="2" t="s">
        <v>15</v>
      </c>
      <c r="G412" s="2" t="s">
        <v>1189</v>
      </c>
      <c r="H412" s="2" t="s">
        <v>42</v>
      </c>
      <c r="I412" s="2" t="str">
        <f>IFERROR(__xludf.DUMMYFUNCTION("GOOGLETRANSLATE(C412,""fr"",""en"")"),"As always very satisfied, I recommend green motorcycle insurance for several customers, and will not change for anything in the world
Cordially
Thierry Garcia")</f>
        <v>As always very satisfied, I recommend green motorcycle insurance for several customers, and will not change for anything in the world
Cordially
Thierry Garcia</v>
      </c>
    </row>
    <row r="413" ht="15.75" customHeight="1">
      <c r="A413" s="2">
        <v>5.0</v>
      </c>
      <c r="B413" s="2" t="s">
        <v>1277</v>
      </c>
      <c r="C413" s="2" t="s">
        <v>1278</v>
      </c>
      <c r="D413" s="2" t="s">
        <v>13</v>
      </c>
      <c r="E413" s="2" t="s">
        <v>14</v>
      </c>
      <c r="F413" s="2" t="s">
        <v>15</v>
      </c>
      <c r="G413" s="2" t="s">
        <v>1279</v>
      </c>
      <c r="H413" s="2" t="s">
        <v>167</v>
      </c>
      <c r="I413" s="2" t="str">
        <f>IFERROR(__xludf.DUMMYFUNCTION("GOOGLETRANSLATE(C413,""fr"",""en"")"),"Satisfied with the service.
Online subscription is simple and practical.
It is easy to print important documents at any time.
The mobile application is well done.")</f>
        <v>Satisfied with the service.
Online subscription is simple and practical.
It is easy to print important documents at any time.
The mobile application is well done.</v>
      </c>
    </row>
    <row r="414" ht="15.75" customHeight="1">
      <c r="A414" s="2">
        <v>4.0</v>
      </c>
      <c r="B414" s="2" t="s">
        <v>1280</v>
      </c>
      <c r="C414" s="2" t="s">
        <v>1281</v>
      </c>
      <c r="D414" s="2" t="s">
        <v>13</v>
      </c>
      <c r="E414" s="2" t="s">
        <v>14</v>
      </c>
      <c r="F414" s="2" t="s">
        <v>15</v>
      </c>
      <c r="G414" s="2" t="s">
        <v>543</v>
      </c>
      <c r="H414" s="2" t="s">
        <v>84</v>
      </c>
      <c r="I414" s="2" t="str">
        <f>IFERROR(__xludf.DUMMYFUNCTION("GOOGLETRANSLATE(C414,""fr"",""en"")"),"I am satisfied with this insurance and I recommend it. No paper all by internet, the price and the fairest nothing to say more than that continues.")</f>
        <v>I am satisfied with this insurance and I recommend it. No paper all by internet, the price and the fairest nothing to say more than that continues.</v>
      </c>
    </row>
    <row r="415" ht="15.75" customHeight="1">
      <c r="A415" s="2">
        <v>5.0</v>
      </c>
      <c r="B415" s="2" t="s">
        <v>1282</v>
      </c>
      <c r="C415" s="2" t="s">
        <v>1283</v>
      </c>
      <c r="D415" s="2" t="s">
        <v>55</v>
      </c>
      <c r="E415" s="2" t="s">
        <v>56</v>
      </c>
      <c r="F415" s="2" t="s">
        <v>15</v>
      </c>
      <c r="G415" s="2" t="s">
        <v>1284</v>
      </c>
      <c r="H415" s="2" t="s">
        <v>381</v>
      </c>
      <c r="I415" s="2" t="str">
        <f>IFERROR(__xludf.DUMMYFUNCTION("GOOGLETRANSLATE(C415,""fr"",""en"")"),"Easy to conclude a personalized contract on the Internet with mutual trust. Easy and competent telephone contact.")</f>
        <v>Easy to conclude a personalized contract on the Internet with mutual trust. Easy and competent telephone contact.</v>
      </c>
    </row>
    <row r="416" ht="15.75" customHeight="1">
      <c r="A416" s="2">
        <v>5.0</v>
      </c>
      <c r="B416" s="2" t="s">
        <v>1285</v>
      </c>
      <c r="C416" s="2" t="s">
        <v>1286</v>
      </c>
      <c r="D416" s="2" t="s">
        <v>39</v>
      </c>
      <c r="E416" s="2" t="s">
        <v>14</v>
      </c>
      <c r="F416" s="2" t="s">
        <v>15</v>
      </c>
      <c r="G416" s="2" t="s">
        <v>1287</v>
      </c>
      <c r="H416" s="2" t="s">
        <v>21</v>
      </c>
      <c r="I416" s="2" t="str">
        <f>IFERROR(__xludf.DUMMYFUNCTION("GOOGLETRANSLATE(C416,""fr"",""en"")"),"Very satisfied with our great confidence assurance for many years I loved only one very attentive concern always finds a solution. I advise you this insurance")</f>
        <v>Very satisfied with our great confidence assurance for many years I loved only one very attentive concern always finds a solution. I advise you this insurance</v>
      </c>
    </row>
    <row r="417" ht="15.75" customHeight="1">
      <c r="A417" s="2">
        <v>4.0</v>
      </c>
      <c r="B417" s="2" t="s">
        <v>1288</v>
      </c>
      <c r="C417" s="2" t="s">
        <v>1289</v>
      </c>
      <c r="D417" s="2" t="s">
        <v>731</v>
      </c>
      <c r="E417" s="2" t="s">
        <v>34</v>
      </c>
      <c r="F417" s="2" t="s">
        <v>15</v>
      </c>
      <c r="G417" s="2" t="s">
        <v>1290</v>
      </c>
      <c r="H417" s="2" t="s">
        <v>68</v>
      </c>
      <c r="I417" s="2" t="str">
        <f>IFERROR(__xludf.DUMMYFUNCTION("GOOGLETRANSLATE(C417,""fr"",""en"")"),"Your explanations, details and proposals are simple and understandable. I found in this formula a possibility adapted to my case. Thank you for the details of your procedure.
")</f>
        <v>Your explanations, details and proposals are simple and understandable. I found in this formula a possibility adapted to my case. Thank you for the details of your procedure.
</v>
      </c>
    </row>
    <row r="418" ht="15.75" customHeight="1">
      <c r="A418" s="2">
        <v>1.0</v>
      </c>
      <c r="B418" s="2" t="s">
        <v>1291</v>
      </c>
      <c r="C418" s="2" t="s">
        <v>1292</v>
      </c>
      <c r="D418" s="2" t="s">
        <v>731</v>
      </c>
      <c r="E418" s="2" t="s">
        <v>34</v>
      </c>
      <c r="F418" s="2" t="s">
        <v>15</v>
      </c>
      <c r="G418" s="2" t="s">
        <v>450</v>
      </c>
      <c r="H418" s="2" t="s">
        <v>62</v>
      </c>
      <c r="I418" s="2" t="str">
        <f>IFERROR(__xludf.DUMMYFUNCTION("GOOGLETRANSLATE(C418,""fr"",""en"")"),"Deplorable customer service. way of treating the customer below everything")</f>
        <v>Deplorable customer service. way of treating the customer below everything</v>
      </c>
    </row>
    <row r="419" ht="15.75" customHeight="1">
      <c r="A419" s="2">
        <v>2.0</v>
      </c>
      <c r="B419" s="2" t="s">
        <v>1293</v>
      </c>
      <c r="C419" s="2" t="s">
        <v>1294</v>
      </c>
      <c r="D419" s="2" t="s">
        <v>60</v>
      </c>
      <c r="E419" s="2" t="s">
        <v>14</v>
      </c>
      <c r="F419" s="2" t="s">
        <v>15</v>
      </c>
      <c r="G419" s="2" t="s">
        <v>1295</v>
      </c>
      <c r="H419" s="2" t="s">
        <v>466</v>
      </c>
      <c r="I419" s="2" t="str">
        <f>IFERROR(__xludf.DUMMYFUNCTION("GOOGLETRANSLATE(C419,""fr"",""en"")"),"The human side must be an option for this insurer. Breaking abroad on the morning of the return to France, I did not feel supported at all by my advisor. No call on their part to keep me informed of the evolution of my file. After 2 hours of waiting for t"&amp;"he tow truck I had to relaunch the insurance twice to get news.
The repair ended around 9 p.m. and there I contact insurance again since it does not bother to know how to manage because it is too late to hit the road. And there, I am told to manage, the "&amp;"car is repaired for them more problems. Find a place to sleep for my four children and myself, the youngest of their concerns. 9 p.m. abroad: get by !!!
Thank you again for the human side of this insurance")</f>
        <v>The human side must be an option for this insurer. Breaking abroad on the morning of the return to France, I did not feel supported at all by my advisor. No call on their part to keep me informed of the evolution of my file. After 2 hours of waiting for the tow truck I had to relaunch the insurance twice to get news.
The repair ended around 9 p.m. and there I contact insurance again since it does not bother to know how to manage because it is too late to hit the road. And there, I am told to manage, the car is repaired for them more problems. Find a place to sleep for my four children and myself, the youngest of their concerns. 9 p.m. abroad: get by !!!
Thank you again for the human side of this insurance</v>
      </c>
    </row>
    <row r="420" ht="15.75" customHeight="1">
      <c r="A420" s="2">
        <v>1.0</v>
      </c>
      <c r="B420" s="2" t="s">
        <v>1296</v>
      </c>
      <c r="C420" s="2" t="s">
        <v>1297</v>
      </c>
      <c r="D420" s="2" t="s">
        <v>625</v>
      </c>
      <c r="E420" s="2" t="s">
        <v>34</v>
      </c>
      <c r="F420" s="2" t="s">
        <v>15</v>
      </c>
      <c r="G420" s="2" t="s">
        <v>747</v>
      </c>
      <c r="H420" s="2" t="s">
        <v>194</v>
      </c>
      <c r="I420" s="2" t="str">
        <f>IFERROR(__xludf.DUMMYFUNCTION("GOOGLETRANSLATE(C420,""fr"",""en"")"),"Unthinkable. Not reachable neither not phone nor by email, not more by fax. Dental quote sent for 2 months without response. By fax, response supposed to be within 48 hours still nothing after 15 days. Easy to take a substantial sum every month to assume "&amp;"nothing behind, not even information ... Cegema Villeneuve Loubet 06272 member 31402479 N ° AMC 98534803")</f>
        <v>Unthinkable. Not reachable neither not phone nor by email, not more by fax. Dental quote sent for 2 months without response. By fax, response supposed to be within 48 hours still nothing after 15 days. Easy to take a substantial sum every month to assume nothing behind, not even information ... Cegema Villeneuve Loubet 06272 member 31402479 N ° AMC 98534803</v>
      </c>
    </row>
    <row r="421" ht="15.75" customHeight="1">
      <c r="A421" s="2">
        <v>1.0</v>
      </c>
      <c r="B421" s="2" t="s">
        <v>1298</v>
      </c>
      <c r="C421" s="2" t="s">
        <v>1299</v>
      </c>
      <c r="D421" s="2" t="s">
        <v>209</v>
      </c>
      <c r="E421" s="2" t="s">
        <v>40</v>
      </c>
      <c r="F421" s="2" t="s">
        <v>15</v>
      </c>
      <c r="G421" s="2" t="s">
        <v>1149</v>
      </c>
      <c r="H421" s="2" t="s">
        <v>167</v>
      </c>
      <c r="I421" s="2" t="str">
        <f>IFERROR(__xludf.DUMMYFUNCTION("GOOGLETRANSLATE(C421,""fr"",""en"")"),"Victim of a tear of the pool liner (a big year old) by a third party insured at the maaf I am amazed by the turn of things, indeed I explain: I learn that to be able to bring back a reimbursement From my damage, which amounts to € 380 (new liner price) th"&amp;"e MAAF requested the advice of an expert and that a insurance expert had to move. I live 60 km from Bordeaux and I will therefore have to ask for this coverage of damage to trigger experts of expertise of a value certainly much higher than the damaged par"&amp;"t. But fortunately that well -trained experts will be able to justify that it is indeed a tear because the declaration on the honor made by the two parties could be called into question. What world do we live in? Gentlemen people of the maaf quickly make "&amp;"me a small calculation of the carbon assessment of this operation and the significant cost of this lack of confidence in your insured for which I am sorry, because they will have to pay this masquerade! If the MAAF has money to spend in this way it could "&amp;"more seriously lower its monthly payments you don't believe?")</f>
        <v>Victim of a tear of the pool liner (a big year old) by a third party insured at the maaf I am amazed by the turn of things, indeed I explain: I learn that to be able to bring back a reimbursement From my damage, which amounts to € 380 (new liner price) the MAAF requested the advice of an expert and that a insurance expert had to move. I live 60 km from Bordeaux and I will therefore have to ask for this coverage of damage to trigger experts of expertise of a value certainly much higher than the damaged part. But fortunately that well -trained experts will be able to justify that it is indeed a tear because the declaration on the honor made by the two parties could be called into question. What world do we live in? Gentlemen people of the maaf quickly make me a small calculation of the carbon assessment of this operation and the significant cost of this lack of confidence in your insured for which I am sorry, because they will have to pay this masquerade! If the MAAF has money to spend in this way it could more seriously lower its monthly payments you don't believe?</v>
      </c>
    </row>
    <row r="422" ht="15.75" customHeight="1">
      <c r="A422" s="2">
        <v>4.0</v>
      </c>
      <c r="B422" s="2" t="s">
        <v>1300</v>
      </c>
      <c r="C422" s="2" t="s">
        <v>1301</v>
      </c>
      <c r="D422" s="2" t="s">
        <v>24</v>
      </c>
      <c r="E422" s="2" t="s">
        <v>14</v>
      </c>
      <c r="F422" s="2" t="s">
        <v>15</v>
      </c>
      <c r="G422" s="2" t="s">
        <v>940</v>
      </c>
      <c r="H422" s="2" t="s">
        <v>42</v>
      </c>
      <c r="I422" s="2" t="str">
        <f>IFERROR(__xludf.DUMMYFUNCTION("GOOGLETRANSLATE(C422,""fr"",""en"")"),"I am very satisfied with the price, and the services, as well as the staff, I will start this insurer to my knowledge. Easy to fill and sign online papers.
")</f>
        <v>I am very satisfied with the price, and the services, as well as the staff, I will start this insurer to my knowledge. Easy to fill and sign online papers.
</v>
      </c>
    </row>
    <row r="423" ht="15.75" customHeight="1">
      <c r="A423" s="2">
        <v>3.0</v>
      </c>
      <c r="B423" s="2" t="s">
        <v>1302</v>
      </c>
      <c r="C423" s="2" t="s">
        <v>1303</v>
      </c>
      <c r="D423" s="2" t="s">
        <v>257</v>
      </c>
      <c r="E423" s="2" t="s">
        <v>34</v>
      </c>
      <c r="F423" s="2" t="s">
        <v>15</v>
      </c>
      <c r="G423" s="2" t="s">
        <v>1304</v>
      </c>
      <c r="H423" s="2" t="s">
        <v>62</v>
      </c>
      <c r="I423" s="2" t="str">
        <f>IFERROR(__xludf.DUMMYFUNCTION("GOOGLETRANSLATE(C423,""fr"",""en"")"),"My biology act was not reimbursed for me because it is too high for them despite other refunds of the same type. No.")</f>
        <v>My biology act was not reimbursed for me because it is too high for them despite other refunds of the same type. No.</v>
      </c>
    </row>
    <row r="424" ht="15.75" customHeight="1">
      <c r="A424" s="2">
        <v>3.0</v>
      </c>
      <c r="B424" s="2" t="s">
        <v>1305</v>
      </c>
      <c r="C424" s="2" t="s">
        <v>1306</v>
      </c>
      <c r="D424" s="2" t="s">
        <v>209</v>
      </c>
      <c r="E424" s="2" t="s">
        <v>40</v>
      </c>
      <c r="F424" s="2" t="s">
        <v>15</v>
      </c>
      <c r="G424" s="2" t="s">
        <v>1307</v>
      </c>
      <c r="H424" s="2" t="s">
        <v>163</v>
      </c>
      <c r="I424" s="2" t="str">
        <f>IFERROR(__xludf.DUMMYFUNCTION("GOOGLETRANSLATE(C424,""fr"",""en"")"),"The prices are great but as soon as you have claims, the maaf is solving your contract, I am in this case at the moment")</f>
        <v>The prices are great but as soon as you have claims, the maaf is solving your contract, I am in this case at the moment</v>
      </c>
    </row>
    <row r="425" ht="15.75" customHeight="1">
      <c r="A425" s="2">
        <v>5.0</v>
      </c>
      <c r="B425" s="2" t="s">
        <v>1308</v>
      </c>
      <c r="C425" s="2" t="s">
        <v>1309</v>
      </c>
      <c r="D425" s="2" t="s">
        <v>24</v>
      </c>
      <c r="E425" s="2" t="s">
        <v>14</v>
      </c>
      <c r="F425" s="2" t="s">
        <v>15</v>
      </c>
      <c r="G425" s="2" t="s">
        <v>1310</v>
      </c>
      <c r="H425" s="2" t="s">
        <v>128</v>
      </c>
      <c r="I425" s="2" t="str">
        <f>IFERROR(__xludf.DUMMYFUNCTION("GOOGLETRANSLATE(C425,""fr"",""en"")"),"satisfied with my insurer. Competetive price. Easy to use site. Speed ​​for documents. treatment of facilitated contracts. Quick response from advisers.")</f>
        <v>satisfied with my insurer. Competetive price. Easy to use site. Speed ​​for documents. treatment of facilitated contracts. Quick response from advisers.</v>
      </c>
    </row>
    <row r="426" ht="15.75" customHeight="1">
      <c r="A426" s="2">
        <v>3.0</v>
      </c>
      <c r="B426" s="2" t="s">
        <v>1311</v>
      </c>
      <c r="C426" s="2" t="s">
        <v>1312</v>
      </c>
      <c r="D426" s="2" t="s">
        <v>24</v>
      </c>
      <c r="E426" s="2" t="s">
        <v>14</v>
      </c>
      <c r="F426" s="2" t="s">
        <v>15</v>
      </c>
      <c r="G426" s="2" t="s">
        <v>1313</v>
      </c>
      <c r="H426" s="2" t="s">
        <v>331</v>
      </c>
      <c r="I426" s="2" t="str">
        <f>IFERROR(__xludf.DUMMYFUNCTION("GOOGLETRANSLATE(C426,""fr"",""en"")"),"Contact of customer service via Messenger, exceptional kindness and professional listening! Thank you very much to Maeva ??")</f>
        <v>Contact of customer service via Messenger, exceptional kindness and professional listening! Thank you very much to Maeva ??</v>
      </c>
    </row>
    <row r="427" ht="15.75" customHeight="1">
      <c r="A427" s="2">
        <v>3.0</v>
      </c>
      <c r="B427" s="2" t="s">
        <v>1314</v>
      </c>
      <c r="C427" s="2" t="s">
        <v>1315</v>
      </c>
      <c r="D427" s="2" t="s">
        <v>96</v>
      </c>
      <c r="E427" s="2" t="s">
        <v>97</v>
      </c>
      <c r="F427" s="2" t="s">
        <v>15</v>
      </c>
      <c r="G427" s="2" t="s">
        <v>1316</v>
      </c>
      <c r="H427" s="2" t="s">
        <v>163</v>
      </c>
      <c r="I427" s="2" t="str">
        <f>IFERROR(__xludf.DUMMYFUNCTION("GOOGLETRANSLATE(C427,""fr"",""en"")"),"Hello. I have just received the cardif insurance decision to end my ""file"", following a new study in view of the conclusions of the expert report, their advisory doctor. He noted that I am no longer in work stoppage within the meaning of the insurance t"&amp;"o which I joined.
In accordance with the clauses defining the framework of their guarantee, my contractual incapacity rate is less than 66%?
My response to this, a registered letter contesting their decision.
I find it difficult to understand that the "&amp;"social security doctor finds that my capacities are reduced to at least 2/3, my work capacity or more gain justifying my classification in category 2.
If I am unable to 2/3, if I count, it gives about 66,66666666666666666666666666666666666666666666666666"&amp;"66666666666666666666666666666666666666666
It is understood that my disability pension represents 50% of my old salary, for the social security fund, it is not really my disability rate.
Given that I can no longer exercise my profession, for several poin"&amp;"ts, the position seated, standing, the work that it would have been possible for me to do, according to the doctor of occupational medicine and tele-work one hour by week, since I have trouble concentrating.
I think he has many people in my case.
You ca"&amp;"n be reassured, I will make noise, here and elsewhere.
Sincerely to everyone and good luck in your efforts.")</f>
        <v>Hello. I have just received the cardif insurance decision to end my "file", following a new study in view of the conclusions of the expert report, their advisory doctor. He noted that I am no longer in work stoppage within the meaning of the insurance to which I joined.
In accordance with the clauses defining the framework of their guarantee, my contractual incapacity rate is less than 66%?
My response to this, a registered letter contesting their decision.
I find it difficult to understand that the social security doctor finds that my capacities are reduced to at least 2/3, my work capacity or more gain justifying my classification in category 2.
If I am unable to 2/3, if I count, it gives about 66,6666666666666666666666666666666666666666666666666666666666666666666666666666666666666666666
It is understood that my disability pension represents 50% of my old salary, for the social security fund, it is not really my disability rate.
Given that I can no longer exercise my profession, for several points, the position seated, standing, the work that it would have been possible for me to do, according to the doctor of occupational medicine and tele-work one hour by week, since I have trouble concentrating.
I think he has many people in my case.
You can be reassured, I will make noise, here and elsewhere.
Sincerely to everyone and good luck in your efforts.</v>
      </c>
    </row>
    <row r="428" ht="15.75" customHeight="1">
      <c r="A428" s="2">
        <v>2.0</v>
      </c>
      <c r="B428" s="2" t="s">
        <v>1317</v>
      </c>
      <c r="C428" s="2" t="s">
        <v>1318</v>
      </c>
      <c r="D428" s="2" t="s">
        <v>60</v>
      </c>
      <c r="E428" s="2" t="s">
        <v>14</v>
      </c>
      <c r="F428" s="2" t="s">
        <v>15</v>
      </c>
      <c r="G428" s="2" t="s">
        <v>166</v>
      </c>
      <c r="H428" s="2" t="s">
        <v>167</v>
      </c>
      <c r="I428" s="2" t="str">
        <f>IFERROR(__xludf.DUMMYFUNCTION("GOOGLETRANSLATE(C428,""fr"",""en"")"),"Complete cleansing for months when creating the A.S.S. State created by E. Macron
Check letters of a few euros sent without explanations other than a simple file number, while I had the CMU
Without response to several letters from me requiring explanati"&amp;"ons, even an interview at the Parisian headquarters 75015 Paris BD de Vaugirard
Bad grades in general, from other insured
To conclude, completely banking spirit and not an insurer. No wonder, Pacifica is the subsidiary of Crédit Agricole
")</f>
        <v>Complete cleansing for months when creating the A.S.S. State created by E. Macron
Check letters of a few euros sent without explanations other than a simple file number, while I had the CMU
Without response to several letters from me requiring explanations, even an interview at the Parisian headquarters 75015 Paris BD de Vaugirard
Bad grades in general, from other insured
To conclude, completely banking spirit and not an insurer. No wonder, Pacifica is the subsidiary of Crédit Agricole
</v>
      </c>
    </row>
    <row r="429" ht="15.75" customHeight="1">
      <c r="A429" s="2">
        <v>4.0</v>
      </c>
      <c r="B429" s="2" t="s">
        <v>1319</v>
      </c>
      <c r="C429" s="2" t="s">
        <v>1320</v>
      </c>
      <c r="D429" s="2" t="s">
        <v>24</v>
      </c>
      <c r="E429" s="2" t="s">
        <v>14</v>
      </c>
      <c r="F429" s="2" t="s">
        <v>15</v>
      </c>
      <c r="G429" s="2" t="s">
        <v>21</v>
      </c>
      <c r="H429" s="2" t="s">
        <v>21</v>
      </c>
      <c r="I429" s="2" t="str">
        <f>IFERROR(__xludf.DUMMYFUNCTION("GOOGLETRANSLATE(C429,""fr"",""en"")"),"I am satisfied but a little expensive. The price of the franchise is a little too much for a first contract. Review this in the future for new customers.")</f>
        <v>I am satisfied but a little expensive. The price of the franchise is a little too much for a first contract. Review this in the future for new customers.</v>
      </c>
    </row>
    <row r="430" ht="15.75" customHeight="1">
      <c r="A430" s="2">
        <v>3.0</v>
      </c>
      <c r="B430" s="2" t="s">
        <v>1321</v>
      </c>
      <c r="C430" s="2" t="s">
        <v>1322</v>
      </c>
      <c r="D430" s="2" t="s">
        <v>267</v>
      </c>
      <c r="E430" s="2" t="s">
        <v>268</v>
      </c>
      <c r="F430" s="2" t="s">
        <v>15</v>
      </c>
      <c r="G430" s="2" t="s">
        <v>1323</v>
      </c>
      <c r="H430" s="2" t="s">
        <v>225</v>
      </c>
      <c r="I430" s="2" t="str">
        <f>IFERROR(__xludf.DUMMYFUNCTION("GOOGLETRANSLATE(C430,""fr"",""en"")"),"Telephone canvassing. We promise you superb blanket. Everything is very very very quickly. You have to sign. Then, when you need to treat your animal bah! How funny! Small paragraph in the contract that we are talking about absolutely not. All exclusions!"&amp;" I pay more than 28th a month for nothing in the end. I have to wait another 8 months to terminate. I would have paid for three years for nothing! It's a shame. Do not subscribe to the precipitation by canvassing!")</f>
        <v>Telephone canvassing. We promise you superb blanket. Everything is very very very quickly. You have to sign. Then, when you need to treat your animal bah! How funny! Small paragraph in the contract that we are talking about absolutely not. All exclusions! I pay more than 28th a month for nothing in the end. I have to wait another 8 months to terminate. I would have paid for three years for nothing! It's a shame. Do not subscribe to the precipitation by canvassing!</v>
      </c>
    </row>
    <row r="431" ht="15.75" customHeight="1">
      <c r="A431" s="2">
        <v>4.0</v>
      </c>
      <c r="B431" s="2" t="s">
        <v>1324</v>
      </c>
      <c r="C431" s="2" t="s">
        <v>1325</v>
      </c>
      <c r="D431" s="2" t="s">
        <v>13</v>
      </c>
      <c r="E431" s="2" t="s">
        <v>14</v>
      </c>
      <c r="F431" s="2" t="s">
        <v>15</v>
      </c>
      <c r="G431" s="2" t="s">
        <v>453</v>
      </c>
      <c r="H431" s="2" t="s">
        <v>17</v>
      </c>
      <c r="I431" s="2" t="str">
        <f>IFERROR(__xludf.DUMMYFUNCTION("GOOGLETRANSLATE(C431,""fr"",""en"")"),"I am happy with the service and the prices compared to my last insurer. I did not know which insurer to take, to have in time and in the event of a problem.")</f>
        <v>I am happy with the service and the prices compared to my last insurer. I did not know which insurer to take, to have in time and in the event of a problem.</v>
      </c>
    </row>
    <row r="432" ht="15.75" customHeight="1">
      <c r="A432" s="2">
        <v>1.0</v>
      </c>
      <c r="B432" s="2" t="s">
        <v>1326</v>
      </c>
      <c r="C432" s="2" t="s">
        <v>1327</v>
      </c>
      <c r="D432" s="2" t="s">
        <v>24</v>
      </c>
      <c r="E432" s="2" t="s">
        <v>14</v>
      </c>
      <c r="F432" s="2" t="s">
        <v>15</v>
      </c>
      <c r="G432" s="2" t="s">
        <v>735</v>
      </c>
      <c r="H432" s="2" t="s">
        <v>84</v>
      </c>
      <c r="I432" s="2" t="str">
        <f>IFERROR(__xludf.DUMMYFUNCTION("GOOGLETRANSLATE(C432,""fr"",""en"")"),"Equivalent satisfaction at the price level. Financially very interesting but I strongly advise you not to break down !! I strongly advise against !!!")</f>
        <v>Equivalent satisfaction at the price level. Financially very interesting but I strongly advise you not to break down !! I strongly advise against !!!</v>
      </c>
    </row>
    <row r="433" ht="15.75" customHeight="1">
      <c r="A433" s="2">
        <v>5.0</v>
      </c>
      <c r="B433" s="2" t="s">
        <v>1328</v>
      </c>
      <c r="C433" s="2" t="s">
        <v>1329</v>
      </c>
      <c r="D433" s="2" t="s">
        <v>24</v>
      </c>
      <c r="E433" s="2" t="s">
        <v>14</v>
      </c>
      <c r="F433" s="2" t="s">
        <v>15</v>
      </c>
      <c r="G433" s="2" t="s">
        <v>1033</v>
      </c>
      <c r="H433" s="2" t="s">
        <v>21</v>
      </c>
      <c r="I433" s="2" t="str">
        <f>IFERROR(__xludf.DUMMYFUNCTION("GOOGLETRANSLATE(C433,""fr"",""en"")"),"Very good advice, listening, information, interesting price compared to the competition.
Sympathetic advisor and availability. A view on the long term")</f>
        <v>Very good advice, listening, information, interesting price compared to the competition.
Sympathetic advisor and availability. A view on the long term</v>
      </c>
    </row>
    <row r="434" ht="15.75" customHeight="1">
      <c r="A434" s="2">
        <v>5.0</v>
      </c>
      <c r="B434" s="2" t="s">
        <v>1330</v>
      </c>
      <c r="C434" s="2" t="s">
        <v>1331</v>
      </c>
      <c r="D434" s="2" t="s">
        <v>28</v>
      </c>
      <c r="E434" s="2" t="s">
        <v>14</v>
      </c>
      <c r="F434" s="2" t="s">
        <v>15</v>
      </c>
      <c r="G434" s="2" t="s">
        <v>1332</v>
      </c>
      <c r="H434" s="2" t="s">
        <v>225</v>
      </c>
      <c r="I434" s="2" t="str">
        <f>IFERROR(__xludf.DUMMYFUNCTION("GOOGLETRANSLATE(C434,""fr"",""en"")"),"Very satisfied with the welcome I had at the agency of Sisteron 04, correct price, very good explanations, after 20 years at Eurofil, I feel good and for cheaper.")</f>
        <v>Very satisfied with the welcome I had at the agency of Sisteron 04, correct price, very good explanations, after 20 years at Eurofil, I feel good and for cheaper.</v>
      </c>
    </row>
    <row r="435" ht="15.75" customHeight="1">
      <c r="A435" s="2">
        <v>1.0</v>
      </c>
      <c r="B435" s="2" t="s">
        <v>1333</v>
      </c>
      <c r="C435" s="2" t="s">
        <v>1334</v>
      </c>
      <c r="D435" s="2" t="s">
        <v>493</v>
      </c>
      <c r="E435" s="2" t="s">
        <v>14</v>
      </c>
      <c r="F435" s="2" t="s">
        <v>15</v>
      </c>
      <c r="G435" s="2" t="s">
        <v>1335</v>
      </c>
      <c r="H435" s="2" t="s">
        <v>108</v>
      </c>
      <c r="I435" s="2" t="str">
        <f>IFERROR(__xludf.DUMMYFUNCTION("GOOGLETRANSLATE(C435,""fr"",""en"")"),"I am shocked by the incompetence of the teams.
It's simple, everything is going very well when we need anything but as soon as we call on them, nothing is going well.
For them it is logical to increase the prices from one year to another without possibl"&amp;"e negotiations and without even warning. I tried several times to reach them and on my personal account but no price for the year 2019 is displayed and that I did not receive a mail. And in view of the price I ask them this time to pay the insurance but t"&amp;"here impossible according to the interlocutor. We are 15 days from the levy but the only solution that I am offered is to oppose.
I intend to terminate my 2 contracts")</f>
        <v>I am shocked by the incompetence of the teams.
It's simple, everything is going very well when we need anything but as soon as we call on them, nothing is going well.
For them it is logical to increase the prices from one year to another without possible negotiations and without even warning. I tried several times to reach them and on my personal account but no price for the year 2019 is displayed and that I did not receive a mail. And in view of the price I ask them this time to pay the insurance but there impossible according to the interlocutor. We are 15 days from the levy but the only solution that I am offered is to oppose.
I intend to terminate my 2 contracts</v>
      </c>
    </row>
    <row r="436" ht="15.75" customHeight="1">
      <c r="A436" s="2">
        <v>5.0</v>
      </c>
      <c r="B436" s="2" t="s">
        <v>1336</v>
      </c>
      <c r="C436" s="2" t="s">
        <v>1337</v>
      </c>
      <c r="D436" s="2" t="s">
        <v>13</v>
      </c>
      <c r="E436" s="2" t="s">
        <v>14</v>
      </c>
      <c r="F436" s="2" t="s">
        <v>15</v>
      </c>
      <c r="G436" s="2" t="s">
        <v>68</v>
      </c>
      <c r="H436" s="2" t="s">
        <v>68</v>
      </c>
      <c r="I436" s="2" t="str">
        <f>IFERROR(__xludf.DUMMYFUNCTION("GOOGLETRANSLATE(C436,""fr"",""en"")"),"Very well
Simple and fast
And much cheaper than my old car insurance
I really recommend
I am very satisfied
Registration in 5 min")</f>
        <v>Very well
Simple and fast
And much cheaper than my old car insurance
I really recommend
I am very satisfied
Registration in 5 min</v>
      </c>
    </row>
    <row r="437" ht="15.75" customHeight="1">
      <c r="A437" s="2">
        <v>1.0</v>
      </c>
      <c r="B437" s="2" t="s">
        <v>1338</v>
      </c>
      <c r="C437" s="2" t="s">
        <v>1339</v>
      </c>
      <c r="D437" s="2" t="s">
        <v>79</v>
      </c>
      <c r="E437" s="2" t="s">
        <v>14</v>
      </c>
      <c r="F437" s="2" t="s">
        <v>15</v>
      </c>
      <c r="G437" s="2" t="s">
        <v>1340</v>
      </c>
      <c r="H437" s="2" t="s">
        <v>367</v>
      </c>
      <c r="I437" s="2" t="str">
        <f>IFERROR(__xludf.DUMMYFUNCTION("GOOGLETRANSLATE(C437,""fr"",""en"")"),"At the time of subscription, I had to fill out and send them a declaration on honor 3 times to say that between the sale of my old vehicle and the purchase of the new I was not insured. (2 weeks of interval). To remind me 3 weeks later to tell me that I l"&amp;"ied, I was not insured more than 3 consecutive years because I waited for 2 weeks to buy my car, suddenly the price went from 80 €/month at 120 €/month. I terminated! But they have kept but first advanced months! To fuiiiiiiiire!")</f>
        <v>At the time of subscription, I had to fill out and send them a declaration on honor 3 times to say that between the sale of my old vehicle and the purchase of the new I was not insured. (2 weeks of interval). To remind me 3 weeks later to tell me that I lied, I was not insured more than 3 consecutive years because I waited for 2 weeks to buy my car, suddenly the price went from 80 €/month at 120 €/month. I terminated! But they have kept but first advanced months! To fuiiiiiiiire!</v>
      </c>
    </row>
    <row r="438" ht="15.75" customHeight="1">
      <c r="A438" s="2">
        <v>4.0</v>
      </c>
      <c r="B438" s="2" t="s">
        <v>1341</v>
      </c>
      <c r="C438" s="2" t="s">
        <v>1342</v>
      </c>
      <c r="D438" s="2" t="s">
        <v>65</v>
      </c>
      <c r="E438" s="2" t="s">
        <v>66</v>
      </c>
      <c r="F438" s="2" t="s">
        <v>15</v>
      </c>
      <c r="G438" s="2" t="s">
        <v>51</v>
      </c>
      <c r="H438" s="2" t="s">
        <v>52</v>
      </c>
      <c r="I438" s="2" t="str">
        <f>IFERROR(__xludf.DUMMYFUNCTION("GOOGLETRANSLATE(C438,""fr"",""en"")"),"I am satisfied with the MGP.
Availability of advisers and procedures by internet.
Maybe a smartphone application would be welcome.
The new prices are interesting.
")</f>
        <v>I am satisfied with the MGP.
Availability of advisers and procedures by internet.
Maybe a smartphone application would be welcome.
The new prices are interesting.
</v>
      </c>
    </row>
    <row r="439" ht="15.75" customHeight="1">
      <c r="A439" s="2">
        <v>3.0</v>
      </c>
      <c r="B439" s="2" t="s">
        <v>1343</v>
      </c>
      <c r="C439" s="2" t="s">
        <v>1344</v>
      </c>
      <c r="D439" s="2" t="s">
        <v>24</v>
      </c>
      <c r="E439" s="2" t="s">
        <v>14</v>
      </c>
      <c r="F439" s="2" t="s">
        <v>15</v>
      </c>
      <c r="G439" s="2" t="s">
        <v>1082</v>
      </c>
      <c r="H439" s="2" t="s">
        <v>21</v>
      </c>
      <c r="I439" s="2" t="str">
        <f>IFERROR(__xludf.DUMMYFUNCTION("GOOGLETRANSLATE(C439,""fr"",""en"")"),"I am satisfied with the telephone reception and the price
Fast and effective
I hope I have no payment problem as well as a problem with insurance.")</f>
        <v>I am satisfied with the telephone reception and the price
Fast and effective
I hope I have no payment problem as well as a problem with insurance.</v>
      </c>
    </row>
    <row r="440" ht="15.75" customHeight="1">
      <c r="A440" s="2">
        <v>2.0</v>
      </c>
      <c r="B440" s="2" t="s">
        <v>1345</v>
      </c>
      <c r="C440" s="2" t="s">
        <v>1346</v>
      </c>
      <c r="D440" s="2" t="s">
        <v>117</v>
      </c>
      <c r="E440" s="2" t="s">
        <v>14</v>
      </c>
      <c r="F440" s="2" t="s">
        <v>15</v>
      </c>
      <c r="G440" s="2" t="s">
        <v>1347</v>
      </c>
      <c r="H440" s="2" t="s">
        <v>788</v>
      </c>
      <c r="I440" s="2" t="str">
        <f>IFERROR(__xludf.DUMMYFUNCTION("GOOGLETRANSLATE(C440,""fr"",""en"")"),"For a while I have persisted in sending my missing papers by email (gray card and information statement), always the same recovery emails. My provisional insurance stops on the 25th and always the same, the only time I had an advisor he told me not to wor"&amp;"ry but I cannot drive without insurance. Logic.")</f>
        <v>For a while I have persisted in sending my missing papers by email (gray card and information statement), always the same recovery emails. My provisional insurance stops on the 25th and always the same, the only time I had an advisor he told me not to worry but I cannot drive without insurance. Logic.</v>
      </c>
    </row>
    <row r="441" ht="15.75" customHeight="1">
      <c r="A441" s="2">
        <v>3.0</v>
      </c>
      <c r="B441" s="2" t="s">
        <v>1348</v>
      </c>
      <c r="C441" s="2" t="s">
        <v>1349</v>
      </c>
      <c r="D441" s="2" t="s">
        <v>13</v>
      </c>
      <c r="E441" s="2" t="s">
        <v>14</v>
      </c>
      <c r="F441" s="2" t="s">
        <v>15</v>
      </c>
      <c r="G441" s="2" t="s">
        <v>1027</v>
      </c>
      <c r="H441" s="2" t="s">
        <v>84</v>
      </c>
      <c r="I441" s="2" t="str">
        <f>IFERROR(__xludf.DUMMYFUNCTION("GOOGLETRANSLATE(C441,""fr"",""en"")"),"I am satisfied with the service during the sinister break of ice intervened a few weeks ago.
all went well.
I recommend your rapid and efficient intervention.
thank you")</f>
        <v>I am satisfied with the service during the sinister break of ice intervened a few weeks ago.
all went well.
I recommend your rapid and efficient intervention.
thank you</v>
      </c>
    </row>
    <row r="442" ht="15.75" customHeight="1">
      <c r="A442" s="2">
        <v>1.0</v>
      </c>
      <c r="B442" s="2" t="s">
        <v>1350</v>
      </c>
      <c r="C442" s="2" t="s">
        <v>1351</v>
      </c>
      <c r="D442" s="2" t="s">
        <v>13</v>
      </c>
      <c r="E442" s="2" t="s">
        <v>14</v>
      </c>
      <c r="F442" s="2" t="s">
        <v>15</v>
      </c>
      <c r="G442" s="2" t="s">
        <v>906</v>
      </c>
      <c r="H442" s="2" t="s">
        <v>128</v>
      </c>
      <c r="I442" s="2" t="str">
        <f>IFERROR(__xludf.DUMMYFUNCTION("GOOGLETRANSLATE(C442,""fr"",""en"")"),"Unreachable for a very complicated reburse to follow my disaster a shame of CZ type of exchange very sorry for this care
I'm waiting for their return")</f>
        <v>Unreachable for a very complicated reburse to follow my disaster a shame of CZ type of exchange very sorry for this care
I'm waiting for their return</v>
      </c>
    </row>
    <row r="443" ht="15.75" customHeight="1">
      <c r="A443" s="2">
        <v>3.0</v>
      </c>
      <c r="B443" s="2" t="s">
        <v>1352</v>
      </c>
      <c r="C443" s="2" t="s">
        <v>1353</v>
      </c>
      <c r="D443" s="2" t="s">
        <v>231</v>
      </c>
      <c r="E443" s="2" t="s">
        <v>34</v>
      </c>
      <c r="F443" s="2" t="s">
        <v>15</v>
      </c>
      <c r="G443" s="2" t="s">
        <v>274</v>
      </c>
      <c r="H443" s="2" t="s">
        <v>128</v>
      </c>
      <c r="I443" s="2" t="str">
        <f>IFERROR(__xludf.DUMMYFUNCTION("GOOGLETRANSLATE(C443,""fr"",""en"")"),"Today I had a telephone conversation with Soukaina. This lady is very kind and has set up my request effectively. I am very satisfied.")</f>
        <v>Today I had a telephone conversation with Soukaina. This lady is very kind and has set up my request effectively. I am very satisfied.</v>
      </c>
    </row>
    <row r="444" ht="15.75" customHeight="1">
      <c r="A444" s="2">
        <v>4.0</v>
      </c>
      <c r="B444" s="2" t="s">
        <v>1354</v>
      </c>
      <c r="C444" s="2" t="s">
        <v>1355</v>
      </c>
      <c r="D444" s="2" t="s">
        <v>13</v>
      </c>
      <c r="E444" s="2" t="s">
        <v>14</v>
      </c>
      <c r="F444" s="2" t="s">
        <v>15</v>
      </c>
      <c r="G444" s="2" t="s">
        <v>1356</v>
      </c>
      <c r="H444" s="2" t="s">
        <v>17</v>
      </c>
      <c r="I444" s="2" t="str">
        <f>IFERROR(__xludf.DUMMYFUNCTION("GOOGLETRANSLATE(C444,""fr"",""en"")"),"Listening and kind team. Reactivity and speed of treatment. No complaints on your services we are very satisfied with it. On the commercial side, I find it unfortunate not to have benefited from the free 2-month offer (announced on your reception message "&amp;"until 08/31 without starting date) because it begins on July 1 and that I subscribed to a contract on June 30 ..?!?")</f>
        <v>Listening and kind team. Reactivity and speed of treatment. No complaints on your services we are very satisfied with it. On the commercial side, I find it unfortunate not to have benefited from the free 2-month offer (announced on your reception message until 08/31 without starting date) because it begins on July 1 and that I subscribed to a contract on June 30 ..?!?</v>
      </c>
    </row>
    <row r="445" ht="15.75" customHeight="1">
      <c r="A445" s="2">
        <v>2.0</v>
      </c>
      <c r="B445" s="2" t="s">
        <v>1357</v>
      </c>
      <c r="C445" s="2" t="s">
        <v>1358</v>
      </c>
      <c r="D445" s="2" t="s">
        <v>13</v>
      </c>
      <c r="E445" s="2" t="s">
        <v>14</v>
      </c>
      <c r="F445" s="2" t="s">
        <v>15</v>
      </c>
      <c r="G445" s="2" t="s">
        <v>1359</v>
      </c>
      <c r="H445" s="2" t="s">
        <v>99</v>
      </c>
      <c r="I445" s="2" t="str">
        <f>IFERROR(__xludf.DUMMYFUNCTION("GOOGLETRANSLATE(C445,""fr"",""en"")"),"I learn by simple mail this Saturday 15/4 Pascal weekend (absent the week for pro travel) the termination of one of my 2 auto contracts for default. I rolled 5 J without insurance without knowing it ... No registered mail, SMS or reminder email as the tel"&amp;"evision-advisers say, which also do not allow you to regularize as I ask! In addition, I still have to settle the annual subscription when I am no longer guaranteed ... There is a real hiccup there and for a very important prejudice. The only SMS received"&amp;" from 9 days back, this is an advertisement! I was sure I have settled, in good faith. A simple phone call and I will have regularized. I solve my deadlines in one go, no solvency problem ... My car is immobilized, I cannot use it in particular to go to w"&amp;"ork on Tuesday ... I hope an amicable settlement of the very fast dispute.")</f>
        <v>I learn by simple mail this Saturday 15/4 Pascal weekend (absent the week for pro travel) the termination of one of my 2 auto contracts for default. I rolled 5 J without insurance without knowing it ... No registered mail, SMS or reminder email as the television-advisers say, which also do not allow you to regularize as I ask! In addition, I still have to settle the annual subscription when I am no longer guaranteed ... There is a real hiccup there and for a very important prejudice. The only SMS received from 9 days back, this is an advertisement! I was sure I have settled, in good faith. A simple phone call and I will have regularized. I solve my deadlines in one go, no solvency problem ... My car is immobilized, I cannot use it in particular to go to work on Tuesday ... I hope an amicable settlement of the very fast dispute.</v>
      </c>
    </row>
    <row r="446" ht="15.75" customHeight="1">
      <c r="A446" s="2">
        <v>2.0</v>
      </c>
      <c r="B446" s="2" t="s">
        <v>1360</v>
      </c>
      <c r="C446" s="2" t="s">
        <v>1361</v>
      </c>
      <c r="D446" s="2" t="s">
        <v>639</v>
      </c>
      <c r="E446" s="2" t="s">
        <v>46</v>
      </c>
      <c r="F446" s="2" t="s">
        <v>15</v>
      </c>
      <c r="G446" s="2" t="s">
        <v>1362</v>
      </c>
      <c r="H446" s="2" t="s">
        <v>403</v>
      </c>
      <c r="I446" s="2" t="str">
        <f>IFERROR(__xludf.DUMMYFUNCTION("GOOGLETRANSLATE(C446,""fr"",""en"")"),"Revolted: member for 24 years, I made a partial acquisition online on 10/18/2019, to date still nothing on my account. In addition, no way of knowing when your money is fired in your account, both by your own advisor who is at the same communication probl"&amp;"em with them.
For my part, I got involved with several suppliers that I cannot settle due to the incompetence of AFER. I plan to send them the invoices including that of my mom's nursing home that must be paid every month.")</f>
        <v>Revolted: member for 24 years, I made a partial acquisition online on 10/18/2019, to date still nothing on my account. In addition, no way of knowing when your money is fired in your account, both by your own advisor who is at the same communication problem with them.
For my part, I got involved with several suppliers that I cannot settle due to the incompetence of AFER. I plan to send them the invoices including that of my mom's nursing home that must be paid every month.</v>
      </c>
    </row>
    <row r="447" ht="15.75" customHeight="1">
      <c r="A447" s="2">
        <v>2.0</v>
      </c>
      <c r="B447" s="2" t="s">
        <v>1363</v>
      </c>
      <c r="C447" s="2" t="s">
        <v>1364</v>
      </c>
      <c r="D447" s="2" t="s">
        <v>134</v>
      </c>
      <c r="E447" s="2" t="s">
        <v>56</v>
      </c>
      <c r="F447" s="2" t="s">
        <v>15</v>
      </c>
      <c r="G447" s="2" t="s">
        <v>1365</v>
      </c>
      <c r="H447" s="2" t="s">
        <v>1007</v>
      </c>
      <c r="I447" s="2" t="str">
        <f>IFERROR(__xludf.DUMMYFUNCTION("GOOGLETRANSLATE(C447,""fr"",""en"")"),"I had a motorcycle accident with gendarmerie observation, as often when you are blea.
April Moto does not pay the motorcycle before 4 to 5 months after the accident, they give the excuse that they do not have the observation when the gendaremerie send it"&amp;" 15 days after the accident. And was true that a hit of such a stroke of the gendarme.
In addition it lets the insurance of the motorcycle run when they declared it wreck and gives the pretext that it awaits the sale paper of the wreckage.
I was previou"&amp;"sly with another insurer, I went to their home because they feel specialist in two wheels, your bikers, save yourself quickly if you are assured at home")</f>
        <v>I had a motorcycle accident with gendarmerie observation, as often when you are blea.
April Moto does not pay the motorcycle before 4 to 5 months after the accident, they give the excuse that they do not have the observation when the gendaremerie send it 15 days after the accident. And was true that a hit of such a stroke of the gendarme.
In addition it lets the insurance of the motorcycle run when they declared it wreck and gives the pretext that it awaits the sale paper of the wreckage.
I was previously with another insurer, I went to their home because they feel specialist in two wheels, your bikers, save yourself quickly if you are assured at home</v>
      </c>
    </row>
    <row r="448" ht="15.75" customHeight="1">
      <c r="A448" s="2">
        <v>3.0</v>
      </c>
      <c r="B448" s="2" t="s">
        <v>1366</v>
      </c>
      <c r="C448" s="2" t="s">
        <v>1367</v>
      </c>
      <c r="D448" s="2" t="s">
        <v>13</v>
      </c>
      <c r="E448" s="2" t="s">
        <v>14</v>
      </c>
      <c r="F448" s="2" t="s">
        <v>15</v>
      </c>
      <c r="G448" s="2" t="s">
        <v>1368</v>
      </c>
      <c r="H448" s="2" t="s">
        <v>1062</v>
      </c>
      <c r="I448" s="2" t="str">
        <f>IFERROR(__xludf.DUMMYFUNCTION("GOOGLETRANSLATE(C448,""fr"",""en"")"),"The worst insurance that is.
I really regret that I took this direct thing,
I really recommend this insurance. If you want to take the risk of ever being compensated, well if what is better")</f>
        <v>The worst insurance that is.
I really regret that I took this direct thing,
I really recommend this insurance. If you want to take the risk of ever being compensated, well if what is better</v>
      </c>
    </row>
    <row r="449" ht="15.75" customHeight="1">
      <c r="A449" s="2">
        <v>2.0</v>
      </c>
      <c r="B449" s="2" t="s">
        <v>1369</v>
      </c>
      <c r="C449" s="2" t="s">
        <v>1370</v>
      </c>
      <c r="D449" s="2" t="s">
        <v>13</v>
      </c>
      <c r="E449" s="2" t="s">
        <v>14</v>
      </c>
      <c r="F449" s="2" t="s">
        <v>15</v>
      </c>
      <c r="G449" s="2" t="s">
        <v>1371</v>
      </c>
      <c r="H449" s="2" t="s">
        <v>144</v>
      </c>
      <c r="I449" s="2" t="str">
        <f>IFERROR(__xludf.DUMMYFUNCTION("GOOGLETRANSLATE(C449,""fr"",""en"")"),"I waited for more than two hours for a tow truck. The worst part is that each time they asked me to wait another 24 min. At no time was I asked if I wanted to do another tow truck.")</f>
        <v>I waited for more than two hours for a tow truck. The worst part is that each time they asked me to wait another 24 min. At no time was I asked if I wanted to do another tow truck.</v>
      </c>
    </row>
    <row r="450" ht="15.75" customHeight="1">
      <c r="A450" s="2">
        <v>3.0</v>
      </c>
      <c r="B450" s="2" t="s">
        <v>1372</v>
      </c>
      <c r="C450" s="2" t="s">
        <v>1373</v>
      </c>
      <c r="D450" s="2" t="s">
        <v>134</v>
      </c>
      <c r="E450" s="2" t="s">
        <v>56</v>
      </c>
      <c r="F450" s="2" t="s">
        <v>15</v>
      </c>
      <c r="G450" s="2" t="s">
        <v>738</v>
      </c>
      <c r="H450" s="2" t="s">
        <v>128</v>
      </c>
      <c r="I450" s="2" t="str">
        <f>IFERROR(__xludf.DUMMYFUNCTION("GOOGLETRANSLATE(C450,""fr"",""en"")"),"The prices are very correct and demand on the internet and very easy, advisor very available
We will see in time if the service and always so easy")</f>
        <v>The prices are very correct and demand on the internet and very easy, advisor very available
We will see in time if the service and always so easy</v>
      </c>
    </row>
    <row r="451" ht="15.75" customHeight="1">
      <c r="A451" s="2">
        <v>5.0</v>
      </c>
      <c r="B451" s="2" t="s">
        <v>1374</v>
      </c>
      <c r="C451" s="2" t="s">
        <v>1375</v>
      </c>
      <c r="D451" s="2" t="s">
        <v>13</v>
      </c>
      <c r="E451" s="2" t="s">
        <v>14</v>
      </c>
      <c r="F451" s="2" t="s">
        <v>15</v>
      </c>
      <c r="G451" s="2" t="s">
        <v>1376</v>
      </c>
      <c r="H451" s="2" t="s">
        <v>21</v>
      </c>
      <c r="I451" s="2" t="str">
        <f>IFERROR(__xludf.DUMMYFUNCTION("GOOGLETRANSLATE(C451,""fr"",""en"")"),"I am satisfied with the insurance rate and it is superb insurance at attractive prices and especially that I have known well for several years.")</f>
        <v>I am satisfied with the insurance rate and it is superb insurance at attractive prices and especially that I have known well for several years.</v>
      </c>
    </row>
    <row r="452" ht="15.75" customHeight="1">
      <c r="A452" s="2">
        <v>4.0</v>
      </c>
      <c r="B452" s="2" t="s">
        <v>1377</v>
      </c>
      <c r="C452" s="2" t="s">
        <v>1378</v>
      </c>
      <c r="D452" s="2" t="s">
        <v>13</v>
      </c>
      <c r="E452" s="2" t="s">
        <v>14</v>
      </c>
      <c r="F452" s="2" t="s">
        <v>15</v>
      </c>
      <c r="G452" s="2" t="s">
        <v>835</v>
      </c>
      <c r="H452" s="2" t="s">
        <v>52</v>
      </c>
      <c r="I452" s="2" t="str">
        <f>IFERROR(__xludf.DUMMYFUNCTION("GOOGLETRANSLATE(C452,""fr"",""en"")"),"I am certainly satisfied with the service and the price seems to me completely affordable .... in general, the service seems simple and very practical .....")</f>
        <v>I am certainly satisfied with the service and the price seems to me completely affordable .... in general, the service seems simple and very practical .....</v>
      </c>
    </row>
    <row r="453" ht="15.75" customHeight="1">
      <c r="A453" s="2">
        <v>4.0</v>
      </c>
      <c r="B453" s="2" t="s">
        <v>1379</v>
      </c>
      <c r="C453" s="2" t="s">
        <v>1380</v>
      </c>
      <c r="D453" s="2" t="s">
        <v>24</v>
      </c>
      <c r="E453" s="2" t="s">
        <v>14</v>
      </c>
      <c r="F453" s="2" t="s">
        <v>15</v>
      </c>
      <c r="G453" s="2" t="s">
        <v>1381</v>
      </c>
      <c r="H453" s="2" t="s">
        <v>42</v>
      </c>
      <c r="I453" s="2" t="str">
        <f>IFERROR(__xludf.DUMMYFUNCTION("GOOGLETRANSLATE(C453,""fr"",""en"")"),"I am satisfied with the service because it is fast, simple and effective. Prices are very satisfactory for the offers offered of as well as the options offered.")</f>
        <v>I am satisfied with the service because it is fast, simple and effective. Prices are very satisfactory for the offers offered of as well as the options offered.</v>
      </c>
    </row>
    <row r="454" ht="15.75" customHeight="1">
      <c r="A454" s="2">
        <v>5.0</v>
      </c>
      <c r="B454" s="2" t="s">
        <v>1382</v>
      </c>
      <c r="C454" s="2" t="s">
        <v>1383</v>
      </c>
      <c r="D454" s="2" t="s">
        <v>65</v>
      </c>
      <c r="E454" s="2" t="s">
        <v>34</v>
      </c>
      <c r="F454" s="2" t="s">
        <v>15</v>
      </c>
      <c r="G454" s="2" t="s">
        <v>1384</v>
      </c>
      <c r="H454" s="2" t="s">
        <v>363</v>
      </c>
      <c r="I454" s="2" t="str">
        <f>IFERROR(__xludf.DUMMYFUNCTION("GOOGLETRANSLATE(C454,""fr"",""en"")"),"Completely satisfied with the MGP which was there following an accident followed by complex surgery. Very human and competent I do not regret my choice. In addition, I appreciate support for security forces through many actions.")</f>
        <v>Completely satisfied with the MGP which was there following an accident followed by complex surgery. Very human and competent I do not regret my choice. In addition, I appreciate support for security forces through many actions.</v>
      </c>
    </row>
    <row r="455" ht="15.75" customHeight="1">
      <c r="A455" s="2">
        <v>1.0</v>
      </c>
      <c r="B455" s="2" t="s">
        <v>1385</v>
      </c>
      <c r="C455" s="2" t="s">
        <v>1386</v>
      </c>
      <c r="D455" s="2" t="s">
        <v>621</v>
      </c>
      <c r="E455" s="2" t="s">
        <v>66</v>
      </c>
      <c r="F455" s="2" t="s">
        <v>15</v>
      </c>
      <c r="G455" s="2" t="s">
        <v>1387</v>
      </c>
      <c r="H455" s="2" t="s">
        <v>331</v>
      </c>
      <c r="I455" s="2" t="str">
        <f>IFERROR(__xludf.DUMMYFUNCTION("GOOGLETRANSLATE(C455,""fr"",""en"")"),"Art 83 contract, capital acquired 21,000 euros at 62 years. Life -based life annuity (life expectancy 24 years for a 62 -year -old man in France): 700 euros per year. Do the calculation: profitability - 1.7 % per year ...
very little responsive to transf"&amp;"er the contract to another insurer (formal notice)
Intervention of the insurance mediator necessary for them to pay the delay interest provided for in the insurance code.
")</f>
        <v>Art 83 contract, capital acquired 21,000 euros at 62 years. Life -based life annuity (life expectancy 24 years for a 62 -year -old man in France): 700 euros per year. Do the calculation: profitability - 1.7 % per year ...
very little responsive to transfer the contract to another insurer (formal notice)
Intervention of the insurance mediator necessary for them to pay the delay interest provided for in the insurance code.
</v>
      </c>
    </row>
    <row r="456" ht="15.75" customHeight="1">
      <c r="A456" s="2">
        <v>3.0</v>
      </c>
      <c r="B456" s="2" t="s">
        <v>1388</v>
      </c>
      <c r="C456" s="2" t="s">
        <v>1389</v>
      </c>
      <c r="D456" s="2" t="s">
        <v>71</v>
      </c>
      <c r="E456" s="2" t="s">
        <v>40</v>
      </c>
      <c r="F456" s="2" t="s">
        <v>15</v>
      </c>
      <c r="G456" s="2" t="s">
        <v>593</v>
      </c>
      <c r="H456" s="2" t="s">
        <v>594</v>
      </c>
      <c r="I456" s="2" t="str">
        <f>IFERROR(__xludf.DUMMYFUNCTION("GOOGLETRANSLATE(C456,""fr"",""en"")"),"I contact the MAIF assistance because I had to call on a locksmith to open my door. I want to find out about my guarantees")</f>
        <v>I contact the MAIF assistance because I had to call on a locksmith to open my door. I want to find out about my guarantees</v>
      </c>
    </row>
    <row r="457" ht="15.75" customHeight="1">
      <c r="A457" s="2">
        <v>2.0</v>
      </c>
      <c r="B457" s="2" t="s">
        <v>1390</v>
      </c>
      <c r="C457" s="2" t="s">
        <v>1391</v>
      </c>
      <c r="D457" s="2" t="s">
        <v>106</v>
      </c>
      <c r="E457" s="2" t="s">
        <v>14</v>
      </c>
      <c r="F457" s="2" t="s">
        <v>15</v>
      </c>
      <c r="G457" s="2" t="s">
        <v>1392</v>
      </c>
      <c r="H457" s="2" t="s">
        <v>434</v>
      </c>
      <c r="I457" s="2" t="str">
        <f>IFERROR(__xludf.DUMMYFUNCTION("GOOGLETRANSLATE(C457,""fr"",""en"")"),"Macif assistance is not respectful does not respect the departure contract for which we pay every month. Following a request for rant we end up with a vehicle much smaller than the one for which we pay insurance and the assistance sneer on the phone ... v"&amp;"ery professional !!!!")</f>
        <v>Macif assistance is not respectful does not respect the departure contract for which we pay every month. Following a request for rant we end up with a vehicle much smaller than the one for which we pay insurance and the assistance sneer on the phone ... very professional !!!!</v>
      </c>
    </row>
    <row r="458" ht="15.75" customHeight="1">
      <c r="A458" s="2">
        <v>1.0</v>
      </c>
      <c r="B458" s="2" t="s">
        <v>1393</v>
      </c>
      <c r="C458" s="2" t="s">
        <v>1394</v>
      </c>
      <c r="D458" s="2" t="s">
        <v>493</v>
      </c>
      <c r="E458" s="2" t="s">
        <v>14</v>
      </c>
      <c r="F458" s="2" t="s">
        <v>15</v>
      </c>
      <c r="G458" s="2" t="s">
        <v>1395</v>
      </c>
      <c r="H458" s="2" t="s">
        <v>194</v>
      </c>
      <c r="I458" s="2" t="str">
        <f>IFERROR(__xludf.DUMMYFUNCTION("GOOGLETRANSLATE(C458,""fr"",""en"")"),"To flee !!! Insured for more than 20 years, maximum bonus, I receive an AR which warns me from the termination of my insurance. No response to my requests for explanations. I would have cost them too much in repair !!! I haven't had no claim for over 3 ye"&amp;"ars !!!")</f>
        <v>To flee !!! Insured for more than 20 years, maximum bonus, I receive an AR which warns me from the termination of my insurance. No response to my requests for explanations. I would have cost them too much in repair !!! I haven't had no claim for over 3 years !!!</v>
      </c>
    </row>
    <row r="459" ht="15.75" customHeight="1">
      <c r="A459" s="2">
        <v>5.0</v>
      </c>
      <c r="B459" s="2" t="s">
        <v>1396</v>
      </c>
      <c r="C459" s="2" t="s">
        <v>1397</v>
      </c>
      <c r="D459" s="2" t="s">
        <v>55</v>
      </c>
      <c r="E459" s="2" t="s">
        <v>56</v>
      </c>
      <c r="F459" s="2" t="s">
        <v>15</v>
      </c>
      <c r="G459" s="2" t="s">
        <v>571</v>
      </c>
      <c r="H459" s="2" t="s">
        <v>42</v>
      </c>
      <c r="I459" s="2" t="str">
        <f>IFERROR(__xludf.DUMMYFUNCTION("GOOGLETRANSLATE(C459,""fr"",""en"")"),"The site is very easy to access, the course is simplicity, have been well guided, and above all it is instantaneous, positive experience, I highly recommend")</f>
        <v>The site is very easy to access, the course is simplicity, have been well guided, and above all it is instantaneous, positive experience, I highly recommend</v>
      </c>
    </row>
    <row r="460" ht="15.75" customHeight="1">
      <c r="A460" s="2">
        <v>1.0</v>
      </c>
      <c r="B460" s="2" t="s">
        <v>1398</v>
      </c>
      <c r="C460" s="2" t="s">
        <v>1399</v>
      </c>
      <c r="D460" s="2" t="s">
        <v>13</v>
      </c>
      <c r="E460" s="2" t="s">
        <v>14</v>
      </c>
      <c r="F460" s="2" t="s">
        <v>15</v>
      </c>
      <c r="G460" s="2" t="s">
        <v>1400</v>
      </c>
      <c r="H460" s="2" t="s">
        <v>84</v>
      </c>
      <c r="I460" s="2" t="str">
        <f>IFERROR(__xludf.DUMMYFUNCTION("GOOGLETRANSLATE(C460,""fr"",""en"")"),"I am not very satisfied harsh have made several attempts to send the photos of my license who and still in court and it still does not pass it will be canceled")</f>
        <v>I am not very satisfied harsh have made several attempts to send the photos of my license who and still in court and it still does not pass it will be canceled</v>
      </c>
    </row>
    <row r="461" ht="15.75" customHeight="1">
      <c r="A461" s="2">
        <v>5.0</v>
      </c>
      <c r="B461" s="2" t="s">
        <v>1401</v>
      </c>
      <c r="C461" s="2" t="s">
        <v>1402</v>
      </c>
      <c r="D461" s="2" t="s">
        <v>134</v>
      </c>
      <c r="E461" s="2" t="s">
        <v>56</v>
      </c>
      <c r="F461" s="2" t="s">
        <v>15</v>
      </c>
      <c r="G461" s="2" t="s">
        <v>1403</v>
      </c>
      <c r="H461" s="2" t="s">
        <v>167</v>
      </c>
      <c r="I461" s="2" t="str">
        <f>IFERROR(__xludf.DUMMYFUNCTION("GOOGLETRANSLATE(C461,""fr"",""en"")"),"Perfect good price and speed goes to the essentials, the transaction is easy quite simple I recommend it for a quad it is good insurance at the most level")</f>
        <v>Perfect good price and speed goes to the essentials, the transaction is easy quite simple I recommend it for a quad it is good insurance at the most level</v>
      </c>
    </row>
    <row r="462" ht="15.75" customHeight="1">
      <c r="A462" s="2">
        <v>1.0</v>
      </c>
      <c r="B462" s="2" t="s">
        <v>1404</v>
      </c>
      <c r="C462" s="2" t="s">
        <v>1405</v>
      </c>
      <c r="D462" s="2" t="s">
        <v>809</v>
      </c>
      <c r="E462" s="2" t="s">
        <v>34</v>
      </c>
      <c r="F462" s="2" t="s">
        <v>15</v>
      </c>
      <c r="G462" s="2" t="s">
        <v>1406</v>
      </c>
      <c r="H462" s="2" t="s">
        <v>331</v>
      </c>
      <c r="I462" s="2" t="str">
        <f>IFERROR(__xludf.DUMMYFUNCTION("GOOGLETRANSLATE(C462,""fr"",""en"")"),"Being in sick leave since December 14, I have been waiting since the end of May that my file which is complete all the documents have been sent by the employer what confirms the advisers that I manage to join on the hotline for 2 months I am taken for a A"&amp;"ndouille and the word is very weak with each call I am confirmed that my file is complete that the date of payment of payment has been devastating for a while I am asked to start June 3 weeks of delai after 3 weeks still nothing I am announced 10 days of "&amp;"delai still nothing and this morning I am confirmed that my full full file but that it is still necessary to wait. But how do you pay them every month their response ""I understand madam; it is shameful I decide so This day to contact me with competent au"&amp;"thorities like 30 million consomators is shameful to leave people in this situation without doing anything except saying I still send a recovery to the service")</f>
        <v>Being in sick leave since December 14, I have been waiting since the end of May that my file which is complete all the documents have been sent by the employer what confirms the advisers that I manage to join on the hotline for 2 months I am taken for a Andouille and the word is very weak with each call I am confirmed that my file is complete that the date of payment of payment has been devastating for a while I am asked to start June 3 weeks of delai after 3 weeks still nothing I am announced 10 days of delai still nothing and this morning I am confirmed that my full full file but that it is still necessary to wait. But how do you pay them every month their response "I understand madam; it is shameful I decide so This day to contact me with competent authorities like 30 million consomators is shameful to leave people in this situation without doing anything except saying I still send a recovery to the service</v>
      </c>
    </row>
    <row r="463" ht="15.75" customHeight="1">
      <c r="A463" s="2">
        <v>1.0</v>
      </c>
      <c r="B463" s="2" t="s">
        <v>1407</v>
      </c>
      <c r="C463" s="2" t="s">
        <v>1408</v>
      </c>
      <c r="D463" s="2" t="s">
        <v>65</v>
      </c>
      <c r="E463" s="2" t="s">
        <v>34</v>
      </c>
      <c r="F463" s="2" t="s">
        <v>15</v>
      </c>
      <c r="G463" s="2" t="s">
        <v>47</v>
      </c>
      <c r="H463" s="2" t="s">
        <v>48</v>
      </c>
      <c r="I463" s="2" t="str">
        <f>IFERROR(__xludf.DUMMYFUNCTION("GOOGLETRANSLATE(C463,""fr"",""en"")"),"A member for over 30 years I have never had a particular problem with the MGP ... until today! I made a letter of termination of my beneficiary (my daughter) on 15/11/17, and I realize a year later that I am levied for a year of subscription for her when "&amp;"she does not did not use her mutual during this period (inevitably, she thought she would no longer be a member of it). I specify that the sum taken is considerable. In order to be reimbursed for this amount, I send all the supporting documents by AR of a"&amp;"ll the care and hospitalizations for the past year of my daughter, proof that they were reimbursed by her new mutual. I was accused of receipt (no later than possible) and since nothing ... We are sleeping with ""we study your request we remind you"", but"&amp;" nothing! Although, on reflection, it is not worse than the telechesions that treat you as a liar on the phone and howl you. I am frightened I have never seen that! That's not really what it was. How can we not take into account the good faith of a member"&amp;" over 30 years old? Where is the human in all of this?")</f>
        <v>A member for over 30 years I have never had a particular problem with the MGP ... until today! I made a letter of termination of my beneficiary (my daughter) on 15/11/17, and I realize a year later that I am levied for a year of subscription for her when she does not did not use her mutual during this period (inevitably, she thought she would no longer be a member of it). I specify that the sum taken is considerable. In order to be reimbursed for this amount, I send all the supporting documents by AR of all the care and hospitalizations for the past year of my daughter, proof that they were reimbursed by her new mutual. I was accused of receipt (no later than possible) and since nothing ... We are sleeping with "we study your request we remind you", but nothing! Although, on reflection, it is not worse than the telechesions that treat you as a liar on the phone and howl you. I am frightened I have never seen that! That's not really what it was. How can we not take into account the good faith of a member over 30 years old? Where is the human in all of this?</v>
      </c>
    </row>
    <row r="464" ht="15.75" customHeight="1">
      <c r="A464" s="2">
        <v>1.0</v>
      </c>
      <c r="B464" s="2" t="s">
        <v>1409</v>
      </c>
      <c r="C464" s="2" t="s">
        <v>1410</v>
      </c>
      <c r="D464" s="2" t="s">
        <v>809</v>
      </c>
      <c r="E464" s="2" t="s">
        <v>34</v>
      </c>
      <c r="F464" s="2" t="s">
        <v>15</v>
      </c>
      <c r="G464" s="2" t="s">
        <v>370</v>
      </c>
      <c r="H464" s="2" t="s">
        <v>221</v>
      </c>
      <c r="I464" s="2" t="str">
        <f>IFERROR(__xludf.DUMMYFUNCTION("GOOGLETRANSLATE(C464,""fr"",""en"")"),"6 months that I am luxury from one service to another with contradictory information. About the compulsory health affiliation! I have completed an affiliate request which has still not been processed. On the one hand I am told that my file was broken by m"&amp;"y employer in January 2016 when I was still an employee of my company (I made a contractual break in August 2017) and therefore they do not Will not be able to do for me even though the contributions are registered on my pay sheets each month. On the othe"&amp;"r hand, I am told that my file is created, that following my breakup I must send the portability bia with several other supporting documents. However when I ask for my mutual number to be able to be reimbursed for my health costs I am told that they do no"&amp;"t find it and I am asked to contact the affiliation service and which replied again that my mutual contract has been terminated And I am asked to wait until the call of an advisor. 2 years that I am waiting for my affiliation. No answer.")</f>
        <v>6 months that I am luxury from one service to another with contradictory information. About the compulsory health affiliation! I have completed an affiliate request which has still not been processed. On the one hand I am told that my file was broken by my employer in January 2016 when I was still an employee of my company (I made a contractual break in August 2017) and therefore they do not Will not be able to do for me even though the contributions are registered on my pay sheets each month. On the other hand, I am told that my file is created, that following my breakup I must send the portability bia with several other supporting documents. However when I ask for my mutual number to be able to be reimbursed for my health costs I am told that they do not find it and I am asked to contact the affiliation service and which replied again that my mutual contract has been terminated And I am asked to wait until the call of an advisor. 2 years that I am waiting for my affiliation. No answer.</v>
      </c>
    </row>
    <row r="465" ht="15.75" customHeight="1">
      <c r="A465" s="2">
        <v>4.0</v>
      </c>
      <c r="B465" s="2" t="s">
        <v>1411</v>
      </c>
      <c r="C465" s="2" t="s">
        <v>1412</v>
      </c>
      <c r="D465" s="2" t="s">
        <v>24</v>
      </c>
      <c r="E465" s="2" t="s">
        <v>14</v>
      </c>
      <c r="F465" s="2" t="s">
        <v>15</v>
      </c>
      <c r="G465" s="2" t="s">
        <v>1413</v>
      </c>
      <c r="H465" s="2" t="s">
        <v>17</v>
      </c>
      <c r="I465" s="2" t="str">
        <f>IFERROR(__xludf.DUMMYFUNCTION("GOOGLETRANSLATE(C465,""fr"",""en"")"),"Simple and fast
Management all online saves a precious time
The electronic signature of the contract is practical and instant!
No need to have to have your insurance card;")</f>
        <v>Simple and fast
Management all online saves a precious time
The electronic signature of the contract is practical and instant!
No need to have to have your insurance card;</v>
      </c>
    </row>
    <row r="466" ht="15.75" customHeight="1">
      <c r="A466" s="2">
        <v>5.0</v>
      </c>
      <c r="B466" s="2" t="s">
        <v>1414</v>
      </c>
      <c r="C466" s="2" t="s">
        <v>1415</v>
      </c>
      <c r="D466" s="2" t="s">
        <v>183</v>
      </c>
      <c r="E466" s="2" t="s">
        <v>97</v>
      </c>
      <c r="F466" s="2" t="s">
        <v>15</v>
      </c>
      <c r="G466" s="2" t="s">
        <v>1175</v>
      </c>
      <c r="H466" s="2" t="s">
        <v>292</v>
      </c>
      <c r="I466" s="2" t="str">
        <f>IFERROR(__xludf.DUMMYFUNCTION("GOOGLETRANSLATE(C466,""fr"",""en"")"),"THANK YOU SO MUCH. I am very happy with conversation ... everything is well passed ... I hope the bank will accept this insurance contract
Thank you very much")</f>
        <v>THANK YOU SO MUCH. I am very happy with conversation ... everything is well passed ... I hope the bank will accept this insurance contract
Thank you very much</v>
      </c>
    </row>
    <row r="467" ht="15.75" customHeight="1">
      <c r="A467" s="2">
        <v>3.0</v>
      </c>
      <c r="B467" s="2" t="s">
        <v>1416</v>
      </c>
      <c r="C467" s="2" t="s">
        <v>1417</v>
      </c>
      <c r="D467" s="2" t="s">
        <v>13</v>
      </c>
      <c r="E467" s="2" t="s">
        <v>14</v>
      </c>
      <c r="F467" s="2" t="s">
        <v>15</v>
      </c>
      <c r="G467" s="2" t="s">
        <v>549</v>
      </c>
      <c r="H467" s="2" t="s">
        <v>52</v>
      </c>
      <c r="I467" s="2" t="str">
        <f>IFERROR(__xludf.DUMMYFUNCTION("GOOGLETRANSLATE(C467,""fr"",""en"")"),"Less and less competitive in terms of prices, I will seriously think of other solutions if the continent prices to climb like this, especially after a year COVID or L ""we have rolled little risk for insurance.")</f>
        <v>Less and less competitive in terms of prices, I will seriously think of other solutions if the continent prices to climb like this, especially after a year COVID or L "we have rolled little risk for insurance.</v>
      </c>
    </row>
    <row r="468" ht="15.75" customHeight="1">
      <c r="A468" s="2">
        <v>1.0</v>
      </c>
      <c r="B468" s="2" t="s">
        <v>1418</v>
      </c>
      <c r="C468" s="2" t="s">
        <v>1419</v>
      </c>
      <c r="D468" s="2" t="s">
        <v>117</v>
      </c>
      <c r="E468" s="2" t="s">
        <v>14</v>
      </c>
      <c r="F468" s="2" t="s">
        <v>15</v>
      </c>
      <c r="G468" s="2" t="s">
        <v>1420</v>
      </c>
      <c r="H468" s="2" t="s">
        <v>21</v>
      </c>
      <c r="I468" s="2" t="str">
        <f>IFERROR(__xludf.DUMMYFUNCTION("GOOGLETRANSLATE(C468,""fr"",""en"")"),"Having had a non -responsible disaster in August I had the obligation to advance the deductible of € 399 for I do not know how long because my agent has to remind me for 5 days and customer service hangs up on me when you Ask how long it will take .... de"&amp;"plorable.")</f>
        <v>Having had a non -responsible disaster in August I had the obligation to advance the deductible of € 399 for I do not know how long because my agent has to remind me for 5 days and customer service hangs up on me when you Ask how long it will take .... deplorable.</v>
      </c>
    </row>
    <row r="469" ht="15.75" customHeight="1">
      <c r="A469" s="2">
        <v>5.0</v>
      </c>
      <c r="B469" s="2" t="s">
        <v>1421</v>
      </c>
      <c r="C469" s="2" t="s">
        <v>1422</v>
      </c>
      <c r="D469" s="2" t="s">
        <v>24</v>
      </c>
      <c r="E469" s="2" t="s">
        <v>14</v>
      </c>
      <c r="F469" s="2" t="s">
        <v>15</v>
      </c>
      <c r="G469" s="2" t="s">
        <v>1423</v>
      </c>
      <c r="H469" s="2" t="s">
        <v>17</v>
      </c>
      <c r="I469" s="2" t="str">
        <f>IFERROR(__xludf.DUMMYFUNCTION("GOOGLETRANSLATE(C469,""fr"",""en"")"),"For the moment everything is well
I am a new customer at home, and for the moment everything is fine. I hope to have the same level of satisfaction if I ever have a problem")</f>
        <v>For the moment everything is well
I am a new customer at home, and for the moment everything is fine. I hope to have the same level of satisfaction if I ever have a problem</v>
      </c>
    </row>
    <row r="470" ht="15.75" customHeight="1">
      <c r="A470" s="2">
        <v>5.0</v>
      </c>
      <c r="B470" s="2" t="s">
        <v>1424</v>
      </c>
      <c r="C470" s="2" t="s">
        <v>1425</v>
      </c>
      <c r="D470" s="2" t="s">
        <v>134</v>
      </c>
      <c r="E470" s="2" t="s">
        <v>56</v>
      </c>
      <c r="F470" s="2" t="s">
        <v>15</v>
      </c>
      <c r="G470" s="2" t="s">
        <v>1426</v>
      </c>
      <c r="H470" s="2" t="s">
        <v>68</v>
      </c>
      <c r="I470" s="2" t="str">
        <f>IFERROR(__xludf.DUMMYFUNCTION("GOOGLETRANSLATE(C470,""fr"",""en"")"),"Reasonable price to see if in the event of a claim everything goes well.
Quick quote, I have not yet had anyone on the phone but according to other comments the service looks fast. To have
")</f>
        <v>Reasonable price to see if in the event of a claim everything goes well.
Quick quote, I have not yet had anyone on the phone but according to other comments the service looks fast. To have
</v>
      </c>
    </row>
    <row r="471" ht="15.75" customHeight="1">
      <c r="A471" s="2">
        <v>5.0</v>
      </c>
      <c r="B471" s="2" t="s">
        <v>1427</v>
      </c>
      <c r="C471" s="2" t="s">
        <v>1428</v>
      </c>
      <c r="D471" s="2" t="s">
        <v>117</v>
      </c>
      <c r="E471" s="2" t="s">
        <v>14</v>
      </c>
      <c r="F471" s="2" t="s">
        <v>15</v>
      </c>
      <c r="G471" s="2" t="s">
        <v>1429</v>
      </c>
      <c r="H471" s="2" t="s">
        <v>52</v>
      </c>
      <c r="I471" s="2" t="str">
        <f>IFERROR(__xludf.DUMMYFUNCTION("GOOGLETRANSLATE(C471,""fr"",""en"")"),"Very good agency, an insurer attentive to customers have cases of disputes, or for any other information as home insurance. Continue like that.CDL Georges")</f>
        <v>Very good agency, an insurer attentive to customers have cases of disputes, or for any other information as home insurance. Continue like that.CDL Georges</v>
      </c>
    </row>
    <row r="472" ht="15.75" customHeight="1">
      <c r="A472" s="2">
        <v>1.0</v>
      </c>
      <c r="B472" s="2" t="s">
        <v>1430</v>
      </c>
      <c r="C472" s="2" t="s">
        <v>1431</v>
      </c>
      <c r="D472" s="2" t="s">
        <v>24</v>
      </c>
      <c r="E472" s="2" t="s">
        <v>14</v>
      </c>
      <c r="F472" s="2" t="s">
        <v>15</v>
      </c>
      <c r="G472" s="2" t="s">
        <v>1403</v>
      </c>
      <c r="H472" s="2" t="s">
        <v>167</v>
      </c>
      <c r="I472" s="2" t="str">
        <f>IFERROR(__xludf.DUMMYFUNCTION("GOOGLETRANSLATE(C472,""fr"",""en"")"),"I have nothing to say than to flee them, leave what is only they left as insurance, I do not tell you the non -professionalism of this insurance, good luck to all those who are convinced")</f>
        <v>I have nothing to say than to flee them, leave what is only they left as insurance, I do not tell you the non -professionalism of this insurance, good luck to all those who are convinced</v>
      </c>
    </row>
    <row r="473" ht="15.75" customHeight="1">
      <c r="A473" s="2">
        <v>4.0</v>
      </c>
      <c r="B473" s="2" t="s">
        <v>1432</v>
      </c>
      <c r="C473" s="2" t="s">
        <v>1433</v>
      </c>
      <c r="D473" s="2" t="s">
        <v>183</v>
      </c>
      <c r="E473" s="2" t="s">
        <v>97</v>
      </c>
      <c r="F473" s="2" t="s">
        <v>15</v>
      </c>
      <c r="G473" s="2" t="s">
        <v>417</v>
      </c>
      <c r="H473" s="2" t="s">
        <v>363</v>
      </c>
      <c r="I473" s="2" t="str">
        <f>IFERROR(__xludf.DUMMYFUNCTION("GOOGLETRANSLATE(C473,""fr"",""en"")"),"Attractive price, speed and ease of the procedure until signing.
I am waiting to see the next steps related to the lending bank.")</f>
        <v>Attractive price, speed and ease of the procedure until signing.
I am waiting to see the next steps related to the lending bank.</v>
      </c>
    </row>
    <row r="474" ht="15.75" customHeight="1">
      <c r="A474" s="2">
        <v>4.0</v>
      </c>
      <c r="B474" s="2" t="s">
        <v>1434</v>
      </c>
      <c r="C474" s="2" t="s">
        <v>1435</v>
      </c>
      <c r="D474" s="2" t="s">
        <v>39</v>
      </c>
      <c r="E474" s="2" t="s">
        <v>14</v>
      </c>
      <c r="F474" s="2" t="s">
        <v>15</v>
      </c>
      <c r="G474" s="2" t="s">
        <v>475</v>
      </c>
      <c r="H474" s="2" t="s">
        <v>84</v>
      </c>
      <c r="I474" s="2" t="str">
        <f>IFERROR(__xludf.DUMMYFUNCTION("GOOGLETRANSLATE(C474,""fr"",""en"")"),"Hello,
I am generally satisfied with the service, very accessible by internet. The appointments remain difficult, within reasonable deadlines.
Hugues Desormeaux
 ")</f>
        <v>Hello,
I am generally satisfied with the service, very accessible by internet. The appointments remain difficult, within reasonable deadlines.
Hugues Desormeaux
 </v>
      </c>
    </row>
    <row r="475" ht="15.75" customHeight="1">
      <c r="A475" s="2">
        <v>5.0</v>
      </c>
      <c r="B475" s="2" t="s">
        <v>1436</v>
      </c>
      <c r="C475" s="2" t="s">
        <v>1437</v>
      </c>
      <c r="D475" s="2" t="s">
        <v>24</v>
      </c>
      <c r="E475" s="2" t="s">
        <v>14</v>
      </c>
      <c r="F475" s="2" t="s">
        <v>15</v>
      </c>
      <c r="G475" s="2" t="s">
        <v>259</v>
      </c>
      <c r="H475" s="2" t="s">
        <v>259</v>
      </c>
      <c r="I475" s="2" t="str">
        <f>IFERROR(__xludf.DUMMYFUNCTION("GOOGLETRANSLATE(C475,""fr"",""en"")"),"Very pro. I am reassured to be followed by this insurance. Communication is very easy by the MSN cat. The price is very competitive, for the rest I have not yet used their service.")</f>
        <v>Very pro. I am reassured to be followed by this insurance. Communication is very easy by the MSN cat. The price is very competitive, for the rest I have not yet used their service.</v>
      </c>
    </row>
    <row r="476" ht="15.75" customHeight="1">
      <c r="A476" s="2">
        <v>3.0</v>
      </c>
      <c r="B476" s="2" t="s">
        <v>1438</v>
      </c>
      <c r="C476" s="2" t="s">
        <v>1439</v>
      </c>
      <c r="D476" s="2" t="s">
        <v>639</v>
      </c>
      <c r="E476" s="2" t="s">
        <v>46</v>
      </c>
      <c r="F476" s="2" t="s">
        <v>15</v>
      </c>
      <c r="G476" s="2" t="s">
        <v>1440</v>
      </c>
      <c r="H476" s="2" t="s">
        <v>243</v>
      </c>
      <c r="I476" s="2" t="str">
        <f>IFERROR(__xludf.DUMMYFUNCTION("GOOGLETRANSLATE(C476,""fr"",""en"")"),"Incomprehensible, three months and several unanswered letters, following my request for payment of my wife's life insurance. Adherent association: UFC Que Choisir I asked for his intervention and as by chance the funds were unlocked Eight days later. And "&amp;"otherwise since 19/12/2019 I am awaiting the statement of social ptetrists ???")</f>
        <v>Incomprehensible, three months and several unanswered letters, following my request for payment of my wife's life insurance. Adherent association: UFC Que Choisir I asked for his intervention and as by chance the funds were unlocked Eight days later. And otherwise since 19/12/2019 I am awaiting the statement of social ptetrists ???</v>
      </c>
    </row>
    <row r="477" ht="15.75" customHeight="1">
      <c r="A477" s="2">
        <v>3.0</v>
      </c>
      <c r="B477" s="2" t="s">
        <v>1441</v>
      </c>
      <c r="C477" s="2" t="s">
        <v>1442</v>
      </c>
      <c r="D477" s="2" t="s">
        <v>209</v>
      </c>
      <c r="E477" s="2" t="s">
        <v>14</v>
      </c>
      <c r="F477" s="2" t="s">
        <v>15</v>
      </c>
      <c r="G477" s="2" t="s">
        <v>1443</v>
      </c>
      <c r="H477" s="2" t="s">
        <v>659</v>
      </c>
      <c r="I477" s="2" t="str">
        <f>IFERROR(__xludf.DUMMYFUNCTION("GOOGLETRANSLATE(C477,""fr"",""en"")"),"Hello, the prices are attractive on the annual rate, but not on the accident franchises, that is why I soon plan to go to Groupama because the same price and guaranteed and that without deductible in the event of an estimated accident .... I do not Do not"&amp;" find that normal, and soon I will withdraw 3 automotive contracts ... Unless it offers me contracts without deductible in the event of an accident, which Groupama offers to the almost same price and guarantee ....")</f>
        <v>Hello, the prices are attractive on the annual rate, but not on the accident franchises, that is why I soon plan to go to Groupama because the same price and guaranteed and that without deductible in the event of an estimated accident .... I do not Do not find that normal, and soon I will withdraw 3 automotive contracts ... Unless it offers me contracts without deductible in the event of an accident, which Groupama offers to the almost same price and guarantee ....</v>
      </c>
    </row>
    <row r="478" ht="15.75" customHeight="1">
      <c r="A478" s="2">
        <v>1.0</v>
      </c>
      <c r="B478" s="2" t="s">
        <v>1444</v>
      </c>
      <c r="C478" s="2" t="s">
        <v>1445</v>
      </c>
      <c r="D478" s="2" t="s">
        <v>71</v>
      </c>
      <c r="E478" s="2" t="s">
        <v>14</v>
      </c>
      <c r="F478" s="2" t="s">
        <v>15</v>
      </c>
      <c r="G478" s="2" t="s">
        <v>76</v>
      </c>
      <c r="H478" s="2" t="s">
        <v>42</v>
      </c>
      <c r="I478" s="2" t="str">
        <f>IFERROR(__xludf.DUMMYFUNCTION("GOOGLETRANSLATE(C478,""fr"",""en"")"),"Hello he treats my liar I leave their home next month they lost a 45 year old member I turn the page with the maif no I tear it
 This 45 -year -old page one star these too much for them a shame there are 0 for me")</f>
        <v>Hello he treats my liar I leave their home next month they lost a 45 year old member I turn the page with the maif no I tear it
 This 45 -year -old page one star these too much for them a shame there are 0 for me</v>
      </c>
    </row>
    <row r="479" ht="15.75" customHeight="1">
      <c r="A479" s="2">
        <v>1.0</v>
      </c>
      <c r="B479" s="2" t="s">
        <v>1446</v>
      </c>
      <c r="C479" s="2" t="s">
        <v>1447</v>
      </c>
      <c r="D479" s="2" t="s">
        <v>24</v>
      </c>
      <c r="E479" s="2" t="s">
        <v>14</v>
      </c>
      <c r="F479" s="2" t="s">
        <v>15</v>
      </c>
      <c r="G479" s="2" t="s">
        <v>1448</v>
      </c>
      <c r="H479" s="2" t="s">
        <v>363</v>
      </c>
      <c r="I479" s="2" t="str">
        <f>IFERROR(__xludf.DUMMYFUNCTION("GOOGLETRANSLATE(C479,""fr"",""en"")"),"Hello I follow angry here 2 months since I reported by registered letter with A.R the sale of my vehicle impossible to reach who is fed up I do not follow near you.")</f>
        <v>Hello I follow angry here 2 months since I reported by registered letter with A.R the sale of my vehicle impossible to reach who is fed up I do not follow near you.</v>
      </c>
    </row>
    <row r="480" ht="15.75" customHeight="1">
      <c r="A480" s="2">
        <v>4.0</v>
      </c>
      <c r="B480" s="2" t="s">
        <v>1449</v>
      </c>
      <c r="C480" s="2" t="s">
        <v>1450</v>
      </c>
      <c r="D480" s="2" t="s">
        <v>13</v>
      </c>
      <c r="E480" s="2" t="s">
        <v>14</v>
      </c>
      <c r="F480" s="2" t="s">
        <v>15</v>
      </c>
      <c r="G480" s="2" t="s">
        <v>52</v>
      </c>
      <c r="H480" s="2" t="s">
        <v>52</v>
      </c>
      <c r="I480" s="2" t="str">
        <f>IFERROR(__xludf.DUMMYFUNCTION("GOOGLETRANSLATE(C480,""fr"",""en"")"),"I was able to quickly find answers to my questions and made it could commit. I will be able to take out a contract for my vehicle in order to group all my insurance in the same company.
")</f>
        <v>I was able to quickly find answers to my questions and made it could commit. I will be able to take out a contract for my vehicle in order to group all my insurance in the same company.
</v>
      </c>
    </row>
    <row r="481" ht="15.75" customHeight="1">
      <c r="A481" s="2">
        <v>4.0</v>
      </c>
      <c r="B481" s="2" t="s">
        <v>1451</v>
      </c>
      <c r="C481" s="2" t="s">
        <v>1452</v>
      </c>
      <c r="D481" s="2" t="s">
        <v>24</v>
      </c>
      <c r="E481" s="2" t="s">
        <v>14</v>
      </c>
      <c r="F481" s="2" t="s">
        <v>15</v>
      </c>
      <c r="G481" s="2" t="s">
        <v>1453</v>
      </c>
      <c r="H481" s="2" t="s">
        <v>167</v>
      </c>
      <c r="I481" s="2" t="str">
        <f>IFERROR(__xludf.DUMMYFUNCTION("GOOGLETRANSLATE(C481,""fr"",""en"")"),"I am satisfied with the service, concise and helpful advisor. The price is correct. It remains to be seen what will happen if an accident happens to me and if customer follow -up is also qualitative")</f>
        <v>I am satisfied with the service, concise and helpful advisor. The price is correct. It remains to be seen what will happen if an accident happens to me and if customer follow -up is also qualitative</v>
      </c>
    </row>
    <row r="482" ht="15.75" customHeight="1">
      <c r="A482" s="2">
        <v>5.0</v>
      </c>
      <c r="B482" s="2" t="s">
        <v>1454</v>
      </c>
      <c r="C482" s="2" t="s">
        <v>1455</v>
      </c>
      <c r="D482" s="2" t="s">
        <v>13</v>
      </c>
      <c r="E482" s="2" t="s">
        <v>14</v>
      </c>
      <c r="F482" s="2" t="s">
        <v>15</v>
      </c>
      <c r="G482" s="2" t="s">
        <v>57</v>
      </c>
      <c r="H482" s="2" t="s">
        <v>21</v>
      </c>
      <c r="I482" s="2" t="str">
        <f>IFERROR(__xludf.DUMMYFUNCTION("GOOGLETRANSLATE(C482,""fr"",""en"")"),"Ok Nikel fast cheap, I hope it will be the same in case there is a problem.
Thank you I await the documents and the green card as soon as possible")</f>
        <v>Ok Nikel fast cheap, I hope it will be the same in case there is a problem.
Thank you I await the documents and the green card as soon as possible</v>
      </c>
    </row>
    <row r="483" ht="15.75" customHeight="1">
      <c r="A483" s="2">
        <v>1.0</v>
      </c>
      <c r="B483" s="2" t="s">
        <v>1456</v>
      </c>
      <c r="C483" s="2" t="s">
        <v>1457</v>
      </c>
      <c r="D483" s="2" t="s">
        <v>45</v>
      </c>
      <c r="E483" s="2" t="s">
        <v>56</v>
      </c>
      <c r="F483" s="2" t="s">
        <v>15</v>
      </c>
      <c r="G483" s="2" t="s">
        <v>694</v>
      </c>
      <c r="H483" s="2" t="s">
        <v>694</v>
      </c>
      <c r="I483" s="2" t="str">
        <f>IFERROR(__xludf.DUMMYFUNCTION("GOOGLETRANSLATE(C483,""fr"",""en"")"),"Assurbonplan (AXA) to flee absolutely. Contributions which rise by 100 euros after 1 year (sinister non -resp.) Hours to reach them and then get hanging on the nose when sending information statements to change insurance! Weeks of galley run away from Ass"&amp;"urbonplan. Pass the word. Waiting for termination for insurance 240 euros cheaper on my motorcycle.")</f>
        <v>Assurbonplan (AXA) to flee absolutely. Contributions which rise by 100 euros after 1 year (sinister non -resp.) Hours to reach them and then get hanging on the nose when sending information statements to change insurance! Weeks of galley run away from Assurbonplan. Pass the word. Waiting for termination for insurance 240 euros cheaper on my motorcycle.</v>
      </c>
    </row>
    <row r="484" ht="15.75" customHeight="1">
      <c r="A484" s="2">
        <v>3.0</v>
      </c>
      <c r="B484" s="2" t="s">
        <v>1458</v>
      </c>
      <c r="C484" s="2" t="s">
        <v>1459</v>
      </c>
      <c r="D484" s="2" t="s">
        <v>13</v>
      </c>
      <c r="E484" s="2" t="s">
        <v>14</v>
      </c>
      <c r="F484" s="2" t="s">
        <v>15</v>
      </c>
      <c r="G484" s="2" t="s">
        <v>841</v>
      </c>
      <c r="H484" s="2" t="s">
        <v>52</v>
      </c>
      <c r="I484" s="2" t="str">
        <f>IFERROR(__xludf.DUMMYFUNCTION("GOOGLETRANSLATE(C484,""fr"",""en"")"),"I am satisfied with the simplicity and speed of processing of my request. Only downside, I do not find in your contract the value to be noted in my current contract, a significant option.")</f>
        <v>I am satisfied with the simplicity and speed of processing of my request. Only downside, I do not find in your contract the value to be noted in my current contract, a significant option.</v>
      </c>
    </row>
    <row r="485" ht="15.75" customHeight="1">
      <c r="A485" s="2">
        <v>1.0</v>
      </c>
      <c r="B485" s="2" t="s">
        <v>1460</v>
      </c>
      <c r="C485" s="2" t="s">
        <v>1461</v>
      </c>
      <c r="D485" s="2" t="s">
        <v>28</v>
      </c>
      <c r="E485" s="2" t="s">
        <v>40</v>
      </c>
      <c r="F485" s="2" t="s">
        <v>15</v>
      </c>
      <c r="G485" s="2" t="s">
        <v>687</v>
      </c>
      <c r="H485" s="2" t="s">
        <v>363</v>
      </c>
      <c r="I485" s="2" t="str">
        <f>IFERROR(__xludf.DUMMYFUNCTION("GOOGLETRANSLATE(C485,""fr"",""en"")"),"Oh! How much I complain about the unhappy disaster victims of the Maritime Alps region having undergone a simple burglary, not to mention those who have been affected in the Vésubie or Roya valley! We will have to have a huge patience ...
As far as I am "&amp;"concerned, I was robbed at the end of October when I was on vacation in Corsica and after having communicated all the documents claimed by the claim service which sought to retreat as much as possible the time of compensation in Claiming information that "&amp;"was not necessarily necessary such as the registration number of vehicles whose keys had been stolen (not the vehicles they provide and of which they have registrations, not just keys !!!). So it's already almost 2 months old and despite my messages on th"&amp;"e site via internal messaging, I have, to date, always no news !!! I asked for an appointment with the director of my agency and according to the result of this meeting, I would take the legal path or not ...! I would keep you informed ...
")</f>
        <v>Oh! How much I complain about the unhappy disaster victims of the Maritime Alps region having undergone a simple burglary, not to mention those who have been affected in the Vésubie or Roya valley! We will have to have a huge patience ...
As far as I am concerned, I was robbed at the end of October when I was on vacation in Corsica and after having communicated all the documents claimed by the claim service which sought to retreat as much as possible the time of compensation in Claiming information that was not necessarily necessary such as the registration number of vehicles whose keys had been stolen (not the vehicles they provide and of which they have registrations, not just keys !!!). So it's already almost 2 months old and despite my messages on the site via internal messaging, I have, to date, always no news !!! I asked for an appointment with the director of my agency and according to the result of this meeting, I would take the legal path or not ...! I would keep you informed ...
</v>
      </c>
    </row>
    <row r="486" ht="15.75" customHeight="1">
      <c r="A486" s="2">
        <v>1.0</v>
      </c>
      <c r="B486" s="2" t="s">
        <v>1462</v>
      </c>
      <c r="C486" s="2" t="s">
        <v>1463</v>
      </c>
      <c r="D486" s="2" t="s">
        <v>231</v>
      </c>
      <c r="E486" s="2" t="s">
        <v>34</v>
      </c>
      <c r="F486" s="2" t="s">
        <v>15</v>
      </c>
      <c r="G486" s="2" t="s">
        <v>1274</v>
      </c>
      <c r="H486" s="2" t="s">
        <v>331</v>
      </c>
      <c r="I486" s="2" t="str">
        <f>IFERROR(__xludf.DUMMYFUNCTION("GOOGLETRANSLATE(C486,""fr"",""en"")"),"I desperately try to reach them in order to obtain my paid third party card. I left 4 emails without any response, they are unreachable on the phone. No responsiveness.")</f>
        <v>I desperately try to reach them in order to obtain my paid third party card. I left 4 emails without any response, they are unreachable on the phone. No responsiveness.</v>
      </c>
    </row>
    <row r="487" ht="15.75" customHeight="1">
      <c r="A487" s="2">
        <v>1.0</v>
      </c>
      <c r="B487" s="2" t="s">
        <v>1464</v>
      </c>
      <c r="C487" s="2" t="s">
        <v>1465</v>
      </c>
      <c r="D487" s="2" t="s">
        <v>809</v>
      </c>
      <c r="E487" s="2" t="s">
        <v>34</v>
      </c>
      <c r="F487" s="2" t="s">
        <v>15</v>
      </c>
      <c r="G487" s="2" t="s">
        <v>1466</v>
      </c>
      <c r="H487" s="2" t="s">
        <v>381</v>
      </c>
      <c r="I487" s="2" t="str">
        <f>IFERROR(__xludf.DUMMYFUNCTION("GOOGLETRANSLATE(C487,""fr"",""en"")"),"My employer to send the documents several resumptions. They say they have received nothing. Document send 5 times. I am told that I am not in their database. He put us in a very complex situation. Knowing that there has been a sample on my pay sheet for 1"&amp;" year. I wonder what is it with letters ?? Mail sending several months ago and no trace in computer data? Here is what I am answering each call !!! Now we are in a situation complicate with my family")</f>
        <v>My employer to send the documents several resumptions. They say they have received nothing. Document send 5 times. I am told that I am not in their database. He put us in a very complex situation. Knowing that there has been a sample on my pay sheet for 1 year. I wonder what is it with letters ?? Mail sending several months ago and no trace in computer data? Here is what I am answering each call !!! Now we are in a situation complicate with my family</v>
      </c>
    </row>
    <row r="488" ht="15.75" customHeight="1">
      <c r="A488" s="2">
        <v>4.0</v>
      </c>
      <c r="B488" s="2" t="s">
        <v>1467</v>
      </c>
      <c r="C488" s="2" t="s">
        <v>1468</v>
      </c>
      <c r="D488" s="2" t="s">
        <v>13</v>
      </c>
      <c r="E488" s="2" t="s">
        <v>14</v>
      </c>
      <c r="F488" s="2" t="s">
        <v>15</v>
      </c>
      <c r="G488" s="2" t="s">
        <v>1469</v>
      </c>
      <c r="H488" s="2" t="s">
        <v>84</v>
      </c>
      <c r="I488" s="2" t="str">
        <f>IFERROR(__xludf.DUMMYFUNCTION("GOOGLETRANSLATE(C488,""fr"",""en"")"),"The prices are suitable and I am very satisfied with the service.
Very easy and fast to take out insurance, the staff listening to our needs")</f>
        <v>The prices are suitable and I am very satisfied with the service.
Very easy and fast to take out insurance, the staff listening to our needs</v>
      </c>
    </row>
    <row r="489" ht="15.75" customHeight="1">
      <c r="A489" s="2">
        <v>2.0</v>
      </c>
      <c r="B489" s="2" t="s">
        <v>1470</v>
      </c>
      <c r="C489" s="2" t="s">
        <v>1471</v>
      </c>
      <c r="D489" s="2" t="s">
        <v>28</v>
      </c>
      <c r="E489" s="2" t="s">
        <v>14</v>
      </c>
      <c r="F489" s="2" t="s">
        <v>15</v>
      </c>
      <c r="G489" s="2" t="s">
        <v>363</v>
      </c>
      <c r="H489" s="2" t="s">
        <v>363</v>
      </c>
      <c r="I489" s="2" t="str">
        <f>IFERROR(__xludf.DUMMYFUNCTION("GOOGLETRANSLATE(C489,""fr"",""en"")"),"After several years of loyalty he just canceled me because in 3 years I had 3 claims with 2 different cars here is the thank you as long as you pay and they have nothing to spend this suits them if we do the calculation of the sum that I paid throughout h"&amp;"is years they are largely winning in relation to it that they had to pay .... no how in short")</f>
        <v>After several years of loyalty he just canceled me because in 3 years I had 3 claims with 2 different cars here is the thank you as long as you pay and they have nothing to spend this suits them if we do the calculation of the sum that I paid throughout his years they are largely winning in relation to it that they had to pay .... no how in short</v>
      </c>
    </row>
    <row r="490" ht="15.75" customHeight="1">
      <c r="A490" s="2">
        <v>3.0</v>
      </c>
      <c r="B490" s="2" t="s">
        <v>1472</v>
      </c>
      <c r="C490" s="2" t="s">
        <v>1473</v>
      </c>
      <c r="D490" s="2" t="s">
        <v>13</v>
      </c>
      <c r="E490" s="2" t="s">
        <v>14</v>
      </c>
      <c r="F490" s="2" t="s">
        <v>15</v>
      </c>
      <c r="G490" s="2" t="s">
        <v>1474</v>
      </c>
      <c r="H490" s="2" t="s">
        <v>73</v>
      </c>
      <c r="I490" s="2" t="str">
        <f>IFERROR(__xludf.DUMMYFUNCTION("GOOGLETRANSLATE(C490,""fr"",""en"")"),"I am satisfied with the simple and practical service thank you very much
I also recommend that everyone go for it
My audi will be well protected thanks to you")</f>
        <v>I am satisfied with the simple and practical service thank you very much
I also recommend that everyone go for it
My audi will be well protected thanks to you</v>
      </c>
    </row>
    <row r="491" ht="15.75" customHeight="1">
      <c r="A491" s="2">
        <v>5.0</v>
      </c>
      <c r="B491" s="2" t="s">
        <v>1475</v>
      </c>
      <c r="C491" s="2" t="s">
        <v>1476</v>
      </c>
      <c r="D491" s="2" t="s">
        <v>13</v>
      </c>
      <c r="E491" s="2" t="s">
        <v>14</v>
      </c>
      <c r="F491" s="2" t="s">
        <v>15</v>
      </c>
      <c r="G491" s="2" t="s">
        <v>567</v>
      </c>
      <c r="H491" s="2" t="s">
        <v>42</v>
      </c>
      <c r="I491" s="2" t="str">
        <f>IFERROR(__xludf.DUMMYFUNCTION("GOOGLETRANSLATE(C491,""fr"",""en"")"),"I am satisfied with this excellent service service nothing to say about the reliability and speed of the site thank you for your organization which is very easy to access it")</f>
        <v>I am satisfied with this excellent service service nothing to say about the reliability and speed of the site thank you for your organization which is very easy to access it</v>
      </c>
    </row>
    <row r="492" ht="15.75" customHeight="1">
      <c r="A492" s="2">
        <v>5.0</v>
      </c>
      <c r="B492" s="2" t="s">
        <v>1477</v>
      </c>
      <c r="C492" s="2" t="s">
        <v>1478</v>
      </c>
      <c r="D492" s="2" t="s">
        <v>24</v>
      </c>
      <c r="E492" s="2" t="s">
        <v>14</v>
      </c>
      <c r="F492" s="2" t="s">
        <v>15</v>
      </c>
      <c r="G492" s="2" t="s">
        <v>41</v>
      </c>
      <c r="H492" s="2" t="s">
        <v>42</v>
      </c>
      <c r="I492" s="2" t="str">
        <f>IFERROR(__xludf.DUMMYFUNCTION("GOOGLETRANSLATE(C492,""fr"",""en"")"),"Very responsive and really attractive prices I recommend that you have a lot of people advise them are very welcoming and we have a lot of thank you")</f>
        <v>Very responsive and really attractive prices I recommend that you have a lot of people advise them are very welcoming and we have a lot of thank you</v>
      </c>
    </row>
    <row r="493" ht="15.75" customHeight="1">
      <c r="A493" s="2">
        <v>1.0</v>
      </c>
      <c r="B493" s="2" t="s">
        <v>1479</v>
      </c>
      <c r="C493" s="2" t="s">
        <v>1480</v>
      </c>
      <c r="D493" s="2" t="s">
        <v>493</v>
      </c>
      <c r="E493" s="2" t="s">
        <v>14</v>
      </c>
      <c r="F493" s="2" t="s">
        <v>15</v>
      </c>
      <c r="G493" s="2" t="s">
        <v>1481</v>
      </c>
      <c r="H493" s="2" t="s">
        <v>363</v>
      </c>
      <c r="I493" s="2" t="str">
        <f>IFERROR(__xludf.DUMMYFUNCTION("GOOGLETRANSLATE(C493,""fr"",""en"")"),"An infinite time to finally be in contact with someone
A significant request not taken into account an insurance request by email that I still expect because I am leaving tomorrow for 500 km
Are you able to provide this service?
Or I will address mysel"&amp;"f elsewhere
Thank you")</f>
        <v>An infinite time to finally be in contact with someone
A significant request not taken into account an insurance request by email that I still expect because I am leaving tomorrow for 500 km
Are you able to provide this service?
Or I will address myself elsewhere
Thank you</v>
      </c>
    </row>
    <row r="494" ht="15.75" customHeight="1">
      <c r="A494" s="2">
        <v>1.0</v>
      </c>
      <c r="B494" s="2" t="s">
        <v>1482</v>
      </c>
      <c r="C494" s="2" t="s">
        <v>1483</v>
      </c>
      <c r="D494" s="2" t="s">
        <v>45</v>
      </c>
      <c r="E494" s="2" t="s">
        <v>56</v>
      </c>
      <c r="F494" s="2" t="s">
        <v>15</v>
      </c>
      <c r="G494" s="2" t="s">
        <v>1484</v>
      </c>
      <c r="H494" s="2" t="s">
        <v>339</v>
      </c>
      <c r="I494" s="2" t="str">
        <f>IFERROR(__xludf.DUMMYFUNCTION("GOOGLETRANSLATE(C494,""fr"",""en"")"),"We have been insured for over 30 years at AXA, we changed agencies a few years ago because our AXA insurer retired, then the contributions increased for no reason. The agency manager then left overnight, we can no longer join someone and we feel like we a"&amp;"re only to pay the contributions (we have about fifteen contracts).
We recently signed a motorcycle contract for our son, when we received the contract to sign we realized that the bonus was not correct, we called our agency which told us that we will be"&amp;" reminded and that we We will send a new contract. After several calls (from us because our AXA agency never reminds us !!!), we are told that the bonus does not change the subscription, and since May 13, 2018 we still have no signed contract (because Eve"&amp;"n if it does not change the subscription if it exists, it must be used for something).
Our second son is also assured at AXA for a scooter, he had 2 clashes or he was not in wrong, (on the 2nd he was not even compensated), and we receive his new subscrip"&amp;"tion with an increase in 400 euros per year (it went from 1263 to 1662 euros, I dare not even imagine the amount of the subscription if it had been in wrong !!!). After several calls because I am still not reminded me, I am explained to me that it is norm"&amp;"al because even if it is not in wrong, it generates costs, and that we cannot modify the subscription. We are waiting for a few more days and if the situation is not recovered, we will be obliged to terminate all our contracts from AXA.
")</f>
        <v>We have been insured for over 30 years at AXA, we changed agencies a few years ago because our AXA insurer retired, then the contributions increased for no reason. The agency manager then left overnight, we can no longer join someone and we feel like we are only to pay the contributions (we have about fifteen contracts).
We recently signed a motorcycle contract for our son, when we received the contract to sign we realized that the bonus was not correct, we called our agency which told us that we will be reminded and that we We will send a new contract. After several calls (from us because our AXA agency never reminds us !!!), we are told that the bonus does not change the subscription, and since May 13, 2018 we still have no signed contract (because Even if it does not change the subscription if it exists, it must be used for something).
Our second son is also assured at AXA for a scooter, he had 2 clashes or he was not in wrong, (on the 2nd he was not even compensated), and we receive his new subscription with an increase in 400 euros per year (it went from 1263 to 1662 euros, I dare not even imagine the amount of the subscription if it had been in wrong !!!). After several calls because I am still not reminded me, I am explained to me that it is normal because even if it is not in wrong, it generates costs, and that we cannot modify the subscription. We are waiting for a few more days and if the situation is not recovered, we will be obliged to terminate all our contracts from AXA.
</v>
      </c>
    </row>
    <row r="495" ht="15.75" customHeight="1">
      <c r="A495" s="2">
        <v>1.0</v>
      </c>
      <c r="B495" s="2" t="s">
        <v>1485</v>
      </c>
      <c r="C495" s="2" t="s">
        <v>1486</v>
      </c>
      <c r="D495" s="2" t="s">
        <v>209</v>
      </c>
      <c r="E495" s="2" t="s">
        <v>14</v>
      </c>
      <c r="F495" s="2" t="s">
        <v>15</v>
      </c>
      <c r="G495" s="2" t="s">
        <v>1487</v>
      </c>
      <c r="H495" s="2" t="s">
        <v>144</v>
      </c>
      <c r="I495" s="2" t="str">
        <f>IFERROR(__xludf.DUMMYFUNCTION("GOOGLETRANSLATE(C495,""fr"",""en"")"),"In wrong, they do not question each other and force the insured to advance the repair costs.
Very bad insurance.
The claims service takes high customers and does not seek to solve the problems they have caused.
I have to seize justice through consumer "&amp;"associations to advance my file and avoid financial problems.")</f>
        <v>In wrong, they do not question each other and force the insured to advance the repair costs.
Very bad insurance.
The claims service takes high customers and does not seek to solve the problems they have caused.
I have to seize justice through consumer associations to advance my file and avoid financial problems.</v>
      </c>
    </row>
    <row r="496" ht="15.75" customHeight="1">
      <c r="A496" s="2">
        <v>3.0</v>
      </c>
      <c r="B496" s="2" t="s">
        <v>1488</v>
      </c>
      <c r="C496" s="2" t="s">
        <v>1489</v>
      </c>
      <c r="D496" s="2" t="s">
        <v>13</v>
      </c>
      <c r="E496" s="2" t="s">
        <v>14</v>
      </c>
      <c r="F496" s="2" t="s">
        <v>15</v>
      </c>
      <c r="G496" s="2" t="s">
        <v>384</v>
      </c>
      <c r="H496" s="2" t="s">
        <v>21</v>
      </c>
      <c r="I496" s="2" t="str">
        <f>IFERROR(__xludf.DUMMYFUNCTION("GOOGLETRANSLATE(C496,""fr"",""en"")"),"Contract done very quickly, I am happy. Done in Lign, E in a few minutes, extremely practical and easy. I recommend
Cordially thank you very much.")</f>
        <v>Contract done very quickly, I am happy. Done in Lign, E in a few minutes, extremely practical and easy. I recommend
Cordially thank you very much.</v>
      </c>
    </row>
    <row r="497" ht="15.75" customHeight="1">
      <c r="A497" s="2">
        <v>5.0</v>
      </c>
      <c r="B497" s="2" t="s">
        <v>1490</v>
      </c>
      <c r="C497" s="2" t="s">
        <v>1491</v>
      </c>
      <c r="D497" s="2" t="s">
        <v>13</v>
      </c>
      <c r="E497" s="2" t="s">
        <v>14</v>
      </c>
      <c r="F497" s="2" t="s">
        <v>15</v>
      </c>
      <c r="G497" s="2" t="s">
        <v>447</v>
      </c>
      <c r="H497" s="2" t="s">
        <v>84</v>
      </c>
      <c r="I497" s="2" t="str">
        <f>IFERROR(__xludf.DUMMYFUNCTION("GOOGLETRANSLATE(C497,""fr"",""en"")"),"I am satisfied with the service
Price satisfied
Pleasant and very kind advisor
I would recommend your insurance firm for me.")</f>
        <v>I am satisfied with the service
Price satisfied
Pleasant and very kind advisor
I would recommend your insurance firm for me.</v>
      </c>
    </row>
    <row r="498" ht="15.75" customHeight="1">
      <c r="A498" s="2">
        <v>1.0</v>
      </c>
      <c r="B498" s="2" t="s">
        <v>1492</v>
      </c>
      <c r="C498" s="2" t="s">
        <v>1493</v>
      </c>
      <c r="D498" s="2" t="s">
        <v>809</v>
      </c>
      <c r="E498" s="2" t="s">
        <v>66</v>
      </c>
      <c r="F498" s="2" t="s">
        <v>15</v>
      </c>
      <c r="G498" s="2" t="s">
        <v>1494</v>
      </c>
      <c r="H498" s="2" t="s">
        <v>614</v>
      </c>
      <c r="I498" s="2" t="str">
        <f>IFERROR(__xludf.DUMMYFUNCTION("GOOGLETRANSLATE(C498,""fr"",""en"")"),"Prohibitive contracts at the head of the customer, non -existent customer service, radar follow -up, reactivity to shout with despair!
Interminable waiting times on the phone due to saturation of services, paradoxical explanations and without monitoring!"&amp;"
We are likely to terminate the contract for fault.")</f>
        <v>Prohibitive contracts at the head of the customer, non -existent customer service, radar follow -up, reactivity to shout with despair!
Interminable waiting times on the phone due to saturation of services, paradoxical explanations and without monitoring!
We are likely to terminate the contract for fault.</v>
      </c>
    </row>
    <row r="499" ht="15.75" customHeight="1">
      <c r="A499" s="2">
        <v>1.0</v>
      </c>
      <c r="B499" s="2" t="s">
        <v>1495</v>
      </c>
      <c r="C499" s="2" t="s">
        <v>1496</v>
      </c>
      <c r="D499" s="2" t="s">
        <v>376</v>
      </c>
      <c r="E499" s="2" t="s">
        <v>34</v>
      </c>
      <c r="F499" s="2" t="s">
        <v>15</v>
      </c>
      <c r="G499" s="2" t="s">
        <v>555</v>
      </c>
      <c r="H499" s="2" t="s">
        <v>42</v>
      </c>
      <c r="I499" s="2" t="str">
        <f>IFERROR(__xludf.DUMMYFUNCTION("GOOGLETRANSLATE(C499,""fr"",""en"")"),"A huge strip of branquignols, to stay polite. Adjustable advisers but which are useless, and absolutely never respect their commitment. Unable to honor our contract, I have never received my paid third party card for 3 years, preventing myself from benefi"&amp;"ting from the rights that are due to me. The service is not even execrable, it is nonexistent, imaginary. I plan to file a complaint")</f>
        <v>A huge strip of branquignols, to stay polite. Adjustable advisers but which are useless, and absolutely never respect their commitment. Unable to honor our contract, I have never received my paid third party card for 3 years, preventing myself from benefiting from the rights that are due to me. The service is not even execrable, it is nonexistent, imaginary. I plan to file a complaint</v>
      </c>
    </row>
    <row r="500" ht="15.75" customHeight="1">
      <c r="A500" s="2">
        <v>2.0</v>
      </c>
      <c r="B500" s="2" t="s">
        <v>1497</v>
      </c>
      <c r="C500" s="2" t="s">
        <v>1498</v>
      </c>
      <c r="D500" s="2" t="s">
        <v>24</v>
      </c>
      <c r="E500" s="2" t="s">
        <v>14</v>
      </c>
      <c r="F500" s="2" t="s">
        <v>15</v>
      </c>
      <c r="G500" s="2" t="s">
        <v>1499</v>
      </c>
      <c r="H500" s="2" t="s">
        <v>180</v>
      </c>
      <c r="I500" s="2" t="str">
        <f>IFERROR(__xludf.DUMMYFUNCTION("GOOGLETRANSLATE(C500,""fr"",""en"")"),"When it comes to taking out a contract nothing to say they are very helpful, but for the future it is not the same thing. I signed a contract which in the end did not like in terms of price since nothing to do with the quote received by email, the next da"&amp;"y he offers to cancel it and they make me a new proposal 1 month later it send me An endorsement because the date of my license was not good and on the next generation of my wife has a break of ice that I did not know on the amendment increase in the pric"&amp;"e that I refuse. So reimbursement on the first the payment of € 173 refunded 135 and on the contract which I did not accept the addendum paid € 641 reimbursed 490, I call that the flight the refusal of the addendum was made at the end of 'one month 641/12"&amp;" = 53 € and not 150 €")</f>
        <v>When it comes to taking out a contract nothing to say they are very helpful, but for the future it is not the same thing. I signed a contract which in the end did not like in terms of price since nothing to do with the quote received by email, the next day he offers to cancel it and they make me a new proposal 1 month later it send me An endorsement because the date of my license was not good and on the next generation of my wife has a break of ice that I did not know on the amendment increase in the price that I refuse. So reimbursement on the first the payment of € 173 refunded 135 and on the contract which I did not accept the addendum paid € 641 reimbursed 490, I call that the flight the refusal of the addendum was made at the end of 'one month 641/12 = 53 € and not 150 €</v>
      </c>
    </row>
    <row r="501" ht="15.75" customHeight="1">
      <c r="A501" s="2">
        <v>3.0</v>
      </c>
      <c r="B501" s="2" t="s">
        <v>1500</v>
      </c>
      <c r="C501" s="2" t="s">
        <v>1501</v>
      </c>
      <c r="D501" s="2" t="s">
        <v>96</v>
      </c>
      <c r="E501" s="2" t="s">
        <v>46</v>
      </c>
      <c r="F501" s="2" t="s">
        <v>15</v>
      </c>
      <c r="G501" s="2" t="s">
        <v>1502</v>
      </c>
      <c r="H501" s="2" t="s">
        <v>495</v>
      </c>
      <c r="I501" s="2" t="str">
        <f>IFERROR(__xludf.DUMMYFUNCTION("GOOGLETRANSLATE(C501,""fr"",""en"")"),"hello ;
Beneficiary of life insurance following the death of my grandparents in November 2016 today we are on March 14, 2017 is always carried out by boat by Cardif, February 16, 2016 a certain Mr Na .... Ro contact me for me To say that my share of the "&amp;"contract has just been fired on my account and that it has also made the payment of the taxes concerning the contract but to date on March 14, 2017 nothing absolutely nothing, cardif this mock of us I call them , I write to them but nothing I go around in"&amp;" circles, and cardif makes me shot in a watery, he always finds excuses, but on the email of Mr Na ... ro of February 16 and well everything is well specified and he says that The file is complete so up to date I contacted the APCR, my lawyers, and I will"&amp;" ask for a check at the service of insurance controls because according to my lawyers it is one month counted from the date where my file is complete either January 30, so I don't think Cardif was so long to take money from my great entits
Please Cardif "&amp;"Set this contract for I can finally close this page of my life Sad")</f>
        <v>hello ;
Beneficiary of life insurance following the death of my grandparents in November 2016 today we are on March 14, 2017 is always carried out by boat by Cardif, February 16, 2016 a certain Mr Na .... Ro contact me for me To say that my share of the contract has just been fired on my account and that it has also made the payment of the taxes concerning the contract but to date on March 14, 2017 nothing absolutely nothing, cardif this mock of us I call them , I write to them but nothing I go around in circles, and cardif makes me shot in a watery, he always finds excuses, but on the email of Mr Na ... ro of February 16 and well everything is well specified and he says that The file is complete so up to date I contacted the APCR, my lawyers, and I will ask for a check at the service of insurance controls because according to my lawyers it is one month counted from the date where my file is complete either January 30, so I don't think Cardif was so long to take money from my great entits
Please Cardif Set this contract for I can finally close this page of my life Sad</v>
      </c>
    </row>
    <row r="502" ht="15.75" customHeight="1">
      <c r="A502" s="2">
        <v>5.0</v>
      </c>
      <c r="B502" s="2" t="s">
        <v>1503</v>
      </c>
      <c r="C502" s="2" t="s">
        <v>1504</v>
      </c>
      <c r="D502" s="2" t="s">
        <v>24</v>
      </c>
      <c r="E502" s="2" t="s">
        <v>14</v>
      </c>
      <c r="F502" s="2" t="s">
        <v>15</v>
      </c>
      <c r="G502" s="2" t="s">
        <v>1033</v>
      </c>
      <c r="H502" s="2" t="s">
        <v>21</v>
      </c>
      <c r="I502" s="2" t="str">
        <f>IFERROR(__xludf.DUMMYFUNCTION("GOOGLETRANSLATE(C502,""fr"",""en"")"),"Very serious and fast for commissioning ...
Very interesting rates.
Instant shipping of the Provisional green card.
I recommend Olivier Insurance.")</f>
        <v>Very serious and fast for commissioning ...
Very interesting rates.
Instant shipping of the Provisional green card.
I recommend Olivier Insurance.</v>
      </c>
    </row>
    <row r="503" ht="15.75" customHeight="1">
      <c r="A503" s="2">
        <v>1.0</v>
      </c>
      <c r="B503" s="2" t="s">
        <v>1505</v>
      </c>
      <c r="C503" s="2" t="s">
        <v>1506</v>
      </c>
      <c r="D503" s="2" t="s">
        <v>1507</v>
      </c>
      <c r="E503" s="2" t="s">
        <v>268</v>
      </c>
      <c r="F503" s="2" t="s">
        <v>15</v>
      </c>
      <c r="G503" s="2" t="s">
        <v>291</v>
      </c>
      <c r="H503" s="2" t="s">
        <v>292</v>
      </c>
      <c r="I503" s="2" t="str">
        <f>IFERROR(__xludf.DUMMYFUNCTION("GOOGLETRANSLATE(C503,""fr"",""en"")"),"I was quite happy with them until qq months when my bank warns me that the monthly payment has doubled! No info from them! And their explanations: my dog ​​consumed all care! But isn't that the Baba of insurance? !!!! I do not even tell you about the adve"&amp;"rtisement made with my entourage! I am very angry because they do not even bother to respond to my emails. So I am in litigation. Thank you Assuro Happy for showing you in your real light ...
Sandrine Sabatier")</f>
        <v>I was quite happy with them until qq months when my bank warns me that the monthly payment has doubled! No info from them! And their explanations: my dog ​​consumed all care! But isn't that the Baba of insurance? !!!! I do not even tell you about the advertisement made with my entourage! I am very angry because they do not even bother to respond to my emails. So I am in litigation. Thank you Assuro Happy for showing you in your real light ...
Sandrine Sabatier</v>
      </c>
    </row>
    <row r="504" ht="15.75" customHeight="1">
      <c r="A504" s="2">
        <v>3.0</v>
      </c>
      <c r="B504" s="2" t="s">
        <v>1508</v>
      </c>
      <c r="C504" s="2" t="s">
        <v>1509</v>
      </c>
      <c r="D504" s="2" t="s">
        <v>134</v>
      </c>
      <c r="E504" s="2" t="s">
        <v>56</v>
      </c>
      <c r="F504" s="2" t="s">
        <v>15</v>
      </c>
      <c r="G504" s="2" t="s">
        <v>318</v>
      </c>
      <c r="H504" s="2" t="s">
        <v>17</v>
      </c>
      <c r="I504" s="2" t="str">
        <f>IFERROR(__xludf.DUMMYFUNCTION("GOOGLETRANSLATE(C504,""fr"",""en"")"),"I am satisfied with the insurance I have subscribed I recommend it to those around me have a two wheels
I'm just waiting to receive the final thumbnail")</f>
        <v>I am satisfied with the insurance I have subscribed I recommend it to those around me have a two wheels
I'm just waiting to receive the final thumbnail</v>
      </c>
    </row>
    <row r="505" ht="15.75" customHeight="1">
      <c r="A505" s="2">
        <v>4.0</v>
      </c>
      <c r="B505" s="2" t="s">
        <v>1510</v>
      </c>
      <c r="C505" s="2" t="s">
        <v>1511</v>
      </c>
      <c r="D505" s="2" t="s">
        <v>13</v>
      </c>
      <c r="E505" s="2" t="s">
        <v>14</v>
      </c>
      <c r="F505" s="2" t="s">
        <v>15</v>
      </c>
      <c r="G505" s="2" t="s">
        <v>420</v>
      </c>
      <c r="H505" s="2" t="s">
        <v>42</v>
      </c>
      <c r="I505" s="2" t="str">
        <f>IFERROR(__xludf.DUMMYFUNCTION("GOOGLETRANSLATE(C505,""fr"",""en"")"),"Online service is really simple, in addition it is very fast and effective it takes care of everything with our old insurance I am really satisfied at the moment
")</f>
        <v>Online service is really simple, in addition it is very fast and effective it takes care of everything with our old insurance I am really satisfied at the moment
</v>
      </c>
    </row>
    <row r="506" ht="15.75" customHeight="1">
      <c r="A506" s="2">
        <v>1.0</v>
      </c>
      <c r="B506" s="2" t="s">
        <v>1512</v>
      </c>
      <c r="C506" s="2" t="s">
        <v>1513</v>
      </c>
      <c r="D506" s="2" t="s">
        <v>45</v>
      </c>
      <c r="E506" s="2" t="s">
        <v>40</v>
      </c>
      <c r="F506" s="2" t="s">
        <v>15</v>
      </c>
      <c r="G506" s="2" t="s">
        <v>539</v>
      </c>
      <c r="H506" s="2" t="s">
        <v>540</v>
      </c>
      <c r="I506" s="2" t="str">
        <f>IFERROR(__xludf.DUMMYFUNCTION("GOOGLETRANSLATE(C506,""fr"",""en"")"),"Really disappointed, and I feel duped and abandoned, my family and me! Victim of a fire due to a negligent neighbor, no return from them or even a call or even a customer service faithful to the concern of monitoring our file! Yet the advertising campaign"&amp;" shows us the opposite! While that is more than fifteen years of loyalty, we will decide to separate from them with a lot of regret !!! Disappointed as we are victims! Maghreb platform and nobody has estimated the value of our contract to the merit of a p"&amp;"ower or not better contract that we had taken out we have kept all the invoices for more than ten years!
All our property has been revised downwards, our neglected bills, and the news never taken into account ... that it sadness ...")</f>
        <v>Really disappointed, and I feel duped and abandoned, my family and me! Victim of a fire due to a negligent neighbor, no return from them or even a call or even a customer service faithful to the concern of monitoring our file! Yet the advertising campaign shows us the opposite! While that is more than fifteen years of loyalty, we will decide to separate from them with a lot of regret !!! Disappointed as we are victims! Maghreb platform and nobody has estimated the value of our contract to the merit of a power or not better contract that we had taken out we have kept all the invoices for more than ten years!
All our property has been revised downwards, our neglected bills, and the news never taken into account ... that it sadness ...</v>
      </c>
    </row>
    <row r="507" ht="15.75" customHeight="1">
      <c r="A507" s="2">
        <v>3.0</v>
      </c>
      <c r="B507" s="2" t="s">
        <v>1514</v>
      </c>
      <c r="C507" s="2" t="s">
        <v>1515</v>
      </c>
      <c r="D507" s="2" t="s">
        <v>209</v>
      </c>
      <c r="E507" s="2" t="s">
        <v>14</v>
      </c>
      <c r="F507" s="2" t="s">
        <v>15</v>
      </c>
      <c r="G507" s="2" t="s">
        <v>1516</v>
      </c>
      <c r="H507" s="2" t="s">
        <v>331</v>
      </c>
      <c r="I507" s="2" t="str">
        <f>IFERROR(__xludf.DUMMYFUNCTION("GOOGLETRANSLATE(C507,""fr"",""en"")"),"He reimburses your franchise for you during confinement as a caregiver and tell you that he saw you at the end of the contract because 2 sinister is too ironic")</f>
        <v>He reimburses your franchise for you during confinement as a caregiver and tell you that he saw you at the end of the contract because 2 sinister is too ironic</v>
      </c>
    </row>
    <row r="508" ht="15.75" customHeight="1">
      <c r="A508" s="2">
        <v>4.0</v>
      </c>
      <c r="B508" s="2" t="s">
        <v>1517</v>
      </c>
      <c r="C508" s="2" t="s">
        <v>1518</v>
      </c>
      <c r="D508" s="2" t="s">
        <v>13</v>
      </c>
      <c r="E508" s="2" t="s">
        <v>14</v>
      </c>
      <c r="F508" s="2" t="s">
        <v>15</v>
      </c>
      <c r="G508" s="2" t="s">
        <v>20</v>
      </c>
      <c r="H508" s="2" t="s">
        <v>21</v>
      </c>
      <c r="I508" s="2" t="str">
        <f>IFERROR(__xludf.DUMMYFUNCTION("GOOGLETRANSLATE(C508,""fr"",""en"")"),"Quick and simple to set up., I am really satisfied with the service.
Hope that everything else goes as well.
Recommend to all who does not like endless administrative procedures !!!")</f>
        <v>Quick and simple to set up., I am really satisfied with the service.
Hope that everything else goes as well.
Recommend to all who does not like endless administrative procedures !!!</v>
      </c>
    </row>
    <row r="509" ht="15.75" customHeight="1">
      <c r="A509" s="2">
        <v>4.0</v>
      </c>
      <c r="B509" s="2" t="s">
        <v>1519</v>
      </c>
      <c r="C509" s="2" t="s">
        <v>1520</v>
      </c>
      <c r="D509" s="2" t="s">
        <v>24</v>
      </c>
      <c r="E509" s="2" t="s">
        <v>14</v>
      </c>
      <c r="F509" s="2" t="s">
        <v>15</v>
      </c>
      <c r="G509" s="2" t="s">
        <v>1149</v>
      </c>
      <c r="H509" s="2" t="s">
        <v>167</v>
      </c>
      <c r="I509" s="2" t="str">
        <f>IFERROR(__xludf.DUMMYFUNCTION("GOOGLETRANSLATE(C509,""fr"",""en"")"),"Easy and quick but still expensive to ensure an 8 -year -old used car for a third party for a student who begins an alternation with limited means")</f>
        <v>Easy and quick but still expensive to ensure an 8 -year -old used car for a third party for a student who begins an alternation with limited means</v>
      </c>
    </row>
    <row r="510" ht="15.75" customHeight="1">
      <c r="A510" s="2">
        <v>3.0</v>
      </c>
      <c r="B510" s="2" t="s">
        <v>1521</v>
      </c>
      <c r="C510" s="2" t="s">
        <v>1522</v>
      </c>
      <c r="D510" s="2" t="s">
        <v>55</v>
      </c>
      <c r="E510" s="2" t="s">
        <v>56</v>
      </c>
      <c r="F510" s="2" t="s">
        <v>15</v>
      </c>
      <c r="G510" s="2" t="s">
        <v>57</v>
      </c>
      <c r="H510" s="2" t="s">
        <v>21</v>
      </c>
      <c r="I510" s="2" t="str">
        <f>IFERROR(__xludf.DUMMYFUNCTION("GOOGLETRANSLATE(C510,""fr"",""en"")"),"Super attractive very low price
Very fast to be insured
I advise it strongly
A friend advised me for your motorcycle insurance site. You are unbeatable")</f>
        <v>Super attractive very low price
Very fast to be insured
I advise it strongly
A friend advised me for your motorcycle insurance site. You are unbeatable</v>
      </c>
    </row>
    <row r="511" ht="15.75" customHeight="1">
      <c r="A511" s="2">
        <v>1.0</v>
      </c>
      <c r="B511" s="2" t="s">
        <v>1523</v>
      </c>
      <c r="C511" s="2" t="s">
        <v>1524</v>
      </c>
      <c r="D511" s="2" t="s">
        <v>376</v>
      </c>
      <c r="E511" s="2" t="s">
        <v>34</v>
      </c>
      <c r="F511" s="2" t="s">
        <v>15</v>
      </c>
      <c r="G511" s="2" t="s">
        <v>1525</v>
      </c>
      <c r="H511" s="2" t="s">
        <v>636</v>
      </c>
      <c r="I511" s="2" t="str">
        <f>IFERROR(__xludf.DUMMYFUNCTION("GOOGLETRANSLATE(C511,""fr"",""en"")"),"Several months to obtain reimbursement, and given that they do not take care of hospitalizations, you have to move forward. In short, pray for never needing it, this mutual is just there to collect your contributions.")</f>
        <v>Several months to obtain reimbursement, and given that they do not take care of hospitalizations, you have to move forward. In short, pray for never needing it, this mutual is just there to collect your contributions.</v>
      </c>
    </row>
    <row r="512" ht="15.75" customHeight="1">
      <c r="A512" s="2">
        <v>1.0</v>
      </c>
      <c r="B512" s="2" t="s">
        <v>1526</v>
      </c>
      <c r="C512" s="2" t="s">
        <v>1527</v>
      </c>
      <c r="D512" s="2" t="s">
        <v>45</v>
      </c>
      <c r="E512" s="2" t="s">
        <v>40</v>
      </c>
      <c r="F512" s="2" t="s">
        <v>15</v>
      </c>
      <c r="G512" s="2" t="s">
        <v>1528</v>
      </c>
      <c r="H512" s="2" t="s">
        <v>367</v>
      </c>
      <c r="I512" s="2" t="str">
        <f>IFERROR(__xludf.DUMMYFUNCTION("GOOGLETRANSLATE(C512,""fr"",""en"")"),"Bad experience")</f>
        <v>Bad experience</v>
      </c>
    </row>
    <row r="513" ht="15.75" customHeight="1">
      <c r="A513" s="2">
        <v>4.0</v>
      </c>
      <c r="B513" s="2" t="s">
        <v>1529</v>
      </c>
      <c r="C513" s="2" t="s">
        <v>1530</v>
      </c>
      <c r="D513" s="2" t="s">
        <v>231</v>
      </c>
      <c r="E513" s="2" t="s">
        <v>34</v>
      </c>
      <c r="F513" s="2" t="s">
        <v>15</v>
      </c>
      <c r="G513" s="2" t="s">
        <v>1531</v>
      </c>
      <c r="H513" s="2" t="s">
        <v>444</v>
      </c>
      <c r="I513" s="2" t="str">
        <f>IFERROR(__xludf.DUMMYFUNCTION("GOOGLETRANSLATE(C513,""fr"",""en"")"),"Hi there,
Following a problem encountered this day during a subscription of a contract passed for an update of my file via a broker (Alain merchant), a little angry I contact Néoliane (the real ones) and I come across an interlocutor , Erika (yes, it rea"&amp;"lly exists) which after a pleasant telephone exchange has been able to defuse the bomb, for thank you.
I would come back to modify my comment to tell you about the outcome of the file.")</f>
        <v>Hi there,
Following a problem encountered this day during a subscription of a contract passed for an update of my file via a broker (Alain merchant), a little angry I contact Néoliane (the real ones) and I come across an interlocutor , Erika (yes, it really exists) which after a pleasant telephone exchange has been able to defuse the bomb, for thank you.
I would come back to modify my comment to tell you about the outcome of the file.</v>
      </c>
    </row>
    <row r="514" ht="15.75" customHeight="1">
      <c r="A514" s="2">
        <v>2.0</v>
      </c>
      <c r="B514" s="2" t="s">
        <v>1532</v>
      </c>
      <c r="C514" s="2" t="s">
        <v>1533</v>
      </c>
      <c r="D514" s="2" t="s">
        <v>39</v>
      </c>
      <c r="E514" s="2" t="s">
        <v>14</v>
      </c>
      <c r="F514" s="2" t="s">
        <v>15</v>
      </c>
      <c r="G514" s="2" t="s">
        <v>1534</v>
      </c>
      <c r="H514" s="2" t="s">
        <v>636</v>
      </c>
      <c r="I514" s="2" t="str">
        <f>IFERROR(__xludf.DUMMYFUNCTION("GOOGLETRANSLATE(C514,""fr"",""en"")"),"As long as we are a good student we assure you, on the other hand as soon as we start to have claims, you must not call them otherwise they might have buttons that grow.")</f>
        <v>As long as we are a good student we assure you, on the other hand as soon as we start to have claims, you must not call them otherwise they might have buttons that grow.</v>
      </c>
    </row>
    <row r="515" ht="15.75" customHeight="1">
      <c r="A515" s="2">
        <v>5.0</v>
      </c>
      <c r="B515" s="2" t="s">
        <v>1535</v>
      </c>
      <c r="C515" s="2" t="s">
        <v>1536</v>
      </c>
      <c r="D515" s="2" t="s">
        <v>13</v>
      </c>
      <c r="E515" s="2" t="s">
        <v>14</v>
      </c>
      <c r="F515" s="2" t="s">
        <v>15</v>
      </c>
      <c r="G515" s="2" t="s">
        <v>972</v>
      </c>
      <c r="H515" s="2" t="s">
        <v>128</v>
      </c>
      <c r="I515" s="2" t="str">
        <f>IFERROR(__xludf.DUMMYFUNCTION("GOOGLETRANSLATE(C515,""fr"",""en"")"),"Good communication, clear and precise information without talking about the interesting price to see very ..
Small with, email received while complete folder, I do not understand.")</f>
        <v>Good communication, clear and precise information without talking about the interesting price to see very ..
Small with, email received while complete folder, I do not understand.</v>
      </c>
    </row>
    <row r="516" ht="15.75" customHeight="1">
      <c r="A516" s="2">
        <v>1.0</v>
      </c>
      <c r="B516" s="2" t="s">
        <v>1537</v>
      </c>
      <c r="C516" s="2" t="s">
        <v>1538</v>
      </c>
      <c r="D516" s="2" t="s">
        <v>60</v>
      </c>
      <c r="E516" s="2" t="s">
        <v>40</v>
      </c>
      <c r="F516" s="2" t="s">
        <v>15</v>
      </c>
      <c r="G516" s="2" t="s">
        <v>1539</v>
      </c>
      <c r="H516" s="2" t="s">
        <v>103</v>
      </c>
      <c r="I516" s="2" t="str">
        <f>IFERROR(__xludf.DUMMYFUNCTION("GOOGLETRANSLATE(C516,""fr"",""en"")"),"More than 7 months that my house burned, the work has still not started. Cause of the electricity fire. To establish the contract, I provided the sales compromise with the DPE where it is specified that the building has a fireplace, the advisor did not re"&amp;"port it in the contract and they want to hold me 5% on the compensation, either The equivalent of 15 years of insurance when I have been insured at home for 4 years. I lost everything I had, they take advantage of my dismay to want to buy me.")</f>
        <v>More than 7 months that my house burned, the work has still not started. Cause of the electricity fire. To establish the contract, I provided the sales compromise with the DPE where it is specified that the building has a fireplace, the advisor did not report it in the contract and they want to hold me 5% on the compensation, either The equivalent of 15 years of insurance when I have been insured at home for 4 years. I lost everything I had, they take advantage of my dismay to want to buy me.</v>
      </c>
    </row>
    <row r="517" ht="15.75" customHeight="1">
      <c r="A517" s="2">
        <v>3.0</v>
      </c>
      <c r="B517" s="2" t="s">
        <v>1540</v>
      </c>
      <c r="C517" s="2" t="s">
        <v>1541</v>
      </c>
      <c r="D517" s="2" t="s">
        <v>39</v>
      </c>
      <c r="E517" s="2" t="s">
        <v>14</v>
      </c>
      <c r="F517" s="2" t="s">
        <v>15</v>
      </c>
      <c r="G517" s="2" t="s">
        <v>1542</v>
      </c>
      <c r="H517" s="2" t="s">
        <v>335</v>
      </c>
      <c r="I517" s="2" t="str">
        <f>IFERROR(__xludf.DUMMYFUNCTION("GOOGLETRANSLATE(C517,""fr"",""en"")"),"Unreachable customer service to declare a claim. The number cuts automatically because ""all advisers are occupied"" ... while the duration to declare it is limited to 5 days.")</f>
        <v>Unreachable customer service to declare a claim. The number cuts automatically because "all advisers are occupied" ... while the duration to declare it is limited to 5 days.</v>
      </c>
    </row>
    <row r="518" ht="15.75" customHeight="1">
      <c r="A518" s="2">
        <v>4.0</v>
      </c>
      <c r="B518" s="2" t="s">
        <v>1543</v>
      </c>
      <c r="C518" s="2" t="s">
        <v>1544</v>
      </c>
      <c r="D518" s="2" t="s">
        <v>24</v>
      </c>
      <c r="E518" s="2" t="s">
        <v>14</v>
      </c>
      <c r="F518" s="2" t="s">
        <v>15</v>
      </c>
      <c r="G518" s="2" t="s">
        <v>342</v>
      </c>
      <c r="H518" s="2" t="s">
        <v>167</v>
      </c>
      <c r="I518" s="2" t="str">
        <f>IFERROR(__xludf.DUMMYFUNCTION("GOOGLETRANSLATE(C518,""fr"",""en"")"),"I am satisfied with the service. Easy to understanding. We will see the future. Internet opinions say that it increases. I don't hope for me.")</f>
        <v>I am satisfied with the service. Easy to understanding. We will see the future. Internet opinions say that it increases. I don't hope for me.</v>
      </c>
    </row>
    <row r="519" ht="15.75" customHeight="1">
      <c r="A519" s="2">
        <v>1.0</v>
      </c>
      <c r="B519" s="2" t="s">
        <v>1545</v>
      </c>
      <c r="C519" s="2" t="s">
        <v>1546</v>
      </c>
      <c r="D519" s="2" t="s">
        <v>639</v>
      </c>
      <c r="E519" s="2" t="s">
        <v>46</v>
      </c>
      <c r="F519" s="2" t="s">
        <v>15</v>
      </c>
      <c r="G519" s="2" t="s">
        <v>1547</v>
      </c>
      <c r="H519" s="2" t="s">
        <v>1062</v>
      </c>
      <c r="I519" s="2" t="str">
        <f>IFERROR(__xludf.DUMMYFUNCTION("GOOGLETRANSLATE(C519,""fr"",""en"")"),"Without any response or acknowledgment of receipt to liquidate life insurance after my father's death.
Unreachable. Catastrophic company. Avoid urgently. Injustable. Catastrophic company. Avoid urgently. Injustable. Catastrophic company. Avoid urgently. "&amp;"Injustable. Catastrophic company. Avoid urgently.")</f>
        <v>Without any response or acknowledgment of receipt to liquidate life insurance after my father's death.
Unreachable. Catastrophic company. Avoid urgently. Injustable. Catastrophic company. Avoid urgently. Injustable. Catastrophic company. Avoid urgently. Injustable. Catastrophic company. Avoid urgently.</v>
      </c>
    </row>
    <row r="520" ht="15.75" customHeight="1">
      <c r="A520" s="2">
        <v>2.0</v>
      </c>
      <c r="B520" s="2" t="s">
        <v>1548</v>
      </c>
      <c r="C520" s="2" t="s">
        <v>1549</v>
      </c>
      <c r="D520" s="2" t="s">
        <v>24</v>
      </c>
      <c r="E520" s="2" t="s">
        <v>14</v>
      </c>
      <c r="F520" s="2" t="s">
        <v>15</v>
      </c>
      <c r="G520" s="2" t="s">
        <v>1550</v>
      </c>
      <c r="H520" s="2" t="s">
        <v>826</v>
      </c>
      <c r="I520" s="2" t="str">
        <f>IFERROR(__xludf.DUMMYFUNCTION("GOOGLETRANSLATE(C520,""fr"",""en"")"),"Impressive in bad faith termination Chatel law at first they evoke that La Poste does not do his job in particular on a recommended then the agent reads me the mail he finally received asks a confirmation by email to save time then again A call to tell me"&amp;" that I will be reimbursed within 15 days then still nothing not really is to abuse people I have 1 contract with them that I will hasten to settle again ... so I cross my fingers so that 'I don't happen to me")</f>
        <v>Impressive in bad faith termination Chatel law at first they evoke that La Poste does not do his job in particular on a recommended then the agent reads me the mail he finally received asks a confirmation by email to save time then again A call to tell me that I will be reimbursed within 15 days then still nothing not really is to abuse people I have 1 contract with them that I will hasten to settle again ... so I cross my fingers so that 'I don't happen to me</v>
      </c>
    </row>
    <row r="521" ht="15.75" customHeight="1">
      <c r="A521" s="2">
        <v>1.0</v>
      </c>
      <c r="B521" s="2" t="s">
        <v>1551</v>
      </c>
      <c r="C521" s="2" t="s">
        <v>1552</v>
      </c>
      <c r="D521" s="2" t="s">
        <v>13</v>
      </c>
      <c r="E521" s="2" t="s">
        <v>14</v>
      </c>
      <c r="F521" s="2" t="s">
        <v>15</v>
      </c>
      <c r="G521" s="2" t="s">
        <v>1553</v>
      </c>
      <c r="H521" s="2" t="s">
        <v>636</v>
      </c>
      <c r="I521" s="2" t="str">
        <f>IFERROR(__xludf.DUMMYFUNCTION("GOOGLETRANSLATE(C521,""fr"",""en"")"),"Faithful customer I am in the regret to leave Direct Insurance following my telephone call.")</f>
        <v>Faithful customer I am in the regret to leave Direct Insurance following my telephone call.</v>
      </c>
    </row>
    <row r="522" ht="15.75" customHeight="1">
      <c r="A522" s="2">
        <v>1.0</v>
      </c>
      <c r="B522" s="2" t="s">
        <v>1554</v>
      </c>
      <c r="C522" s="2" t="s">
        <v>1555</v>
      </c>
      <c r="D522" s="2" t="s">
        <v>106</v>
      </c>
      <c r="E522" s="2" t="s">
        <v>56</v>
      </c>
      <c r="F522" s="2" t="s">
        <v>15</v>
      </c>
      <c r="G522" s="2" t="s">
        <v>1556</v>
      </c>
      <c r="H522" s="2" t="s">
        <v>68</v>
      </c>
      <c r="I522" s="2" t="str">
        <f>IFERROR(__xludf.DUMMYFUNCTION("GOOGLETRANSLATE(C522,""fr"",""en"")"),"With my contract assistance breakdown 0 km, I unfortunately needed this service, when my motorcycle did not want to restart, I had 3 different interlocutors who must each time inquire with a minimum waiting time of 15mn before getting a semblance of respo"&amp;"nse and to send me in a garage which will not repair my motorcycle, instead of sending me in the brand's garage (of course this one is 60km), Which ended up being done, but not without chatting with the 3rd interlocutor who understood nothing, (20 seconds"&amp;" before each answer, I think he had to look at his translator). Finally after 2 hours of negotiations, I left with the brand's convenience store, which immediately repaired the motorcycle, and I was able to leave, without the insurance repatriated to my h"&amp;"ome. Conclusion, extremely difficult to be ""heard"" with my interlocutors who are not up to their tasks")</f>
        <v>With my contract assistance breakdown 0 km, I unfortunately needed this service, when my motorcycle did not want to restart, I had 3 different interlocutors who must each time inquire with a minimum waiting time of 15mn before getting a semblance of response and to send me in a garage which will not repair my motorcycle, instead of sending me in the brand's garage (of course this one is 60km), Which ended up being done, but not without chatting with the 3rd interlocutor who understood nothing, (20 seconds before each answer, I think he had to look at his translator). Finally after 2 hours of negotiations, I left with the brand's convenience store, which immediately repaired the motorcycle, and I was able to leave, without the insurance repatriated to my home. Conclusion, extremely difficult to be "heard" with my interlocutors who are not up to their tasks</v>
      </c>
    </row>
    <row r="523" ht="15.75" customHeight="1">
      <c r="A523" s="2">
        <v>4.0</v>
      </c>
      <c r="B523" s="2" t="s">
        <v>1557</v>
      </c>
      <c r="C523" s="2" t="s">
        <v>1558</v>
      </c>
      <c r="D523" s="2" t="s">
        <v>65</v>
      </c>
      <c r="E523" s="2" t="s">
        <v>66</v>
      </c>
      <c r="F523" s="2" t="s">
        <v>15</v>
      </c>
      <c r="G523" s="2" t="s">
        <v>776</v>
      </c>
      <c r="H523" s="2" t="s">
        <v>52</v>
      </c>
      <c r="I523" s="2" t="str">
        <f>IFERROR(__xludf.DUMMYFUNCTION("GOOGLETRANSLATE(C523,""fr"",""en"")"),"Always satisfied with their very responsive and jovial personal service. Their prices are correct compared to the proposed coverage and the Primo option allows you to always be covered.")</f>
        <v>Always satisfied with their very responsive and jovial personal service. Their prices are correct compared to the proposed coverage and the Primo option allows you to always be covered.</v>
      </c>
    </row>
    <row r="524" ht="15.75" customHeight="1">
      <c r="A524" s="2">
        <v>1.0</v>
      </c>
      <c r="B524" s="2" t="s">
        <v>1559</v>
      </c>
      <c r="C524" s="2" t="s">
        <v>1560</v>
      </c>
      <c r="D524" s="2" t="s">
        <v>13</v>
      </c>
      <c r="E524" s="2" t="s">
        <v>14</v>
      </c>
      <c r="F524" s="2" t="s">
        <v>15</v>
      </c>
      <c r="G524" s="2" t="s">
        <v>1561</v>
      </c>
      <c r="H524" s="2" t="s">
        <v>36</v>
      </c>
      <c r="I524" s="2" t="str">
        <f>IFERROR(__xludf.DUMMYFUNCTION("GOOGLETRANSLATE(C524,""fr"",""en"")"),"Well here, I change auto insurance. I have just received my opinion of maturity and surprise, this year, I have an increase of 100 euros !!! Why ? No claim and I just went to the bonus 50. I am in full search to find another insurance and I notice that th"&amp;"ere are many other insurances much cheaper for more service! (Each year, I had a large increase in prices but there, it is too much !!!)")</f>
        <v>Well here, I change auto insurance. I have just received my opinion of maturity and surprise, this year, I have an increase of 100 euros !!! Why ? No claim and I just went to the bonus 50. I am in full search to find another insurance and I notice that there are many other insurances much cheaper for more service! (Each year, I had a large increase in prices but there, it is too much !!!)</v>
      </c>
    </row>
    <row r="525" ht="15.75" customHeight="1">
      <c r="A525" s="2">
        <v>1.0</v>
      </c>
      <c r="B525" s="2" t="s">
        <v>1562</v>
      </c>
      <c r="C525" s="2" t="s">
        <v>1563</v>
      </c>
      <c r="D525" s="2" t="s">
        <v>117</v>
      </c>
      <c r="E525" s="2" t="s">
        <v>40</v>
      </c>
      <c r="F525" s="2" t="s">
        <v>15</v>
      </c>
      <c r="G525" s="2" t="s">
        <v>1564</v>
      </c>
      <c r="H525" s="2" t="s">
        <v>119</v>
      </c>
      <c r="I525" s="2" t="str">
        <f>IFERROR(__xludf.DUMMYFUNCTION("GOOGLETRANSLATE(C525,""fr"",""en"")"),"Hello everyone, don't trust this insurance! In legal proceedings for 10 years 60,000 € to spend on lost procedural costs and work that will never be redone. All this for a craftsman who did not do work to enlarge housing and who was assured in this compan"&amp;"y. Result this company does not guarantee anything for this craftsman who paid for these contributions. This company has done everything and to find all the means so as not to intervene in decennial. Result the craftsman is put into compulsory liquidation"&amp;", I lost 60,000 € for procedural costs and the work will never be redone, basically I did not like anything. But my fight does not stop there. My only consolation is that I managed to obtain a media report to the 1 p.m. newspaper on TF1 to denounce insura"&amp;"nce practices and show in what situation I am. I also managed to obtain an article that will appear in the Parisian. Believe me I lost a 10 -year -old legal battle, but I will not take the one I am in place. This company will lose much more in terms of ad"&amp;"vertising what it should have paid for this case. Remember what I have just written because we will still hear about it. Bring back the information to the highest of your management have known my file well in your company.")</f>
        <v>Hello everyone, don't trust this insurance! In legal proceedings for 10 years 60,000 € to spend on lost procedural costs and work that will never be redone. All this for a craftsman who did not do work to enlarge housing and who was assured in this company. Result this company does not guarantee anything for this craftsman who paid for these contributions. This company has done everything and to find all the means so as not to intervene in decennial. Result the craftsman is put into compulsory liquidation, I lost 60,000 € for procedural costs and the work will never be redone, basically I did not like anything. But my fight does not stop there. My only consolation is that I managed to obtain a media report to the 1 p.m. newspaper on TF1 to denounce insurance practices and show in what situation I am. I also managed to obtain an article that will appear in the Parisian. Believe me I lost a 10 -year -old legal battle, but I will not take the one I am in place. This company will lose much more in terms of advertising what it should have paid for this case. Remember what I have just written because we will still hear about it. Bring back the information to the highest of your management have known my file well in your company.</v>
      </c>
    </row>
    <row r="526" ht="15.75" customHeight="1">
      <c r="A526" s="2">
        <v>4.0</v>
      </c>
      <c r="B526" s="2" t="s">
        <v>1565</v>
      </c>
      <c r="C526" s="2" t="s">
        <v>1566</v>
      </c>
      <c r="D526" s="2" t="s">
        <v>134</v>
      </c>
      <c r="E526" s="2" t="s">
        <v>56</v>
      </c>
      <c r="F526" s="2" t="s">
        <v>15</v>
      </c>
      <c r="G526" s="2" t="s">
        <v>1567</v>
      </c>
      <c r="H526" s="2" t="s">
        <v>68</v>
      </c>
      <c r="I526" s="2" t="str">
        <f>IFERROR(__xludf.DUMMYFUNCTION("GOOGLETRANSLATE(C526,""fr"",""en"")"),"Satisfied with your proposal:
- Very easy subscription
- competitive price
- Choice clear options.
Without trying the devil, I hope that the claims regulations are also easy ...")</f>
        <v>Satisfied with your proposal:
- Very easy subscription
- competitive price
- Choice clear options.
Without trying the devil, I hope that the claims regulations are also easy ...</v>
      </c>
    </row>
    <row r="527" ht="15.75" customHeight="1">
      <c r="A527" s="2">
        <v>4.0</v>
      </c>
      <c r="B527" s="2" t="s">
        <v>1568</v>
      </c>
      <c r="C527" s="2" t="s">
        <v>1569</v>
      </c>
      <c r="D527" s="2" t="s">
        <v>13</v>
      </c>
      <c r="E527" s="2" t="s">
        <v>14</v>
      </c>
      <c r="F527" s="2" t="s">
        <v>15</v>
      </c>
      <c r="G527" s="2" t="s">
        <v>582</v>
      </c>
      <c r="H527" s="2" t="s">
        <v>21</v>
      </c>
      <c r="I527" s="2" t="str">
        <f>IFERROR(__xludf.DUMMYFUNCTION("GOOGLETRANSLATE(C527,""fr"",""en"")"),"The prices suit me because I have never had any particular problems with this insurance and it is for this reason that I assure my 2nd vehicle.")</f>
        <v>The prices suit me because I have never had any particular problems with this insurance and it is for this reason that I assure my 2nd vehicle.</v>
      </c>
    </row>
    <row r="528" ht="15.75" customHeight="1">
      <c r="A528" s="2">
        <v>2.0</v>
      </c>
      <c r="B528" s="2" t="s">
        <v>1570</v>
      </c>
      <c r="C528" s="2" t="s">
        <v>1571</v>
      </c>
      <c r="D528" s="2" t="s">
        <v>33</v>
      </c>
      <c r="E528" s="2" t="s">
        <v>34</v>
      </c>
      <c r="F528" s="2" t="s">
        <v>15</v>
      </c>
      <c r="G528" s="2" t="s">
        <v>1572</v>
      </c>
      <c r="H528" s="2" t="s">
        <v>381</v>
      </c>
      <c r="I528" s="2" t="str">
        <f>IFERROR(__xludf.DUMMYFUNCTION("GOOGLETRANSLATE(C528,""fr"",""en"")"),"It's amazing! ... MGEN, finds a way to accumulate two different deadlines (the second proposed on June 13, 2018, more reasonable up to 94.57 euros from July to December 2018 was manageable) ... but,, Here ... it is the disaster ... This amount deducted in"&amp;" July 2018 which was to cancel the first timetable is added to the amount of the former schedule proposed, ie 305.12 euros in July and in a catch -up ... of contribution, while I have financial concerns following health problems. By combining in July the "&amp;"sample the old schedule and the new, the Mgen gives me a unpleasant surprise: that of taking 399, 69 euros this month ... without any consultation. And to say that I believed that the second schedule would be applied ... It was naive on my part to believe"&amp;" it ... the two accumulated ...")</f>
        <v>It's amazing! ... MGEN, finds a way to accumulate two different deadlines (the second proposed on June 13, 2018, more reasonable up to 94.57 euros from July to December 2018 was manageable) ... but,, Here ... it is the disaster ... This amount deducted in July 2018 which was to cancel the first timetable is added to the amount of the former schedule proposed, ie 305.12 euros in July and in a catch -up ... of contribution, while I have financial concerns following health problems. By combining in July the sample the old schedule and the new, the Mgen gives me a unpleasant surprise: that of taking 399, 69 euros this month ... without any consultation. And to say that I believed that the second schedule would be applied ... It was naive on my part to believe it ... the two accumulated ...</v>
      </c>
    </row>
    <row r="529" ht="15.75" customHeight="1">
      <c r="A529" s="2">
        <v>2.0</v>
      </c>
      <c r="B529" s="2" t="s">
        <v>1573</v>
      </c>
      <c r="C529" s="2" t="s">
        <v>1574</v>
      </c>
      <c r="D529" s="2" t="s">
        <v>809</v>
      </c>
      <c r="E529" s="2" t="s">
        <v>66</v>
      </c>
      <c r="F529" s="2" t="s">
        <v>15</v>
      </c>
      <c r="G529" s="2" t="s">
        <v>355</v>
      </c>
      <c r="H529" s="2" t="s">
        <v>21</v>
      </c>
      <c r="I529" s="2" t="str">
        <f>IFERROR(__xludf.DUMMYFUNCTION("GOOGLETRANSLATE(C529,""fr"",""en"")"),"Very satisfied with this provident until recently, I find myself not to receive my compensation suddenly stopped without real reason.
Indeed, my daily CPAM compensation are sent as people on the phone confirm, but they find it difficult to explain this p"&amp;"ayment delay to me.
Not having many resources, I have been in a delicate situation since.
In addition, I will go into disability within 2 months and I need my foresight to ensure a minimum of vital income so I send you the contact details of my file bel"&amp;"ow so that I can return to a situation normal. Thank you for your help.")</f>
        <v>Very satisfied with this provident until recently, I find myself not to receive my compensation suddenly stopped without real reason.
Indeed, my daily CPAM compensation are sent as people on the phone confirm, but they find it difficult to explain this payment delay to me.
Not having many resources, I have been in a delicate situation since.
In addition, I will go into disability within 2 months and I need my foresight to ensure a minimum of vital income so I send you the contact details of my file below so that I can return to a situation normal. Thank you for your help.</v>
      </c>
    </row>
    <row r="530" ht="15.75" customHeight="1">
      <c r="A530" s="2">
        <v>1.0</v>
      </c>
      <c r="B530" s="2" t="s">
        <v>1575</v>
      </c>
      <c r="C530" s="2" t="s">
        <v>1576</v>
      </c>
      <c r="D530" s="2" t="s">
        <v>376</v>
      </c>
      <c r="E530" s="2" t="s">
        <v>34</v>
      </c>
      <c r="F530" s="2" t="s">
        <v>15</v>
      </c>
      <c r="G530" s="2" t="s">
        <v>472</v>
      </c>
      <c r="H530" s="2" t="s">
        <v>17</v>
      </c>
      <c r="I530" s="2" t="str">
        <f>IFERROR(__xludf.DUMMYFUNCTION("GOOGLETRANSLATE(C530,""fr"",""en"")"),"Frankly it's a shame, Mercer is not even descriptible so it is the disaster with them.
Difficult to reachable, when you have an answer, you have to get out of Polytechnic to descript (you take 300% of the PMSS, within the limit of 150 of the thing, divid"&amp;"e by our insurance broker commission).
Ben Yeah, behind Mercer, there is insurance, a general blow, a blow the gan. But you are there and you take to be reimbursed.
To flee !")</f>
        <v>Frankly it's a shame, Mercer is not even descriptible so it is the disaster with them.
Difficult to reachable, when you have an answer, you have to get out of Polytechnic to descript (you take 300% of the PMSS, within the limit of 150 of the thing, divide by our insurance broker commission).
Ben Yeah, behind Mercer, there is insurance, a general blow, a blow the gan. But you are there and you take to be reimbursed.
To flee !</v>
      </c>
    </row>
    <row r="531" ht="15.75" customHeight="1">
      <c r="A531" s="2">
        <v>5.0</v>
      </c>
      <c r="B531" s="2" t="s">
        <v>1577</v>
      </c>
      <c r="C531" s="2" t="s">
        <v>1578</v>
      </c>
      <c r="D531" s="2" t="s">
        <v>134</v>
      </c>
      <c r="E531" s="2" t="s">
        <v>56</v>
      </c>
      <c r="F531" s="2" t="s">
        <v>15</v>
      </c>
      <c r="G531" s="2" t="s">
        <v>1579</v>
      </c>
      <c r="H531" s="2" t="s">
        <v>17</v>
      </c>
      <c r="I531" s="2" t="str">
        <f>IFERROR(__xludf.DUMMYFUNCTION("GOOGLETRANSLATE(C531,""fr"",""en"")"),"I will test this new insurance for me, I was with a competitor for my 1st motorcycle so it's a discovery and a new adventure.
To be continued")</f>
        <v>I will test this new insurance for me, I was with a competitor for my 1st motorcycle so it's a discovery and a new adventure.
To be continued</v>
      </c>
    </row>
    <row r="532" ht="15.75" customHeight="1">
      <c r="A532" s="2">
        <v>5.0</v>
      </c>
      <c r="B532" s="2" t="s">
        <v>1580</v>
      </c>
      <c r="C532" s="2" t="s">
        <v>1581</v>
      </c>
      <c r="D532" s="2" t="s">
        <v>24</v>
      </c>
      <c r="E532" s="2" t="s">
        <v>14</v>
      </c>
      <c r="F532" s="2" t="s">
        <v>15</v>
      </c>
      <c r="G532" s="2" t="s">
        <v>303</v>
      </c>
      <c r="H532" s="2" t="s">
        <v>128</v>
      </c>
      <c r="I532" s="2" t="str">
        <f>IFERROR(__xludf.DUMMYFUNCTION("GOOGLETRANSLATE(C532,""fr"",""en"")"),"The quote is fast, efficient and the price is attractive.
I hope that customer service by phone will be as clear, lively and rigorous.
")</f>
        <v>The quote is fast, efficient and the price is attractive.
I hope that customer service by phone will be as clear, lively and rigorous.
</v>
      </c>
    </row>
    <row r="533" ht="15.75" customHeight="1">
      <c r="A533" s="2">
        <v>2.0</v>
      </c>
      <c r="B533" s="2" t="s">
        <v>1582</v>
      </c>
      <c r="C533" s="2" t="s">
        <v>1583</v>
      </c>
      <c r="D533" s="2" t="s">
        <v>39</v>
      </c>
      <c r="E533" s="2" t="s">
        <v>14</v>
      </c>
      <c r="F533" s="2" t="s">
        <v>15</v>
      </c>
      <c r="G533" s="2" t="s">
        <v>1584</v>
      </c>
      <c r="H533" s="2" t="s">
        <v>17</v>
      </c>
      <c r="I533" s="2" t="str">
        <f>IFERROR(__xludf.DUMMYFUNCTION("GOOGLETRANSLATE(C533,""fr"",""en"")"),"A driver struck our car on our street and fled on July 14 in the morning. We realize that in the afternoon. The car is unusable and the expert forbidden it to ride. We filed a complaint and phew a neighbor recovers the driver's plate. Insured for ages and"&amp;" all risks at GMF without claims they refuse us the loan of a vehicle. We find ourselves in a single car less reliable than that damaged a recent BMW in very good condition. GMF is at fault when subscribing to the contract for not warning that there would"&amp;" be no vehicle loan. Result: We will change insurer in the face of their clauses and not taken care of.")</f>
        <v>A driver struck our car on our street and fled on July 14 in the morning. We realize that in the afternoon. The car is unusable and the expert forbidden it to ride. We filed a complaint and phew a neighbor recovers the driver's plate. Insured for ages and all risks at GMF without claims they refuse us the loan of a vehicle. We find ourselves in a single car less reliable than that damaged a recent BMW in very good condition. GMF is at fault when subscribing to the contract for not warning that there would be no vehicle loan. Result: We will change insurer in the face of their clauses and not taken care of.</v>
      </c>
    </row>
    <row r="534" ht="15.75" customHeight="1">
      <c r="A534" s="2">
        <v>1.0</v>
      </c>
      <c r="B534" s="2" t="s">
        <v>1585</v>
      </c>
      <c r="C534" s="2" t="s">
        <v>1586</v>
      </c>
      <c r="D534" s="2" t="s">
        <v>231</v>
      </c>
      <c r="E534" s="2" t="s">
        <v>34</v>
      </c>
      <c r="F534" s="2" t="s">
        <v>15</v>
      </c>
      <c r="G534" s="2" t="s">
        <v>1587</v>
      </c>
      <c r="H534" s="2" t="s">
        <v>594</v>
      </c>
      <c r="I534" s="2" t="str">
        <f>IFERROR(__xludf.DUMMYFUNCTION("GOOGLETRANSLATE(C534,""fr"",""en"")"),"Please note: if you already have a mutual, never adhere to a mutual during the notice months, November and December!
Almost 2 years ago, I took a mutual for my mother. I had gone through the ferrets.com. I had received proposals from a multitude of broke"&amp;"rs, not to understand anything anymore.
For the past few weeks, we have received incessant telephone calls from the SFA brokerage firm. The advisor asked me to review our mutual take 2 years rather. She offered us competing mutual quotes for 2018. But as"&amp;" it was too late to terminate because of the notice, she had proposed to negotiate herself with our current mutual that it accepts our request for termination. She sent me a letter of termination and told me that it was arranged with my mutual. So I joine"&amp;"d Néoliane despite high prices and I sent under recommended a letter of termination to my mutual.
But there ; When I received a negative response from my mutual insurance company, I immediately recalled it but she replied that it was impossible that they"&amp;" replied the opposite to any broker. I tried to join the SFA counselor (who claimed to be my privileged advisor for the duration of our membership at Néoliane), but the emails I am previously addressed to contact@golden-affurance.fr returned to me and no "&amp;"one answered on 05 35 00 40 36 and on 05 35 00 40 59. I contacted Neoliane to cancel my new membership by explaining everything to them, but they wanted to know nothing, retorting that I had exceeded the withdrawal period. So I end up with 2 mutuals for 2"&amp;"018. Néoliane offered to postpone the start of the membership of one year. They are obviously used to doing this (probably to force memberships!).
I managed to reach SFA at 04 67 39 18 17 (number found on the net) which offers me an amendment to postpone"&amp;" my membership in Néoliane by one year.
In fact I did made myself. The Mutual Néoliane ensured a client for 2019 and the SFA broker ensures a commission. I do not know to what extent there is connivance but question ethics, we will iron! (I pity vulnerab"&amp;"le people).
")</f>
        <v>Please note: if you already have a mutual, never adhere to a mutual during the notice months, November and December!
Almost 2 years ago, I took a mutual for my mother. I had gone through the ferrets.com. I had received proposals from a multitude of brokers, not to understand anything anymore.
For the past few weeks, we have received incessant telephone calls from the SFA brokerage firm. The advisor asked me to review our mutual take 2 years rather. She offered us competing mutual quotes for 2018. But as it was too late to terminate because of the notice, she had proposed to negotiate herself with our current mutual that it accepts our request for termination. She sent me a letter of termination and told me that it was arranged with my mutual. So I joined Néoliane despite high prices and I sent under recommended a letter of termination to my mutual.
But there ; When I received a negative response from my mutual insurance company, I immediately recalled it but she replied that it was impossible that they replied the opposite to any broker. I tried to join the SFA counselor (who claimed to be my privileged advisor for the duration of our membership at Néoliane), but the emails I am previously addressed to contact@golden-affurance.fr returned to me and no one answered on 05 35 00 40 36 and on 05 35 00 40 59. I contacted Neoliane to cancel my new membership by explaining everything to them, but they wanted to know nothing, retorting that I had exceeded the withdrawal period. So I end up with 2 mutuals for 2018. Néoliane offered to postpone the start of the membership of one year. They are obviously used to doing this (probably to force memberships!).
I managed to reach SFA at 04 67 39 18 17 (number found on the net) which offers me an amendment to postpone my membership in Néoliane by one year.
In fact I did made myself. The Mutual Néoliane ensured a client for 2019 and the SFA broker ensures a commission. I do not know to what extent there is connivance but question ethics, we will iron! (I pity vulnerable people).
</v>
      </c>
    </row>
    <row r="535" ht="15.75" customHeight="1">
      <c r="A535" s="2">
        <v>2.0</v>
      </c>
      <c r="B535" s="2" t="s">
        <v>1588</v>
      </c>
      <c r="C535" s="2" t="s">
        <v>1589</v>
      </c>
      <c r="D535" s="2" t="s">
        <v>406</v>
      </c>
      <c r="E535" s="2" t="s">
        <v>40</v>
      </c>
      <c r="F535" s="2" t="s">
        <v>15</v>
      </c>
      <c r="G535" s="2" t="s">
        <v>1590</v>
      </c>
      <c r="H535" s="2" t="s">
        <v>81</v>
      </c>
      <c r="I535" s="2" t="str">
        <f>IFERROR(__xludf.DUMMYFUNCTION("GOOGLETRANSLATE(C535,""fr"",""en"")"),"The breakage of a mirror is not covered by ""Ice Broke"" with the multi -risk option
We have several contracts at the CM, including a home contract with the BRIS de GLIS warranty. Continue breaking from the bathroom mirror with cutting and polished edges"&amp;", replacement costs me 189.84 euros. By calling the platform, an endless wait of more than 10 minutes at the Tel, my interlocutor, very kind, told me that the mirrors are covered either by the blanket broken, neither movable, nor multi -risk. It would hav"&amp;"e been necessary to subscribe to an all -risk coverage.
We also had a disappointment with our car insurance. During the transfer of insurance to my name to that of our daughter, our interlocutor forgot to cancel the previous one. Fortunately, I realized "&amp;"it at the bous of 1 year when calling contributions, and the reimbursement was made")</f>
        <v>The breakage of a mirror is not covered by "Ice Broke" with the multi -risk option
We have several contracts at the CM, including a home contract with the BRIS de GLIS warranty. Continue breaking from the bathroom mirror with cutting and polished edges, replacement costs me 189.84 euros. By calling the platform, an endless wait of more than 10 minutes at the Tel, my interlocutor, very kind, told me that the mirrors are covered either by the blanket broken, neither movable, nor multi -risk. It would have been necessary to subscribe to an all -risk coverage.
We also had a disappointment with our car insurance. During the transfer of insurance to my name to that of our daughter, our interlocutor forgot to cancel the previous one. Fortunately, I realized it at the bous of 1 year when calling contributions, and the reimbursement was made</v>
      </c>
    </row>
    <row r="536" ht="15.75" customHeight="1">
      <c r="A536" s="2">
        <v>3.0</v>
      </c>
      <c r="B536" s="2" t="s">
        <v>1591</v>
      </c>
      <c r="C536" s="2" t="s">
        <v>1592</v>
      </c>
      <c r="D536" s="2" t="s">
        <v>809</v>
      </c>
      <c r="E536" s="2" t="s">
        <v>34</v>
      </c>
      <c r="F536" s="2" t="s">
        <v>15</v>
      </c>
      <c r="G536" s="2" t="s">
        <v>1395</v>
      </c>
      <c r="H536" s="2" t="s">
        <v>194</v>
      </c>
      <c r="I536" s="2" t="str">
        <f>IFERROR(__xludf.DUMMYFUNCTION("GOOGLETRANSLATE(C536,""fr"",""en"")"),"I have been in an accident of the work since 11/12/2018 at 30/09/2019, I made a file for complement wages the month December 2019, I sent the health insurance accounts by email he said no we have nothing Given a reclamation, now I am fatigue, in addition "&amp;"I have financial problems, please please do an urgent solution with me")</f>
        <v>I have been in an accident of the work since 11/12/2018 at 30/09/2019, I made a file for complement wages the month December 2019, I sent the health insurance accounts by email he said no we have nothing Given a reclamation, now I am fatigue, in addition I have financial problems, please please do an urgent solution with me</v>
      </c>
    </row>
    <row r="537" ht="15.75" customHeight="1">
      <c r="A537" s="2">
        <v>2.0</v>
      </c>
      <c r="B537" s="2" t="s">
        <v>1593</v>
      </c>
      <c r="C537" s="2" t="s">
        <v>1594</v>
      </c>
      <c r="D537" s="2" t="s">
        <v>13</v>
      </c>
      <c r="E537" s="2" t="s">
        <v>14</v>
      </c>
      <c r="F537" s="2" t="s">
        <v>15</v>
      </c>
      <c r="G537" s="2" t="s">
        <v>558</v>
      </c>
      <c r="H537" s="2" t="s">
        <v>17</v>
      </c>
      <c r="I537" s="2" t="str">
        <f>IFERROR(__xludf.DUMMYFUNCTION("GOOGLETRANSLATE(C537,""fr"",""en"")"),"More than nine months after my declaration as a claim, my vehicle is still not repaired. Assistance did not move on the day of the claim, my manager is completely overwhelmed, the service is nonexistent. No vehicle loan since KE 01/10/2020. ASHAMED ! I do"&amp;" not recommend direct insurance!")</f>
        <v>More than nine months after my declaration as a claim, my vehicle is still not repaired. Assistance did not move on the day of the claim, my manager is completely overwhelmed, the service is nonexistent. No vehicle loan since KE 01/10/2020. ASHAMED ! I do not recommend direct insurance!</v>
      </c>
    </row>
    <row r="538" ht="15.75" customHeight="1">
      <c r="A538" s="2">
        <v>4.0</v>
      </c>
      <c r="B538" s="2" t="s">
        <v>1595</v>
      </c>
      <c r="C538" s="2" t="s">
        <v>1596</v>
      </c>
      <c r="D538" s="2" t="s">
        <v>96</v>
      </c>
      <c r="E538" s="2" t="s">
        <v>97</v>
      </c>
      <c r="F538" s="2" t="s">
        <v>15</v>
      </c>
      <c r="G538" s="2" t="s">
        <v>1597</v>
      </c>
      <c r="H538" s="2" t="s">
        <v>349</v>
      </c>
      <c r="I538" s="2" t="str">
        <f>IFERROR(__xludf.DUMMYFUNCTION("GOOGLETRANSLATE(C538,""fr"",""en"")"),"We have been insured for 7 years for our two real estate loans (PTZ + main loan), 100 % on each of our two heads. My husband has just been declared in ALD (long -term affection) following the announcement of colorectal cancer. We asked the compensation fo"&amp;"r our loans to the ITT to the cardiff, after the 90 days of deficiency. Cardiff has been very responsive, professional, without any administrative hassle. It is undoubtedly barely believable when I read certain comments on this insurance, I admit that by "&amp;"constituting the compensation request file I was not very confident. But now we are reassured, and compensated. This allows us to have a serious concern less, and to breathe on that side, which is not nothing with regard to the current situation ...")</f>
        <v>We have been insured for 7 years for our two real estate loans (PTZ + main loan), 100 % on each of our two heads. My husband has just been declared in ALD (long -term affection) following the announcement of colorectal cancer. We asked the compensation for our loans to the ITT to the cardiff, after the 90 days of deficiency. Cardiff has been very responsive, professional, without any administrative hassle. It is undoubtedly barely believable when I read certain comments on this insurance, I admit that by constituting the compensation request file I was not very confident. But now we are reassured, and compensated. This allows us to have a serious concern less, and to breathe on that side, which is not nothing with regard to the current situation ...</v>
      </c>
    </row>
    <row r="539" ht="15.75" customHeight="1">
      <c r="A539" s="2">
        <v>1.0</v>
      </c>
      <c r="B539" s="2" t="s">
        <v>1598</v>
      </c>
      <c r="C539" s="2" t="s">
        <v>1599</v>
      </c>
      <c r="D539" s="2" t="s">
        <v>393</v>
      </c>
      <c r="E539" s="2" t="s">
        <v>66</v>
      </c>
      <c r="F539" s="2" t="s">
        <v>15</v>
      </c>
      <c r="G539" s="2" t="s">
        <v>994</v>
      </c>
      <c r="H539" s="2" t="s">
        <v>826</v>
      </c>
      <c r="I539" s="2" t="str">
        <f>IFERROR(__xludf.DUMMYFUNCTION("GOOGLETRANSLATE(C539,""fr"",""en"")"),"I have been a liberal physiotherapist and contribute to Swisslife for a year. Pregnant, my obstetrician gynecologist prescribed me a work stoppage in the context of a risk of premature delivery in connection with a pathology (Lacomme syndrome), coupled wi"&amp;"th my professional activity.
I called Swisslife who told me that it was taken into account and asked me to send them my bank details to set up the transfers. I have not seen anything coming and after several reminders I was told that additional documents"&amp;" needed. I provided them with everything you needed, including the letter from my obstetrician gynecologist indicating that the judgment was necessary and which justified why.
After several reminders again, and without new, I was able to obtain the infor"&amp;"mation that my file was rejected.
3 things for swisslife so:
- False information given by phone during my first contact with them
- Lack of communication and information (almost 2 months to wait for my payments so that I am ultimately announcing that t"&amp;"here will not be any).
- An absence of professionalism: the doctor (or supposedly doctor) from Swisslife who gave his verdict is not reachable: neither by email nor by phone, and he does not move to check. I have no information on why refusal, except tha"&amp;"t it does not enter their criteria.")</f>
        <v>I have been a liberal physiotherapist and contribute to Swisslife for a year. Pregnant, my obstetrician gynecologist prescribed me a work stoppage in the context of a risk of premature delivery in connection with a pathology (Lacomme syndrome), coupled with my professional activity.
I called Swisslife who told me that it was taken into account and asked me to send them my bank details to set up the transfers. I have not seen anything coming and after several reminders I was told that additional documents needed. I provided them with everything you needed, including the letter from my obstetrician gynecologist indicating that the judgment was necessary and which justified why.
After several reminders again, and without new, I was able to obtain the information that my file was rejected.
3 things for swisslife so:
- False information given by phone during my first contact with them
- Lack of communication and information (almost 2 months to wait for my payments so that I am ultimately announcing that there will not be any).
- An absence of professionalism: the doctor (or supposedly doctor) from Swisslife who gave his verdict is not reachable: neither by email nor by phone, and he does not move to check. I have no information on why refusal, except that it does not enter their criteria.</v>
      </c>
    </row>
    <row r="540" ht="15.75" customHeight="1">
      <c r="A540" s="2">
        <v>4.0</v>
      </c>
      <c r="B540" s="2" t="s">
        <v>1600</v>
      </c>
      <c r="C540" s="2" t="s">
        <v>1601</v>
      </c>
      <c r="D540" s="2" t="s">
        <v>134</v>
      </c>
      <c r="E540" s="2" t="s">
        <v>56</v>
      </c>
      <c r="F540" s="2" t="s">
        <v>15</v>
      </c>
      <c r="G540" s="2" t="s">
        <v>1602</v>
      </c>
      <c r="H540" s="2" t="s">
        <v>167</v>
      </c>
      <c r="I540" s="2" t="str">
        <f>IFERROR(__xludf.DUMMYFUNCTION("GOOGLETRANSLATE(C540,""fr"",""en"")"),"advised by my brother. fairly fast online subscription. Very good rates for the aquisition of a motorcycle it happens quickly. A site that I recommend")</f>
        <v>advised by my brother. fairly fast online subscription. Very good rates for the aquisition of a motorcycle it happens quickly. A site that I recommend</v>
      </c>
    </row>
    <row r="541" ht="15.75" customHeight="1">
      <c r="A541" s="2">
        <v>4.0</v>
      </c>
      <c r="B541" s="2" t="s">
        <v>1603</v>
      </c>
      <c r="C541" s="2" t="s">
        <v>1604</v>
      </c>
      <c r="D541" s="2" t="s">
        <v>13</v>
      </c>
      <c r="E541" s="2" t="s">
        <v>14</v>
      </c>
      <c r="F541" s="2" t="s">
        <v>15</v>
      </c>
      <c r="G541" s="2" t="s">
        <v>1605</v>
      </c>
      <c r="H541" s="2" t="s">
        <v>103</v>
      </c>
      <c r="I541" s="2" t="str">
        <f>IFERROR(__xludf.DUMMYFUNCTION("GOOGLETRANSLATE(C541,""fr"",""en"")"),"Insured for years for 2 vehicles, despite 4 claims (not responsible), no particular problem.")</f>
        <v>Insured for years for 2 vehicles, despite 4 claims (not responsible), no particular problem.</v>
      </c>
    </row>
    <row r="542" ht="15.75" customHeight="1">
      <c r="A542" s="2">
        <v>1.0</v>
      </c>
      <c r="B542" s="2" t="s">
        <v>1606</v>
      </c>
      <c r="C542" s="2" t="s">
        <v>1607</v>
      </c>
      <c r="D542" s="2" t="s">
        <v>13</v>
      </c>
      <c r="E542" s="2" t="s">
        <v>14</v>
      </c>
      <c r="F542" s="2" t="s">
        <v>15</v>
      </c>
      <c r="G542" s="2" t="s">
        <v>636</v>
      </c>
      <c r="H542" s="2" t="s">
        <v>636</v>
      </c>
      <c r="I542" s="2" t="str">
        <f>IFERROR(__xludf.DUMMYFUNCTION("GOOGLETRANSLATE(C542,""fr"",""en"")"),"To be flea !!! Big problem when you want to terminate.
I have terminated by letter RAR in time.
The acknowledgment of receipt came back to me well signed. And today we continue to take me. Here is their answer ... I thought it was a joke ...
We have "&amp;"not accepted your request because in accordance with articles 20 and 21 of the general conditions of your contract, you must specify a reason for termination.
No letter received to tell me that my termination request will not have effect, in short I do"&amp;" not recommend at all, I still have the right to terminate without giving any reason ... especially by reading articles 20 and 21 I haven't seen that you had to donate a pattern
")</f>
        <v>To be flea !!! Big problem when you want to terminate.
I have terminated by letter RAR in time.
The acknowledgment of receipt came back to me well signed. And today we continue to take me. Here is their answer ... I thought it was a joke ...
We have not accepted your request because in accordance with articles 20 and 21 of the general conditions of your contract, you must specify a reason for termination.
No letter received to tell me that my termination request will not have effect, in short I do not recommend at all, I still have the right to terminate without giving any reason ... especially by reading articles 20 and 21 I haven't seen that you had to donate a pattern
</v>
      </c>
    </row>
    <row r="543" ht="15.75" customHeight="1">
      <c r="A543" s="2">
        <v>3.0</v>
      </c>
      <c r="B543" s="2" t="s">
        <v>1608</v>
      </c>
      <c r="C543" s="2" t="s">
        <v>1609</v>
      </c>
      <c r="D543" s="2" t="s">
        <v>138</v>
      </c>
      <c r="E543" s="2" t="s">
        <v>40</v>
      </c>
      <c r="F543" s="2" t="s">
        <v>15</v>
      </c>
      <c r="G543" s="2" t="s">
        <v>362</v>
      </c>
      <c r="H543" s="2" t="s">
        <v>363</v>
      </c>
      <c r="I543" s="2" t="str">
        <f>IFERROR(__xludf.DUMMYFUNCTION("GOOGLETRANSLATE(C543,""fr"",""en"")"),"Insured by internet for my home, my I interlocutor replied badly. Imbued with his person, he told me that if I was close to my money, then of course ..... implemented I was not up to the task ....... his insistence made me Pay more.
Difficulties in regis"&amp;"tering on their space")</f>
        <v>Insured by internet for my home, my I interlocutor replied badly. Imbued with his person, he told me that if I was close to my money, then of course ..... implemented I was not up to the task ....... his insistence made me Pay more.
Difficulties in registering on their space</v>
      </c>
    </row>
    <row r="544" ht="15.75" customHeight="1">
      <c r="A544" s="2">
        <v>4.0</v>
      </c>
      <c r="B544" s="2" t="s">
        <v>1610</v>
      </c>
      <c r="C544" s="2" t="s">
        <v>1611</v>
      </c>
      <c r="D544" s="2" t="s">
        <v>134</v>
      </c>
      <c r="E544" s="2" t="s">
        <v>56</v>
      </c>
      <c r="F544" s="2" t="s">
        <v>15</v>
      </c>
      <c r="G544" s="2" t="s">
        <v>228</v>
      </c>
      <c r="H544" s="2" t="s">
        <v>17</v>
      </c>
      <c r="I544" s="2" t="str">
        <f>IFERROR(__xludf.DUMMYFUNCTION("GOOGLETRANSLATE(C544,""fr"",""en"")"),"I am satisfied with the simple and fast service. Cohenting price and guarantee. Quick online subscription to see in the time May for the price I recommend")</f>
        <v>I am satisfied with the simple and fast service. Cohenting price and guarantee. Quick online subscription to see in the time May for the price I recommend</v>
      </c>
    </row>
    <row r="545" ht="15.75" customHeight="1">
      <c r="A545" s="2">
        <v>1.0</v>
      </c>
      <c r="B545" s="2" t="s">
        <v>1612</v>
      </c>
      <c r="C545" s="2" t="s">
        <v>1613</v>
      </c>
      <c r="D545" s="2" t="s">
        <v>71</v>
      </c>
      <c r="E545" s="2" t="s">
        <v>40</v>
      </c>
      <c r="F545" s="2" t="s">
        <v>15</v>
      </c>
      <c r="G545" s="2" t="s">
        <v>1614</v>
      </c>
      <c r="H545" s="2" t="s">
        <v>99</v>
      </c>
      <c r="I545" s="2" t="str">
        <f>IFERROR(__xludf.DUMMYFUNCTION("GOOGLETRANSLATE(C545,""fr"",""en"")"),"Hello
Sea insurance2 to avoid
Customer service or by the Nanterre agency
Catastrophic to avoid
For a certificate request we enter your life and at home
He questions you in order to update your file while my file is up to date and when you call to upd"&amp;"ate your file it tells you about this or that thing
Never seen her ..
Go to MMA it's better
And never give details or more words because it notes all the same if you declaire that you have a panties too much it marks it in observations
And the advisor"&amp;" of the Nanterre agency only of trainee students !!!! To be flea ... its feels the termination !!!")</f>
        <v>Hello
Sea insurance2 to avoid
Customer service or by the Nanterre agency
Catastrophic to avoid
For a certificate request we enter your life and at home
He questions you in order to update your file while my file is up to date and when you call to update your file it tells you about this or that thing
Never seen her ..
Go to MMA it's better
And never give details or more words because it notes all the same if you declaire that you have a panties too much it marks it in observations
And the advisor of the Nanterre agency only of trainee students !!!! To be flea ... its feels the termination !!!</v>
      </c>
    </row>
    <row r="546" ht="15.75" customHeight="1">
      <c r="A546" s="2">
        <v>5.0</v>
      </c>
      <c r="B546" s="2" t="s">
        <v>1615</v>
      </c>
      <c r="C546" s="2" t="s">
        <v>1616</v>
      </c>
      <c r="D546" s="2" t="s">
        <v>183</v>
      </c>
      <c r="E546" s="2" t="s">
        <v>97</v>
      </c>
      <c r="F546" s="2" t="s">
        <v>15</v>
      </c>
      <c r="G546" s="2" t="s">
        <v>1617</v>
      </c>
      <c r="H546" s="2" t="s">
        <v>292</v>
      </c>
      <c r="I546" s="2" t="str">
        <f>IFERROR(__xludf.DUMMYFUNCTION("GOOGLETRANSLATE(C546,""fr"",""en"")"),"Very satisfied with the exchange and professionalism of my interlocutor.
Thank you for all the answers to the questions and personalized support.")</f>
        <v>Very satisfied with the exchange and professionalism of my interlocutor.
Thank you for all the answers to the questions and personalized support.</v>
      </c>
    </row>
    <row r="547" ht="15.75" customHeight="1">
      <c r="A547" s="2">
        <v>1.0</v>
      </c>
      <c r="B547" s="2" t="s">
        <v>1618</v>
      </c>
      <c r="C547" s="2" t="s">
        <v>1619</v>
      </c>
      <c r="D547" s="2" t="s">
        <v>570</v>
      </c>
      <c r="E547" s="2" t="s">
        <v>56</v>
      </c>
      <c r="F547" s="2" t="s">
        <v>15</v>
      </c>
      <c r="G547" s="2" t="s">
        <v>1620</v>
      </c>
      <c r="H547" s="2" t="s">
        <v>99</v>
      </c>
      <c r="I547" s="2" t="str">
        <f>IFERROR(__xludf.DUMMYFUNCTION("GOOGLETRANSLATE(C547,""fr"",""en"")"),"I recommend that you do not take this insurance (Assuronline) it will avoid a lot of problems in the event of an accident !!!
I strongly invite you to request the conditions in the event of a responsible accident and our managers before taking a contract"&amp;".
")</f>
        <v>I recommend that you do not take this insurance (Assuronline) it will avoid a lot of problems in the event of an accident !!!
I strongly invite you to request the conditions in the event of a responsible accident and our managers before taking a contract.
</v>
      </c>
    </row>
    <row r="548" ht="15.75" customHeight="1">
      <c r="A548" s="2">
        <v>5.0</v>
      </c>
      <c r="B548" s="2" t="s">
        <v>1621</v>
      </c>
      <c r="C548" s="2" t="s">
        <v>1622</v>
      </c>
      <c r="D548" s="2" t="s">
        <v>24</v>
      </c>
      <c r="E548" s="2" t="s">
        <v>14</v>
      </c>
      <c r="F548" s="2" t="s">
        <v>15</v>
      </c>
      <c r="G548" s="2" t="s">
        <v>1623</v>
      </c>
      <c r="H548" s="2" t="s">
        <v>68</v>
      </c>
      <c r="I548" s="2" t="str">
        <f>IFERROR(__xludf.DUMMYFUNCTION("GOOGLETRANSLATE(C548,""fr"",""en"")"),"Satisfied with the monthly amount of my car insurance as well as the guarantees offered by my contract.
Practical and fast customer service, functional space.")</f>
        <v>Satisfied with the monthly amount of my car insurance as well as the guarantees offered by my contract.
Practical and fast customer service, functional space.</v>
      </c>
    </row>
    <row r="549" ht="15.75" customHeight="1">
      <c r="A549" s="2">
        <v>1.0</v>
      </c>
      <c r="B549" s="2" t="s">
        <v>1624</v>
      </c>
      <c r="C549" s="2" t="s">
        <v>1625</v>
      </c>
      <c r="D549" s="2" t="s">
        <v>416</v>
      </c>
      <c r="E549" s="2" t="s">
        <v>34</v>
      </c>
      <c r="F549" s="2" t="s">
        <v>15</v>
      </c>
      <c r="G549" s="2" t="s">
        <v>1626</v>
      </c>
      <c r="H549" s="2" t="s">
        <v>826</v>
      </c>
      <c r="I549" s="2" t="str">
        <f>IFERROR(__xludf.DUMMYFUNCTION("GOOGLETRANSLATE(C549,""fr"",""en"")"),"Currently in polyactive status (CPAM/RSI), I have been fighting for more than 6 months to obtain derisory sums concerning pregnancy.
The maternity booklet was not sent to me until August 2017 (me from childbirth). After many calls once the documents are "&amp;"sent, either they tell you that they have received nothing, or there you do not have the same answer according to your interlocutor. After many calls, I received my 7th month bonus as well as my birth bonus 4 months after my delivery!
And I still fight t"&amp;"oday, we are in January, because my file was ""incomplete"". After 4 weeks of a file, I am told today that nothing has been received ...
After 6 months of battle, 3 round trips to my attending physician, I still have not received all of my allowances ..."&amp;"
And I am told ""it is not our fault"" or ""better late than never"" ...")</f>
        <v>Currently in polyactive status (CPAM/RSI), I have been fighting for more than 6 months to obtain derisory sums concerning pregnancy.
The maternity booklet was not sent to me until August 2017 (me from childbirth). After many calls once the documents are sent, either they tell you that they have received nothing, or there you do not have the same answer according to your interlocutor. After many calls, I received my 7th month bonus as well as my birth bonus 4 months after my delivery!
And I still fight today, we are in January, because my file was "incomplete". After 4 weeks of a file, I am told today that nothing has been received ...
After 6 months of battle, 3 round trips to my attending physician, I still have not received all of my allowances ...
And I am told "it is not our fault" or "better late than never" ...</v>
      </c>
    </row>
    <row r="550" ht="15.75" customHeight="1">
      <c r="A550" s="2">
        <v>5.0</v>
      </c>
      <c r="B550" s="2" t="s">
        <v>1627</v>
      </c>
      <c r="C550" s="2" t="s">
        <v>1628</v>
      </c>
      <c r="D550" s="2" t="s">
        <v>55</v>
      </c>
      <c r="E550" s="2" t="s">
        <v>56</v>
      </c>
      <c r="F550" s="2" t="s">
        <v>15</v>
      </c>
      <c r="G550" s="2" t="s">
        <v>1257</v>
      </c>
      <c r="H550" s="2" t="s">
        <v>42</v>
      </c>
      <c r="I550" s="2" t="str">
        <f>IFERROR(__xludf.DUMMYFUNCTION("GOOGLETRANSLATE(C550,""fr"",""en"")"),"Already a client; But we cannot judge insurance when we need it; in case of calamity. Honestly I do not want there to be a disaster.")</f>
        <v>Already a client; But we cannot judge insurance when we need it; in case of calamity. Honestly I do not want there to be a disaster.</v>
      </c>
    </row>
    <row r="551" ht="15.75" customHeight="1">
      <c r="A551" s="2">
        <v>5.0</v>
      </c>
      <c r="B551" s="2" t="s">
        <v>1629</v>
      </c>
      <c r="C551" s="2" t="s">
        <v>1630</v>
      </c>
      <c r="D551" s="2" t="s">
        <v>134</v>
      </c>
      <c r="E551" s="2" t="s">
        <v>56</v>
      </c>
      <c r="F551" s="2" t="s">
        <v>15</v>
      </c>
      <c r="G551" s="2" t="s">
        <v>690</v>
      </c>
      <c r="H551" s="2" t="s">
        <v>167</v>
      </c>
      <c r="I551" s="2" t="str">
        <f>IFERROR(__xludf.DUMMYFUNCTION("GOOGLETRANSLATE(C551,""fr"",""en"")"),"Very satisfied with the service, fast and efficient ... on the internet no need to move, price comparator and then make your choice according to your needs ...")</f>
        <v>Very satisfied with the service, fast and efficient ... on the internet no need to move, price comparator and then make your choice according to your needs ...</v>
      </c>
    </row>
    <row r="552" ht="15.75" customHeight="1">
      <c r="A552" s="2">
        <v>5.0</v>
      </c>
      <c r="B552" s="2" t="s">
        <v>1631</v>
      </c>
      <c r="C552" s="2" t="s">
        <v>1632</v>
      </c>
      <c r="D552" s="2" t="s">
        <v>13</v>
      </c>
      <c r="E552" s="2" t="s">
        <v>40</v>
      </c>
      <c r="F552" s="2" t="s">
        <v>15</v>
      </c>
      <c r="G552" s="2" t="s">
        <v>469</v>
      </c>
      <c r="H552" s="2" t="s">
        <v>225</v>
      </c>
      <c r="I552" s="2" t="str">
        <f>IFERROR(__xludf.DUMMYFUNCTION("GOOGLETRANSLATE(C552,""fr"",""en"")"),"I made a quote for home insurance.
The price is very reasonable compared to competitors. No complaints. I am very satisfied for now!")</f>
        <v>I made a quote for home insurance.
The price is very reasonable compared to competitors. No complaints. I am very satisfied for now!</v>
      </c>
    </row>
    <row r="553" ht="15.75" customHeight="1">
      <c r="A553" s="2">
        <v>2.0</v>
      </c>
      <c r="B553" s="2" t="s">
        <v>1633</v>
      </c>
      <c r="C553" s="2" t="s">
        <v>1634</v>
      </c>
      <c r="D553" s="2" t="s">
        <v>13</v>
      </c>
      <c r="E553" s="2" t="s">
        <v>14</v>
      </c>
      <c r="F553" s="2" t="s">
        <v>15</v>
      </c>
      <c r="G553" s="2" t="s">
        <v>1635</v>
      </c>
      <c r="H553" s="2" t="s">
        <v>882</v>
      </c>
      <c r="I553" s="2" t="str">
        <f>IFERROR(__xludf.DUMMYFUNCTION("GOOGLETRANSLATE(C553,""fr"",""en"")"),"Registration without problem with a kind person who knew their job well, long but very detailed questionnaire (the same everywhere) so at the end we even take the most expensive options")</f>
        <v>Registration without problem with a kind person who knew their job well, long but very detailed questionnaire (the same everywhere) so at the end we even take the most expensive options</v>
      </c>
    </row>
    <row r="554" ht="15.75" customHeight="1">
      <c r="A554" s="2">
        <v>1.0</v>
      </c>
      <c r="B554" s="2" t="s">
        <v>1636</v>
      </c>
      <c r="C554" s="2" t="s">
        <v>1637</v>
      </c>
      <c r="D554" s="2" t="s">
        <v>106</v>
      </c>
      <c r="E554" s="2" t="s">
        <v>14</v>
      </c>
      <c r="F554" s="2" t="s">
        <v>15</v>
      </c>
      <c r="G554" s="2" t="s">
        <v>1638</v>
      </c>
      <c r="H554" s="2" t="s">
        <v>128</v>
      </c>
      <c r="I554" s="2" t="str">
        <f>IFERROR(__xludf.DUMMYFUNCTION("GOOGLETRANSLATE(C554,""fr"",""en"")"),"Sellers but not advisers. To be advised. New definition of the Macif
Quickly leave from this insurance where I only met incompetent, liars, a null agency manager and a complaint service at the head office who should not know how to read because he never "&amp;"answers the questions asked, he only answers beside .
The HRDs follow one another, we understand why.
I sent a registered letter with AR 2 months ago to the Director General Mr. Dogneton, but I am still waiting for his answer.
Macif TV and radio pubs a"&amp;"re misleading .Fuy, flee this insurance")</f>
        <v>Sellers but not advisers. To be advised. New definition of the Macif
Quickly leave from this insurance where I only met incompetent, liars, a null agency manager and a complaint service at the head office who should not know how to read because he never answers the questions asked, he only answers beside .
The HRDs follow one another, we understand why.
I sent a registered letter with AR 2 months ago to the Director General Mr. Dogneton, but I am still waiting for his answer.
Macif TV and radio pubs are misleading .Fuy, flee this insurance</v>
      </c>
    </row>
    <row r="555" ht="15.75" customHeight="1">
      <c r="A555" s="2">
        <v>5.0</v>
      </c>
      <c r="B555" s="2" t="s">
        <v>1639</v>
      </c>
      <c r="C555" s="2" t="s">
        <v>1640</v>
      </c>
      <c r="D555" s="2" t="s">
        <v>24</v>
      </c>
      <c r="E555" s="2" t="s">
        <v>14</v>
      </c>
      <c r="F555" s="2" t="s">
        <v>15</v>
      </c>
      <c r="G555" s="2" t="s">
        <v>487</v>
      </c>
      <c r="H555" s="2" t="s">
        <v>128</v>
      </c>
      <c r="I555" s="2" t="str">
        <f>IFERROR(__xludf.DUMMYFUNCTION("GOOGLETRANSLATE(C555,""fr"",""en"")"),"Excellent online service, precision and responsiveness. I highly recommend this company.
Quote/contract best saying on the market with equal or even higher coverage.")</f>
        <v>Excellent online service, precision and responsiveness. I highly recommend this company.
Quote/contract best saying on the market with equal or even higher coverage.</v>
      </c>
    </row>
    <row r="556" ht="15.75" customHeight="1">
      <c r="A556" s="2">
        <v>2.0</v>
      </c>
      <c r="B556" s="2" t="s">
        <v>1641</v>
      </c>
      <c r="C556" s="2" t="s">
        <v>1642</v>
      </c>
      <c r="D556" s="2" t="s">
        <v>809</v>
      </c>
      <c r="E556" s="2" t="s">
        <v>34</v>
      </c>
      <c r="F556" s="2" t="s">
        <v>15</v>
      </c>
      <c r="G556" s="2" t="s">
        <v>1643</v>
      </c>
      <c r="H556" s="2" t="s">
        <v>225</v>
      </c>
      <c r="I556" s="2" t="str">
        <f>IFERROR(__xludf.DUMMYFUNCTION("GOOGLETRANSLATE(C556,""fr"",""en"")"),"Help AG2R !!!!!
Hello, I have been working in a pastry since September 1, 2020. My employer gave me that day a compulsory health affiliation bulletin to send to AG2R.
Since that day, no news from AG2R. Unable to reach them on the phone. My employer te"&amp;"lls me that it is up to me to relaunch them. I am 18 years old and I don't know how to finally get my mutual card. I am desperate and my mom also trying to find a solution and especially a human contact with AG2R.
My mom terminated the mutual that I had "&amp;"with her on September 1 so as not to duplicate and suddenly today I will have to advance the mutual part if I have to be treated.
I specify that my mutual subscription has been deducted from my salary since September.
Who would be able to help me. Thank"&amp;"s to the good wills.
Celia
 ")</f>
        <v>Help AG2R !!!!!
Hello, I have been working in a pastry since September 1, 2020. My employer gave me that day a compulsory health affiliation bulletin to send to AG2R.
Since that day, no news from AG2R. Unable to reach them on the phone. My employer tells me that it is up to me to relaunch them. I am 18 years old and I don't know how to finally get my mutual card. I am desperate and my mom also trying to find a solution and especially a human contact with AG2R.
My mom terminated the mutual that I had with her on September 1 so as not to duplicate and suddenly today I will have to advance the mutual part if I have to be treated.
I specify that my mutual subscription has been deducted from my salary since September.
Who would be able to help me. Thanks to the good wills.
Celia
 </v>
      </c>
    </row>
    <row r="557" ht="15.75" customHeight="1">
      <c r="A557" s="2">
        <v>5.0</v>
      </c>
      <c r="B557" s="2" t="s">
        <v>1644</v>
      </c>
      <c r="C557" s="2" t="s">
        <v>1645</v>
      </c>
      <c r="D557" s="2" t="s">
        <v>13</v>
      </c>
      <c r="E557" s="2" t="s">
        <v>14</v>
      </c>
      <c r="F557" s="2" t="s">
        <v>15</v>
      </c>
      <c r="G557" s="2" t="s">
        <v>738</v>
      </c>
      <c r="H557" s="2" t="s">
        <v>128</v>
      </c>
      <c r="I557" s="2" t="str">
        <f>IFERROR(__xludf.DUMMYFUNCTION("GOOGLETRANSLATE(C557,""fr"",""en"")"),"Very satisfied with the declaration and especially the kindness of the interlocutors thank you very much for your services
I recommend my friends to come to your home.")</f>
        <v>Very satisfied with the declaration and especially the kindness of the interlocutors thank you very much for your services
I recommend my friends to come to your home.</v>
      </c>
    </row>
    <row r="558" ht="15.75" customHeight="1">
      <c r="A558" s="2">
        <v>4.0</v>
      </c>
      <c r="B558" s="2" t="s">
        <v>1646</v>
      </c>
      <c r="C558" s="2" t="s">
        <v>1647</v>
      </c>
      <c r="D558" s="2" t="s">
        <v>13</v>
      </c>
      <c r="E558" s="2" t="s">
        <v>14</v>
      </c>
      <c r="F558" s="2" t="s">
        <v>15</v>
      </c>
      <c r="G558" s="2" t="s">
        <v>926</v>
      </c>
      <c r="H558" s="2" t="s">
        <v>84</v>
      </c>
      <c r="I558" s="2" t="str">
        <f>IFERROR(__xludf.DUMMYFUNCTION("GOOGLETRANSLATE(C558,""fr"",""en"")"),"I am satisfied with the customer relations which is effective and the answers provided to settle the questions. Operators are concerned with meeting customer expectations")</f>
        <v>I am satisfied with the customer relations which is effective and the answers provided to settle the questions. Operators are concerned with meeting customer expectations</v>
      </c>
    </row>
    <row r="559" ht="15.75" customHeight="1">
      <c r="A559" s="2">
        <v>4.0</v>
      </c>
      <c r="B559" s="2" t="s">
        <v>1648</v>
      </c>
      <c r="C559" s="2" t="s">
        <v>1649</v>
      </c>
      <c r="D559" s="2" t="s">
        <v>13</v>
      </c>
      <c r="E559" s="2" t="s">
        <v>14</v>
      </c>
      <c r="F559" s="2" t="s">
        <v>15</v>
      </c>
      <c r="G559" s="2" t="s">
        <v>1650</v>
      </c>
      <c r="H559" s="2" t="s">
        <v>331</v>
      </c>
      <c r="I559" s="2" t="str">
        <f>IFERROR(__xludf.DUMMYFUNCTION("GOOGLETRANSLATE(C559,""fr"",""en"")"),"I am satisfied with the service, the site is well done, good analogy, it is also quite clear. However, it would be interesting for the conditions of termination as well as those of price reduction to be more explicit.")</f>
        <v>I am satisfied with the service, the site is well done, good analogy, it is also quite clear. However, it would be interesting for the conditions of termination as well as those of price reduction to be more explicit.</v>
      </c>
    </row>
    <row r="560" ht="15.75" customHeight="1">
      <c r="A560" s="2">
        <v>5.0</v>
      </c>
      <c r="B560" s="2" t="s">
        <v>1651</v>
      </c>
      <c r="C560" s="2" t="s">
        <v>1652</v>
      </c>
      <c r="D560" s="2" t="s">
        <v>13</v>
      </c>
      <c r="E560" s="2" t="s">
        <v>14</v>
      </c>
      <c r="F560" s="2" t="s">
        <v>15</v>
      </c>
      <c r="G560" s="2" t="s">
        <v>1653</v>
      </c>
      <c r="H560" s="2" t="s">
        <v>84</v>
      </c>
      <c r="I560" s="2" t="str">
        <f>IFERROR(__xludf.DUMMYFUNCTION("GOOGLETRANSLATE(C560,""fr"",""en"")"),"Hello, I am satisfied with the service. I just add a comment where I had to take up the deposit payment three times; Problem with you or at the payment provider by bank card.
Otherwise everything is clear.
Anna")</f>
        <v>Hello, I am satisfied with the service. I just add a comment where I had to take up the deposit payment three times; Problem with you or at the payment provider by bank card.
Otherwise everything is clear.
Anna</v>
      </c>
    </row>
    <row r="561" ht="15.75" customHeight="1">
      <c r="A561" s="2">
        <v>4.0</v>
      </c>
      <c r="B561" s="2" t="s">
        <v>1654</v>
      </c>
      <c r="C561" s="2" t="s">
        <v>1655</v>
      </c>
      <c r="D561" s="2" t="s">
        <v>13</v>
      </c>
      <c r="E561" s="2" t="s">
        <v>14</v>
      </c>
      <c r="F561" s="2" t="s">
        <v>15</v>
      </c>
      <c r="G561" s="2" t="s">
        <v>1656</v>
      </c>
      <c r="H561" s="2" t="s">
        <v>42</v>
      </c>
      <c r="I561" s="2" t="str">
        <f>IFERROR(__xludf.DUMMYFUNCTION("GOOGLETRANSLATE(C561,""fr"",""en"")"),"I am satisfied with the website and speed to make sure at home. I will quickly provide the missing documents for the finalization of my insurance")</f>
        <v>I am satisfied with the website and speed to make sure at home. I will quickly provide the missing documents for the finalization of my insurance</v>
      </c>
    </row>
    <row r="562" ht="15.75" customHeight="1">
      <c r="A562" s="2">
        <v>1.0</v>
      </c>
      <c r="B562" s="2" t="s">
        <v>1657</v>
      </c>
      <c r="C562" s="2" t="s">
        <v>1658</v>
      </c>
      <c r="D562" s="2" t="s">
        <v>33</v>
      </c>
      <c r="E562" s="2" t="s">
        <v>34</v>
      </c>
      <c r="F562" s="2" t="s">
        <v>15</v>
      </c>
      <c r="G562" s="2" t="s">
        <v>1659</v>
      </c>
      <c r="H562" s="2" t="s">
        <v>728</v>
      </c>
      <c r="I562" s="2" t="str">
        <f>IFERROR(__xludf.DUMMYFUNCTION("GOOGLETRANSLATE(C562,""fr"",""en"")"),"Corporate mutual, I had Gras Savoye Mutuelle at the top.
My company to decide to change, so Mgen, first of all my son born on 30/10/2014 in beneficiary put him as a spouse, so I called at least 3 times, because the advisers are not Very competent, afte"&amp;"r January 21, 2020, the nurse who comes to my home tells me she is not paid on the part of mutual, I call a not very nice advice, I explain to her for the nurse and that am not reimbursed from the doctor of January 7, 2020, the mutual share is 7.50 euros,"&amp;" limit he tells me you do not have a shovel owes a special number, the surcharged number and I also tell him I leureure for 7, 50 euros.
I believe we pay a mutual and she must put us in confidence, and not anarque adherent and health professional.")</f>
        <v>Corporate mutual, I had Gras Savoye Mutuelle at the top.
My company to decide to change, so Mgen, first of all my son born on 30/10/2014 in beneficiary put him as a spouse, so I called at least 3 times, because the advisers are not Very competent, after January 21, 2020, the nurse who comes to my home tells me she is not paid on the part of mutual, I call a not very nice advice, I explain to her for the nurse and that am not reimbursed from the doctor of January 7, 2020, the mutual share is 7.50 euros, limit he tells me you do not have a shovel owes a special number, the surcharged number and I also tell him I leureure for 7, 50 euros.
I believe we pay a mutual and she must put us in confidence, and not anarque adherent and health professional.</v>
      </c>
    </row>
    <row r="563" ht="15.75" customHeight="1">
      <c r="A563" s="2">
        <v>1.0</v>
      </c>
      <c r="B563" s="2" t="s">
        <v>1660</v>
      </c>
      <c r="C563" s="2" t="s">
        <v>1661</v>
      </c>
      <c r="D563" s="2" t="s">
        <v>45</v>
      </c>
      <c r="E563" s="2" t="s">
        <v>40</v>
      </c>
      <c r="F563" s="2" t="s">
        <v>15</v>
      </c>
      <c r="G563" s="2" t="s">
        <v>1662</v>
      </c>
      <c r="H563" s="2" t="s">
        <v>798</v>
      </c>
      <c r="I563" s="2" t="str">
        <f>IFERROR(__xludf.DUMMYFUNCTION("GOOGLETRANSLATE(C563,""fr"",""en"")"),"Unable to find my contract despite several calls with the name and the contract number which is on the deadline as well as in the denomination of the withdrawals !! Yet the samples work very well and have just increased.
Fortunately I never had to be rei"&amp;"mbursed ...")</f>
        <v>Unable to find my contract despite several calls with the name and the contract number which is on the deadline as well as in the denomination of the withdrawals !! Yet the samples work very well and have just increased.
Fortunately I never had to be reimbursed ...</v>
      </c>
    </row>
    <row r="564" ht="15.75" customHeight="1">
      <c r="A564" s="2">
        <v>4.0</v>
      </c>
      <c r="B564" s="2" t="s">
        <v>1663</v>
      </c>
      <c r="C564" s="2" t="s">
        <v>1664</v>
      </c>
      <c r="D564" s="2" t="s">
        <v>13</v>
      </c>
      <c r="E564" s="2" t="s">
        <v>14</v>
      </c>
      <c r="F564" s="2" t="s">
        <v>15</v>
      </c>
      <c r="G564" s="2" t="s">
        <v>16</v>
      </c>
      <c r="H564" s="2" t="s">
        <v>17</v>
      </c>
      <c r="I564" s="2" t="str">
        <f>IFERROR(__xludf.DUMMYFUNCTION("GOOGLETRANSLATE(C564,""fr"",""en"")"),"The prices correspond to our expectations but the course always pushes us to subscribe more, it is annoying because as for any insurance, we have no information as to the probability of occurrence of the risks mentioned")</f>
        <v>The prices correspond to our expectations but the course always pushes us to subscribe more, it is annoying because as for any insurance, we have no information as to the probability of occurrence of the risks mentioned</v>
      </c>
    </row>
    <row r="565" ht="15.75" customHeight="1">
      <c r="A565" s="2">
        <v>2.0</v>
      </c>
      <c r="B565" s="2" t="s">
        <v>1665</v>
      </c>
      <c r="C565" s="2" t="s">
        <v>1666</v>
      </c>
      <c r="D565" s="2" t="s">
        <v>376</v>
      </c>
      <c r="E565" s="2" t="s">
        <v>34</v>
      </c>
      <c r="F565" s="2" t="s">
        <v>15</v>
      </c>
      <c r="G565" s="2" t="s">
        <v>1667</v>
      </c>
      <c r="H565" s="2" t="s">
        <v>536</v>
      </c>
      <c r="I565" s="2" t="str">
        <f>IFERROR(__xludf.DUMMYFUNCTION("GOOGLETRANSLATE(C565,""fr"",""en"")"),"client for over 5 years and the service has deteriorated in the space of a year")</f>
        <v>client for over 5 years and the service has deteriorated in the space of a year</v>
      </c>
    </row>
    <row r="566" ht="15.75" customHeight="1">
      <c r="A566" s="2">
        <v>5.0</v>
      </c>
      <c r="B566" s="2" t="s">
        <v>1668</v>
      </c>
      <c r="C566" s="2" t="s">
        <v>1669</v>
      </c>
      <c r="D566" s="2" t="s">
        <v>13</v>
      </c>
      <c r="E566" s="2" t="s">
        <v>14</v>
      </c>
      <c r="F566" s="2" t="s">
        <v>15</v>
      </c>
      <c r="G566" s="2" t="s">
        <v>861</v>
      </c>
      <c r="H566" s="2" t="s">
        <v>128</v>
      </c>
      <c r="I566" s="2" t="str">
        <f>IFERROR(__xludf.DUMMYFUNCTION("GOOGLETRANSLATE(C566,""fr"",""en"")"),"Very satisfied with YouDrive offers!
The value for money is more than correct compared to other quotes that I have seen.
Also simplicity for 100% digital membership.")</f>
        <v>Very satisfied with YouDrive offers!
The value for money is more than correct compared to other quotes that I have seen.
Also simplicity for 100% digital membership.</v>
      </c>
    </row>
    <row r="567" ht="15.75" customHeight="1">
      <c r="A567" s="2">
        <v>2.0</v>
      </c>
      <c r="B567" s="2" t="s">
        <v>1670</v>
      </c>
      <c r="C567" s="2" t="s">
        <v>1671</v>
      </c>
      <c r="D567" s="2" t="s">
        <v>231</v>
      </c>
      <c r="E567" s="2" t="s">
        <v>34</v>
      </c>
      <c r="F567" s="2" t="s">
        <v>15</v>
      </c>
      <c r="G567" s="2" t="s">
        <v>1672</v>
      </c>
      <c r="H567" s="2" t="s">
        <v>68</v>
      </c>
      <c r="I567" s="2" t="str">
        <f>IFERROR(__xludf.DUMMYFUNCTION("GOOGLETRANSLATE(C567,""fr"",""en"")"),"A member since January we are still not connected to the remote transmission.
Repeated calls to the Oxyliane advisor nothing is
I left the MGP or I have been a member since 1983 for a question of price and I regret my choice the quality at a cost appare"&amp;"ntly
Flight this insurance")</f>
        <v>A member since January we are still not connected to the remote transmission.
Repeated calls to the Oxyliane advisor nothing is
I left the MGP or I have been a member since 1983 for a question of price and I regret my choice the quality at a cost apparently
Flight this insurance</v>
      </c>
    </row>
    <row r="568" ht="15.75" customHeight="1">
      <c r="A568" s="2">
        <v>2.0</v>
      </c>
      <c r="B568" s="2" t="s">
        <v>1673</v>
      </c>
      <c r="C568" s="2" t="s">
        <v>1674</v>
      </c>
      <c r="D568" s="2" t="s">
        <v>209</v>
      </c>
      <c r="E568" s="2" t="s">
        <v>14</v>
      </c>
      <c r="F568" s="2" t="s">
        <v>15</v>
      </c>
      <c r="G568" s="2" t="s">
        <v>744</v>
      </c>
      <c r="H568" s="2" t="s">
        <v>225</v>
      </c>
      <c r="I568" s="2" t="str">
        <f>IFERROR(__xludf.DUMMYFUNCTION("GOOGLETRANSLATE(C568,""fr"",""en"")"),"Loyalty does not pay
Of goods a company of vehicles and after 40 years and a secession of activity due to retirement
I am fired to say too much disaster I would say implications without necessarily being wrong
")</f>
        <v>Loyalty does not pay
Of goods a company of vehicles and after 40 years and a secession of activity due to retirement
I am fired to say too much disaster I would say implications without necessarily being wrong
</v>
      </c>
    </row>
    <row r="569" ht="15.75" customHeight="1">
      <c r="A569" s="2">
        <v>4.0</v>
      </c>
      <c r="B569" s="2" t="s">
        <v>1675</v>
      </c>
      <c r="C569" s="2" t="s">
        <v>1676</v>
      </c>
      <c r="D569" s="2" t="s">
        <v>24</v>
      </c>
      <c r="E569" s="2" t="s">
        <v>14</v>
      </c>
      <c r="F569" s="2" t="s">
        <v>15</v>
      </c>
      <c r="G569" s="2" t="s">
        <v>760</v>
      </c>
      <c r="H569" s="2" t="s">
        <v>42</v>
      </c>
      <c r="I569" s="2" t="str">
        <f>IFERROR(__xludf.DUMMYFUNCTION("GOOGLETRANSLATE(C569,""fr"",""en"")"),"I am satisfied with the price, I cannot yet talk about the service. The site has bugged lots of times, during the quote until signing, we lost an hour ...")</f>
        <v>I am satisfied with the price, I cannot yet talk about the service. The site has bugged lots of times, during the quote until signing, we lost an hour ...</v>
      </c>
    </row>
    <row r="570" ht="15.75" customHeight="1">
      <c r="A570" s="2">
        <v>1.0</v>
      </c>
      <c r="B570" s="2" t="s">
        <v>1677</v>
      </c>
      <c r="C570" s="2" t="s">
        <v>1678</v>
      </c>
      <c r="D570" s="2" t="s">
        <v>267</v>
      </c>
      <c r="E570" s="2" t="s">
        <v>268</v>
      </c>
      <c r="F570" s="2" t="s">
        <v>15</v>
      </c>
      <c r="G570" s="2" t="s">
        <v>1679</v>
      </c>
      <c r="H570" s="2" t="s">
        <v>243</v>
      </c>
      <c r="I570" s="2" t="str">
        <f>IFERROR(__xludf.DUMMYFUNCTION("GOOGLETRANSLATE(C570,""fr"",""en"")"),"It's been over a year since I contribute for a health mutual for my dog ​​last year my annual vaccine of 60 euros was reimbursed up to 25 euros as the contract stipulates
I had no other loss
This year I did my vaccine a month ago and I am not always ref"&amp;"unded complaint made 9 days ago without response from them while an automatic email is sent which says that we will have an answer under 72hres
An advisor told me by phone that on her computer I was reimbursed on my account after a week
But I had no cre"&amp;"dit from them
on the other hand they know or take contributions every month
I specify that I am a bank advisor and that I can read my account statements and that I have no credit from them
This is annoying to have to fight to claim 25 euros per year wh"&amp;"en I take 23 euros every month
I don't see what this mutual is actually covers
Apparently they want customers to terminate contracts
It's just unacceptable all that
What a desappointment
I want to be reimbursed for 25 euros as provided for in the con"&amp;"tract")</f>
        <v>It's been over a year since I contribute for a health mutual for my dog ​​last year my annual vaccine of 60 euros was reimbursed up to 25 euros as the contract stipulates
I had no other loss
This year I did my vaccine a month ago and I am not always refunded complaint made 9 days ago without response from them while an automatic email is sent which says that we will have an answer under 72hres
An advisor told me by phone that on her computer I was reimbursed on my account after a week
But I had no credit from them
on the other hand they know or take contributions every month
I specify that I am a bank advisor and that I can read my account statements and that I have no credit from them
This is annoying to have to fight to claim 25 euros per year when I take 23 euros every month
I don't see what this mutual is actually covers
Apparently they want customers to terminate contracts
It's just unacceptable all that
What a desappointment
I want to be reimbursed for 25 euros as provided for in the contract</v>
      </c>
    </row>
    <row r="571" ht="15.75" customHeight="1">
      <c r="A571" s="2">
        <v>2.0</v>
      </c>
      <c r="B571" s="2" t="s">
        <v>1680</v>
      </c>
      <c r="C571" s="2" t="s">
        <v>1681</v>
      </c>
      <c r="D571" s="2" t="s">
        <v>28</v>
      </c>
      <c r="E571" s="2" t="s">
        <v>14</v>
      </c>
      <c r="F571" s="2" t="s">
        <v>15</v>
      </c>
      <c r="G571" s="2" t="s">
        <v>144</v>
      </c>
      <c r="H571" s="2" t="s">
        <v>144</v>
      </c>
      <c r="I571" s="2" t="str">
        <f>IFERROR(__xludf.DUMMYFUNCTION("GOOGLETRANSLATE(C571,""fr"",""en"")"),"Insured for years and having had several disputes for which I have played my ""Matmut legal insurance"", I take stock today that this legal insurance is strictly useless. Each time I only had simple assistants/assistants unable to advise me legally, going"&amp;" so far as to offer me actions not to be done during an amicable procedure (such as carrying out work before a passage of a Expert!), or process my files in a professional manner. Concretely, they only send emails/receptions with more strictly any respons"&amp;"iveness.")</f>
        <v>Insured for years and having had several disputes for which I have played my "Matmut legal insurance", I take stock today that this legal insurance is strictly useless. Each time I only had simple assistants/assistants unable to advise me legally, going so far as to offer me actions not to be done during an amicable procedure (such as carrying out work before a passage of a Expert!), or process my files in a professional manner. Concretely, they only send emails/receptions with more strictly any responsiveness.</v>
      </c>
    </row>
    <row r="572" ht="15.75" customHeight="1">
      <c r="A572" s="2">
        <v>4.0</v>
      </c>
      <c r="B572" s="2" t="s">
        <v>1682</v>
      </c>
      <c r="C572" s="2" t="s">
        <v>1683</v>
      </c>
      <c r="D572" s="2" t="s">
        <v>24</v>
      </c>
      <c r="E572" s="2" t="s">
        <v>14</v>
      </c>
      <c r="F572" s="2" t="s">
        <v>15</v>
      </c>
      <c r="G572" s="2" t="s">
        <v>197</v>
      </c>
      <c r="H572" s="2" t="s">
        <v>128</v>
      </c>
      <c r="I572" s="2" t="str">
        <f>IFERROR(__xludf.DUMMYFUNCTION("GOOGLETRANSLATE(C572,""fr"",""en"")"),"After consulting the positive opinions on the olive tree, I tried to have several online quotes quickly. I made the decision to be insured by the olive tree.
Validation of the quote that was carried out online with a nice collaborator!")</f>
        <v>After consulting the positive opinions on the olive tree, I tried to have several online quotes quickly. I made the decision to be insured by the olive tree.
Validation of the quote that was carried out online with a nice collaborator!</v>
      </c>
    </row>
    <row r="573" ht="15.75" customHeight="1">
      <c r="A573" s="2">
        <v>1.0</v>
      </c>
      <c r="B573" s="2" t="s">
        <v>1684</v>
      </c>
      <c r="C573" s="2" t="s">
        <v>1685</v>
      </c>
      <c r="D573" s="2" t="s">
        <v>55</v>
      </c>
      <c r="E573" s="2" t="s">
        <v>56</v>
      </c>
      <c r="F573" s="2" t="s">
        <v>15</v>
      </c>
      <c r="G573" s="2" t="s">
        <v>1686</v>
      </c>
      <c r="H573" s="2" t="s">
        <v>221</v>
      </c>
      <c r="I573" s="2" t="str">
        <f>IFERROR(__xludf.DUMMYFUNCTION("GOOGLETRANSLATE(C573,""fr"",""en"")"),"To flee ! I strongly advise against AMV they are not professionals! It is better to pay 5 or 10 euros more and take insurance with real customer service and a person in front of you. They continue to take your account while the termination letter was sign"&amp;"ed and sent for 2 months !! More than two months to be reimbursed too perceived ...")</f>
        <v>To flee ! I strongly advise against AMV they are not professionals! It is better to pay 5 or 10 euros more and take insurance with real customer service and a person in front of you. They continue to take your account while the termination letter was signed and sent for 2 months !! More than two months to be reimbursed too perceived ...</v>
      </c>
    </row>
    <row r="574" ht="15.75" customHeight="1">
      <c r="A574" s="2">
        <v>1.0</v>
      </c>
      <c r="B574" s="2" t="s">
        <v>1687</v>
      </c>
      <c r="C574" s="2" t="s">
        <v>1688</v>
      </c>
      <c r="D574" s="2" t="s">
        <v>209</v>
      </c>
      <c r="E574" s="2" t="s">
        <v>56</v>
      </c>
      <c r="F574" s="2" t="s">
        <v>15</v>
      </c>
      <c r="G574" s="2" t="s">
        <v>1347</v>
      </c>
      <c r="H574" s="2" t="s">
        <v>788</v>
      </c>
      <c r="I574" s="2" t="str">
        <f>IFERROR(__xludf.DUMMYFUNCTION("GOOGLETRANSLATE(C574,""fr"",""en"")"),"I am disappointed with Maaf is not serious the part when it comes to taking their responsibility for the reimbursement ex: disaster victim not resigned the It takes their temp, on the other hand to claim a deadline in retar la it is rapid.")</f>
        <v>I am disappointed with Maaf is not serious the part when it comes to taking their responsibility for the reimbursement ex: disaster victim not resigned the It takes their temp, on the other hand to claim a deadline in retar la it is rapid.</v>
      </c>
    </row>
    <row r="575" ht="15.75" customHeight="1">
      <c r="A575" s="2">
        <v>5.0</v>
      </c>
      <c r="B575" s="2" t="s">
        <v>1689</v>
      </c>
      <c r="C575" s="2" t="s">
        <v>1690</v>
      </c>
      <c r="D575" s="2" t="s">
        <v>24</v>
      </c>
      <c r="E575" s="2" t="s">
        <v>14</v>
      </c>
      <c r="F575" s="2" t="s">
        <v>15</v>
      </c>
      <c r="G575" s="2" t="s">
        <v>487</v>
      </c>
      <c r="H575" s="2" t="s">
        <v>128</v>
      </c>
      <c r="I575" s="2" t="str">
        <f>IFERROR(__xludf.DUMMYFUNCTION("GOOGLETRANSLATE(C575,""fr"",""en"")"),"Top service.
VERY FAST. PROFESSIONAL.
I needed insurance with provisional registration and received all the help I needed. Very fast service.")</f>
        <v>Top service.
VERY FAST. PROFESSIONAL.
I needed insurance with provisional registration and received all the help I needed. Very fast service.</v>
      </c>
    </row>
    <row r="576" ht="15.75" customHeight="1">
      <c r="A576" s="2">
        <v>1.0</v>
      </c>
      <c r="B576" s="2" t="s">
        <v>1691</v>
      </c>
      <c r="C576" s="2" t="s">
        <v>1692</v>
      </c>
      <c r="D576" s="2" t="s">
        <v>13</v>
      </c>
      <c r="E576" s="2" t="s">
        <v>14</v>
      </c>
      <c r="F576" s="2" t="s">
        <v>15</v>
      </c>
      <c r="G576" s="2" t="s">
        <v>1194</v>
      </c>
      <c r="H576" s="2" t="s">
        <v>167</v>
      </c>
      <c r="I576" s="2" t="str">
        <f>IFERROR(__xludf.DUMMYFUNCTION("GOOGLETRANSLATE(C576,""fr"",""en"")"),"very disappointed! I have never seen more charming no professional ethics, does not respect their commitments to flee!
Even those responsible are bad liver")</f>
        <v>very disappointed! I have never seen more charming no professional ethics, does not respect their commitments to flee!
Even those responsible are bad liver</v>
      </c>
    </row>
    <row r="577" ht="15.75" customHeight="1">
      <c r="A577" s="2">
        <v>1.0</v>
      </c>
      <c r="B577" s="2" t="s">
        <v>1693</v>
      </c>
      <c r="C577" s="2" t="s">
        <v>1694</v>
      </c>
      <c r="D577" s="2" t="s">
        <v>28</v>
      </c>
      <c r="E577" s="2" t="s">
        <v>14</v>
      </c>
      <c r="F577" s="2" t="s">
        <v>15</v>
      </c>
      <c r="G577" s="2" t="s">
        <v>1695</v>
      </c>
      <c r="H577" s="2" t="s">
        <v>694</v>
      </c>
      <c r="I577" s="2" t="str">
        <f>IFERROR(__xludf.DUMMYFUNCTION("GOOGLETRANSLATE(C577,""fr"",""en"")"),"Having subscribed to several auto contracts I realized for one of my vehicles that the green card and the sticker had not extended me (delay of 6 months !!!) I therefore contact my agency which certifies send it on Tuesday June 3 Friday having always noth"&amp;"ing I remind and I am answered that it takes 72 hours for the mail to be routed and that if it does not go to go to the agency! I get angry a little and take the decision to wait today all !!! What do I do? I drive without insurance !!!!!!!!!!!")</f>
        <v>Having subscribed to several auto contracts I realized for one of my vehicles that the green card and the sticker had not extended me (delay of 6 months !!!) I therefore contact my agency which certifies send it on Tuesday June 3 Friday having always nothing I remind and I am answered that it takes 72 hours for the mail to be routed and that if it does not go to go to the agency! I get angry a little and take the decision to wait today all !!! What do I do? I drive without insurance !!!!!!!!!!!</v>
      </c>
    </row>
    <row r="578" ht="15.75" customHeight="1">
      <c r="A578" s="2">
        <v>2.0</v>
      </c>
      <c r="B578" s="2" t="s">
        <v>1696</v>
      </c>
      <c r="C578" s="2" t="s">
        <v>1697</v>
      </c>
      <c r="D578" s="2" t="s">
        <v>24</v>
      </c>
      <c r="E578" s="2" t="s">
        <v>14</v>
      </c>
      <c r="F578" s="2" t="s">
        <v>15</v>
      </c>
      <c r="G578" s="2" t="s">
        <v>651</v>
      </c>
      <c r="H578" s="2" t="s">
        <v>128</v>
      </c>
      <c r="I578" s="2" t="str">
        <f>IFERROR(__xludf.DUMMYFUNCTION("GOOGLETRANSLATE(C578,""fr"",""en"")"),"satisfied with the reception and the advisor.
A little high price depending on my permit of permit without damages.
For the type of vehicle at 5 CV.
Cordially")</f>
        <v>satisfied with the reception and the advisor.
A little high price depending on my permit of permit without damages.
For the type of vehicle at 5 CV.
Cordially</v>
      </c>
    </row>
    <row r="579" ht="15.75" customHeight="1">
      <c r="A579" s="2">
        <v>3.0</v>
      </c>
      <c r="B579" s="2" t="s">
        <v>1698</v>
      </c>
      <c r="C579" s="2" t="s">
        <v>1699</v>
      </c>
      <c r="D579" s="2" t="s">
        <v>106</v>
      </c>
      <c r="E579" s="2" t="s">
        <v>14</v>
      </c>
      <c r="F579" s="2" t="s">
        <v>15</v>
      </c>
      <c r="G579" s="2" t="s">
        <v>1392</v>
      </c>
      <c r="H579" s="2" t="s">
        <v>434</v>
      </c>
      <c r="I579" s="2" t="str">
        <f>IFERROR(__xludf.DUMMYFUNCTION("GOOGLETRANSLATE(C579,""fr"",""en"")"),"After a responsible accident July 1, 2019, without gravity, am still waiting for my repaired vehicle at the so -called Garage. I am assured of all risks but almost everything is my responsibility. Strangely after the shock, the Macif expert finds cardan w"&amp;"ear, and refuses care while the technical control carried out just before did not stipulate this problem. The rear axle is damaged but the axle and the cardan is so -called wear.
So yes the price positioning is good but if we are not supported in the eve"&amp;"nt of a claim I prefer to pay more")</f>
        <v>After a responsible accident July 1, 2019, without gravity, am still waiting for my repaired vehicle at the so -called Garage. I am assured of all risks but almost everything is my responsibility. Strangely after the shock, the Macif expert finds cardan wear, and refuses care while the technical control carried out just before did not stipulate this problem. The rear axle is damaged but the axle and the cardan is so -called wear.
So yes the price positioning is good but if we are not supported in the event of a claim I prefer to pay more</v>
      </c>
    </row>
    <row r="580" ht="15.75" customHeight="1">
      <c r="A580" s="2">
        <v>1.0</v>
      </c>
      <c r="B580" s="2" t="s">
        <v>1700</v>
      </c>
      <c r="C580" s="2" t="s">
        <v>1701</v>
      </c>
      <c r="D580" s="2" t="s">
        <v>13</v>
      </c>
      <c r="E580" s="2" t="s">
        <v>14</v>
      </c>
      <c r="F580" s="2" t="s">
        <v>15</v>
      </c>
      <c r="G580" s="2" t="s">
        <v>1702</v>
      </c>
      <c r="H580" s="2" t="s">
        <v>128</v>
      </c>
      <c r="I580" s="2" t="str">
        <f>IFERROR(__xludf.DUMMYFUNCTION("GOOGLETRANSLATE(C580,""fr"",""en"")"),"Hello,
I am not very satisfied, because I have been subscribed for a long time to your home without any commercial gesture on your part, hence my request for termination.
Cordially")</f>
        <v>Hello,
I am not very satisfied, because I have been subscribed for a long time to your home without any commercial gesture on your part, hence my request for termination.
Cordially</v>
      </c>
    </row>
    <row r="581" ht="15.75" customHeight="1">
      <c r="A581" s="2">
        <v>3.0</v>
      </c>
      <c r="B581" s="2" t="s">
        <v>1703</v>
      </c>
      <c r="C581" s="2" t="s">
        <v>1704</v>
      </c>
      <c r="D581" s="2" t="s">
        <v>13</v>
      </c>
      <c r="E581" s="2" t="s">
        <v>14</v>
      </c>
      <c r="F581" s="2" t="s">
        <v>15</v>
      </c>
      <c r="G581" s="2" t="s">
        <v>1705</v>
      </c>
      <c r="H581" s="2" t="s">
        <v>331</v>
      </c>
      <c r="I581" s="2" t="str">
        <f>IFERROR(__xludf.DUMMYFUNCTION("GOOGLETRANSLATE(C581,""fr"",""en"")"),"Several prices are offered to me, but for the moment I have not seen any comparison on the offers made by insurers with a classification compared to the LA + covering offer and the classification of insurance companies by seriousness ,,
I connect from my"&amp;" mobile phone
I need to dig a little + the offers that are made to me suddenly.
But thank you all the same for your help")</f>
        <v>Several prices are offered to me, but for the moment I have not seen any comparison on the offers made by insurers with a classification compared to the LA + covering offer and the classification of insurance companies by seriousness ,,
I connect from my mobile phone
I need to dig a little + the offers that are made to me suddenly.
But thank you all the same for your help</v>
      </c>
    </row>
    <row r="582" ht="15.75" customHeight="1">
      <c r="A582" s="2">
        <v>3.0</v>
      </c>
      <c r="B582" s="2" t="s">
        <v>1706</v>
      </c>
      <c r="C582" s="2" t="s">
        <v>1707</v>
      </c>
      <c r="D582" s="2" t="s">
        <v>24</v>
      </c>
      <c r="E582" s="2" t="s">
        <v>14</v>
      </c>
      <c r="F582" s="2" t="s">
        <v>15</v>
      </c>
      <c r="G582" s="2" t="s">
        <v>214</v>
      </c>
      <c r="H582" s="2" t="s">
        <v>167</v>
      </c>
      <c r="I582" s="2" t="str">
        <f>IFERROR(__xludf.DUMMYFUNCTION("GOOGLETRANSLATE(C582,""fr"",""en"")"),"I am satisfied with the service The prices seem to me a little bit high overall I am quite satisfied with the pleasant advisor is that always brings satisfactory answers")</f>
        <v>I am satisfied with the service The prices seem to me a little bit high overall I am quite satisfied with the pleasant advisor is that always brings satisfactory answers</v>
      </c>
    </row>
    <row r="583" ht="15.75" customHeight="1">
      <c r="A583" s="2">
        <v>5.0</v>
      </c>
      <c r="B583" s="2" t="s">
        <v>1708</v>
      </c>
      <c r="C583" s="2" t="s">
        <v>1709</v>
      </c>
      <c r="D583" s="2" t="s">
        <v>24</v>
      </c>
      <c r="E583" s="2" t="s">
        <v>14</v>
      </c>
      <c r="F583" s="2" t="s">
        <v>15</v>
      </c>
      <c r="G583" s="2" t="s">
        <v>358</v>
      </c>
      <c r="H583" s="2" t="s">
        <v>84</v>
      </c>
      <c r="I583" s="2" t="str">
        <f>IFERROR(__xludf.DUMMYFUNCTION("GOOGLETRANSLATE(C583,""fr"",""en"")"),"I am satisfied
The price suits me perfectly
I hope my file will be fully completed for Olivier Insurance and receive my green card quickly")</f>
        <v>I am satisfied
The price suits me perfectly
I hope my file will be fully completed for Olivier Insurance and receive my green card quickly</v>
      </c>
    </row>
    <row r="584" ht="15.75" customHeight="1">
      <c r="A584" s="2">
        <v>1.0</v>
      </c>
      <c r="B584" s="2" t="s">
        <v>1710</v>
      </c>
      <c r="C584" s="2" t="s">
        <v>1711</v>
      </c>
      <c r="D584" s="2" t="s">
        <v>71</v>
      </c>
      <c r="E584" s="2" t="s">
        <v>40</v>
      </c>
      <c r="F584" s="2" t="s">
        <v>15</v>
      </c>
      <c r="G584" s="2" t="s">
        <v>1712</v>
      </c>
      <c r="H584" s="2" t="s">
        <v>194</v>
      </c>
      <c r="I584" s="2" t="str">
        <f>IFERROR(__xludf.DUMMYFUNCTION("GOOGLETRANSLATE(C584,""fr"",""en"")"),"Incompetent insurer and in bad faith. No respect for vulnerable people. Prohibitive price. Systematic refusal to apply your own contracts and also the laws that apply to it. MAIF pretends to defend ""mutualist values"" (solidarity, open -mindedness, etc.)"&amp;" while it refuses to take responsibility and that some ""activists"" are worse than employees.")</f>
        <v>Incompetent insurer and in bad faith. No respect for vulnerable people. Prohibitive price. Systematic refusal to apply your own contracts and also the laws that apply to it. MAIF pretends to defend "mutualist values" (solidarity, open -mindedness, etc.) while it refuses to take responsibility and that some "activists" are worse than employees.</v>
      </c>
    </row>
    <row r="585" ht="15.75" customHeight="1">
      <c r="A585" s="2">
        <v>4.0</v>
      </c>
      <c r="B585" s="2" t="s">
        <v>1713</v>
      </c>
      <c r="C585" s="2" t="s">
        <v>1714</v>
      </c>
      <c r="D585" s="2" t="s">
        <v>13</v>
      </c>
      <c r="E585" s="2" t="s">
        <v>14</v>
      </c>
      <c r="F585" s="2" t="s">
        <v>15</v>
      </c>
      <c r="G585" s="2" t="s">
        <v>841</v>
      </c>
      <c r="H585" s="2" t="s">
        <v>52</v>
      </c>
      <c r="I585" s="2" t="str">
        <f>IFERROR(__xludf.DUMMYFUNCTION("GOOGLETRANSLATE(C585,""fr"",""en"")"),"The prices suits me the services are related thank you I still have vehicles to insure
I would not be back to you to ensure my vehicle")</f>
        <v>The prices suits me the services are related thank you I still have vehicles to insure
I would not be back to you to ensure my vehicle</v>
      </c>
    </row>
    <row r="586" ht="15.75" customHeight="1">
      <c r="A586" s="2">
        <v>1.0</v>
      </c>
      <c r="B586" s="2" t="s">
        <v>1715</v>
      </c>
      <c r="C586" s="2" t="s">
        <v>1716</v>
      </c>
      <c r="D586" s="2" t="s">
        <v>416</v>
      </c>
      <c r="E586" s="2" t="s">
        <v>34</v>
      </c>
      <c r="F586" s="2" t="s">
        <v>15</v>
      </c>
      <c r="G586" s="2" t="s">
        <v>1717</v>
      </c>
      <c r="H586" s="2" t="s">
        <v>915</v>
      </c>
      <c r="I586" s="2" t="str">
        <f>IFERROR(__xludf.DUMMYFUNCTION("GOOGLETRANSLATE(C586,""fr"",""en"")"),"The reception not helpful. While I have a contract with them and modify with they are not able to answer me and send me a quote. I sit direct ...")</f>
        <v>The reception not helpful. While I have a contract with them and modify with they are not able to answer me and send me a quote. I sit direct ...</v>
      </c>
    </row>
    <row r="587" ht="15.75" customHeight="1">
      <c r="A587" s="2">
        <v>2.0</v>
      </c>
      <c r="B587" s="2" t="s">
        <v>1718</v>
      </c>
      <c r="C587" s="2" t="s">
        <v>1719</v>
      </c>
      <c r="D587" s="2" t="s">
        <v>138</v>
      </c>
      <c r="E587" s="2" t="s">
        <v>40</v>
      </c>
      <c r="F587" s="2" t="s">
        <v>15</v>
      </c>
      <c r="G587" s="2" t="s">
        <v>1720</v>
      </c>
      <c r="H587" s="2" t="s">
        <v>367</v>
      </c>
      <c r="I587" s="2" t="str">
        <f>IFERROR(__xludf.DUMMYFUNCTION("GOOGLETRANSLATE(C587,""fr"",""en"")"),"It has been 2 months since I await the compensation of the storm of the front roof of my roof 2 quotes sent so that in the end I am told that an expert will spend late May still 2 months waiting in addition to the incredible immoderation time not Seriousl"&amp;"y at all at least an advance for the work of the roof but nothing of this insurance")</f>
        <v>It has been 2 months since I await the compensation of the storm of the front roof of my roof 2 quotes sent so that in the end I am told that an expert will spend late May still 2 months waiting in addition to the incredible immoderation time not Seriously at all at least an advance for the work of the roof but nothing of this insurance</v>
      </c>
    </row>
    <row r="588" ht="15.75" customHeight="1">
      <c r="A588" s="2">
        <v>1.0</v>
      </c>
      <c r="B588" s="2" t="s">
        <v>1721</v>
      </c>
      <c r="C588" s="2" t="s">
        <v>1722</v>
      </c>
      <c r="D588" s="2" t="s">
        <v>809</v>
      </c>
      <c r="E588" s="2" t="s">
        <v>34</v>
      </c>
      <c r="F588" s="2" t="s">
        <v>15</v>
      </c>
      <c r="G588" s="2" t="s">
        <v>536</v>
      </c>
      <c r="H588" s="2" t="s">
        <v>536</v>
      </c>
      <c r="I588" s="2" t="str">
        <f>IFERROR(__xludf.DUMMYFUNCTION("GOOGLETRANSLATE(C588,""fr"",""en"")"),"Very poor customer service and unacceptable treatment deadlines. 6 months to add my children to my mutual. Contradictory information with each call. Emails and attached documents lost by AG2R. Request for care for care. 1.5 months, 3 reminders and contrad"&amp;"ictory information with each call. 3 different responses received, including one who told me that I only had to read the table of my guarantees. Request for reimbursement on Security Count: 1 month later no news. Customer service unable to tell me if/qd m"&amp;"y request will be processed. The last advisor hung up on me in the nose")</f>
        <v>Very poor customer service and unacceptable treatment deadlines. 6 months to add my children to my mutual. Contradictory information with each call. Emails and attached documents lost by AG2R. Request for care for care. 1.5 months, 3 reminders and contradictory information with each call. 3 different responses received, including one who told me that I only had to read the table of my guarantees. Request for reimbursement on Security Count: 1 month later no news. Customer service unable to tell me if/qd my request will be processed. The last advisor hung up on me in the nose</v>
      </c>
    </row>
    <row r="589" ht="15.75" customHeight="1">
      <c r="A589" s="2">
        <v>1.0</v>
      </c>
      <c r="B589" s="2" t="s">
        <v>1723</v>
      </c>
      <c r="C589" s="2" t="s">
        <v>1724</v>
      </c>
      <c r="D589" s="2" t="s">
        <v>71</v>
      </c>
      <c r="E589" s="2" t="s">
        <v>40</v>
      </c>
      <c r="F589" s="2" t="s">
        <v>15</v>
      </c>
      <c r="G589" s="2" t="s">
        <v>1725</v>
      </c>
      <c r="H589" s="2" t="s">
        <v>367</v>
      </c>
      <c r="I589" s="2" t="str">
        <f>IFERROR(__xludf.DUMMYFUNCTION("GOOGLETRANSLATE(C589,""fr"",""en"")"),"Following a fall on April 13, 2018, having caused a bi-malleolar fracture and incidentally, the total destruction of my mobile phone, I turned to my Maif insurance. To date, I have just learned that my laptop will not be taken care of due to obsolescence "&amp;"(an iPhone 5s bought new in 2014 for an amount of 675 euros!). With such conditions, I therefore consider that in addition to ultimately behaving as a company more wishing to collect the contributions of its ""members '' than to cover their real needs, th"&amp;"e MAIF participates in the race for waste of our Natural resources by declaring a zero value of a high -end phone '' 4 year old old ''. Bravo for your contribution to the culture of planned obsolescence !!!")</f>
        <v>Following a fall on April 13, 2018, having caused a bi-malleolar fracture and incidentally, the total destruction of my mobile phone, I turned to my Maif insurance. To date, I have just learned that my laptop will not be taken care of due to obsolescence (an iPhone 5s bought new in 2014 for an amount of 675 euros!). With such conditions, I therefore consider that in addition to ultimately behaving as a company more wishing to collect the contributions of its "members '' than to cover their real needs, the MAIF participates in the race for waste of our Natural resources by declaring a zero value of a high -end phone '' 4 year old old ''. Bravo for your contribution to the culture of planned obsolescence !!!</v>
      </c>
    </row>
    <row r="590" ht="15.75" customHeight="1">
      <c r="A590" s="2">
        <v>4.0</v>
      </c>
      <c r="B590" s="2" t="s">
        <v>1726</v>
      </c>
      <c r="C590" s="2" t="s">
        <v>1727</v>
      </c>
      <c r="D590" s="2" t="s">
        <v>134</v>
      </c>
      <c r="E590" s="2" t="s">
        <v>56</v>
      </c>
      <c r="F590" s="2" t="s">
        <v>15</v>
      </c>
      <c r="G590" s="2" t="s">
        <v>345</v>
      </c>
      <c r="H590" s="2" t="s">
        <v>17</v>
      </c>
      <c r="I590" s="2" t="str">
        <f>IFERROR(__xludf.DUMMYFUNCTION("GOOGLETRANSLATE(C590,""fr"",""en"")"),"The price suits me especially by being young driver I found no other insurance with such rates. Simple and efficient. I am satisfied.")</f>
        <v>The price suits me especially by being young driver I found no other insurance with such rates. Simple and efficient. I am satisfied.</v>
      </c>
    </row>
    <row r="591" ht="15.75" customHeight="1">
      <c r="A591" s="2">
        <v>2.0</v>
      </c>
      <c r="B591" s="2" t="s">
        <v>1728</v>
      </c>
      <c r="C591" s="2" t="s">
        <v>1729</v>
      </c>
      <c r="D591" s="2" t="s">
        <v>376</v>
      </c>
      <c r="E591" s="2" t="s">
        <v>34</v>
      </c>
      <c r="F591" s="2" t="s">
        <v>15</v>
      </c>
      <c r="G591" s="2" t="s">
        <v>1208</v>
      </c>
      <c r="H591" s="2" t="s">
        <v>292</v>
      </c>
      <c r="I591" s="2" t="str">
        <f>IFERROR(__xludf.DUMMYFUNCTION("GOOGLETRANSLATE(C591,""fr"",""en"")"),"Dental fees not reimbursed for more than 2 months now. I have for more than 759 €. Inadmissible!
I call customer service every week, nothing to do. They don't care about me!
Quote for August, nothing to pay, invoices sent 2 times in December and no refu"&amp;"nd.
With each call, I start everything again from the start.
Incompetent mutual!")</f>
        <v>Dental fees not reimbursed for more than 2 months now. I have for more than 759 €. Inadmissible!
I call customer service every week, nothing to do. They don't care about me!
Quote for August, nothing to pay, invoices sent 2 times in December and no refund.
With each call, I start everything again from the start.
Incompetent mutual!</v>
      </c>
    </row>
    <row r="592" ht="15.75" customHeight="1">
      <c r="A592" s="2">
        <v>1.0</v>
      </c>
      <c r="B592" s="2" t="s">
        <v>1730</v>
      </c>
      <c r="C592" s="2" t="s">
        <v>1731</v>
      </c>
      <c r="D592" s="2" t="s">
        <v>71</v>
      </c>
      <c r="E592" s="2" t="s">
        <v>14</v>
      </c>
      <c r="F592" s="2" t="s">
        <v>15</v>
      </c>
      <c r="G592" s="2" t="s">
        <v>1732</v>
      </c>
      <c r="H592" s="2" t="s">
        <v>349</v>
      </c>
      <c r="I592" s="2" t="str">
        <f>IFERROR(__xludf.DUMMYFUNCTION("GOOGLETRANSLATE(C592,""fr"",""en"")"),"I am very disappointed with the maif, big difficulties after my self -loss, no communication, no responsiveness, unpleasant interlocutors and bad times, I thought that insurance was there to defend the interests of his insured. it's not the case .")</f>
        <v>I am very disappointed with the maif, big difficulties after my self -loss, no communication, no responsiveness, unpleasant interlocutors and bad times, I thought that insurance was there to defend the interests of his insured. it's not the case .</v>
      </c>
    </row>
    <row r="593" ht="15.75" customHeight="1">
      <c r="A593" s="2">
        <v>4.0</v>
      </c>
      <c r="B593" s="2" t="s">
        <v>1733</v>
      </c>
      <c r="C593" s="2" t="s">
        <v>1734</v>
      </c>
      <c r="D593" s="2" t="s">
        <v>24</v>
      </c>
      <c r="E593" s="2" t="s">
        <v>14</v>
      </c>
      <c r="F593" s="2" t="s">
        <v>15</v>
      </c>
      <c r="G593" s="2" t="s">
        <v>239</v>
      </c>
      <c r="H593" s="2" t="s">
        <v>167</v>
      </c>
      <c r="I593" s="2" t="str">
        <f>IFERROR(__xludf.DUMMYFUNCTION("GOOGLETRANSLATE(C593,""fr"",""en"")"),"
To follow up on your request for an opinion, I am satisfied with the offer, the content and the price.
Best regards,
Stéphanne Augé
Mobile 06 03 56 88 79")</f>
        <v>
To follow up on your request for an opinion, I am satisfied with the offer, the content and the price.
Best regards,
Stéphanne Augé
Mobile 06 03 56 88 79</v>
      </c>
    </row>
    <row r="594" ht="15.75" customHeight="1">
      <c r="A594" s="2">
        <v>1.0</v>
      </c>
      <c r="B594" s="2" t="s">
        <v>1735</v>
      </c>
      <c r="C594" s="2" t="s">
        <v>1736</v>
      </c>
      <c r="D594" s="2" t="s">
        <v>1737</v>
      </c>
      <c r="E594" s="2" t="s">
        <v>97</v>
      </c>
      <c r="F594" s="2" t="s">
        <v>15</v>
      </c>
      <c r="G594" s="2" t="s">
        <v>1738</v>
      </c>
      <c r="H594" s="2" t="s">
        <v>103</v>
      </c>
      <c r="I594" s="2" t="str">
        <f>IFERROR(__xludf.DUMMYFUNCTION("GOOGLETRANSLATE(C594,""fr"",""en"")"),"The reimbursements drag for several months under an excuse of a computer problem we owe it a thousand euro for two months I have been cornered by the debts because of them")</f>
        <v>The reimbursements drag for several months under an excuse of a computer problem we owe it a thousand euro for two months I have been cornered by the debts because of them</v>
      </c>
    </row>
    <row r="595" ht="15.75" customHeight="1">
      <c r="A595" s="2">
        <v>2.0</v>
      </c>
      <c r="B595" s="2" t="s">
        <v>1739</v>
      </c>
      <c r="C595" s="2" t="s">
        <v>1740</v>
      </c>
      <c r="D595" s="2" t="s">
        <v>13</v>
      </c>
      <c r="E595" s="2" t="s">
        <v>14</v>
      </c>
      <c r="F595" s="2" t="s">
        <v>15</v>
      </c>
      <c r="G595" s="2" t="s">
        <v>1254</v>
      </c>
      <c r="H595" s="2" t="s">
        <v>52</v>
      </c>
      <c r="I595" s="2" t="str">
        <f>IFERROR(__xludf.DUMMYFUNCTION("GOOGLETRANSLATE(C595,""fr"",""en"")"),"Hello,
I am disappointed by discovering a 25% deductible on replacement of the windshield ...
Impossible to find insurance certificate on the site!
Ditto for the ""special conditions"" mentioned.
")</f>
        <v>Hello,
I am disappointed by discovering a 25% deductible on replacement of the windshield ...
Impossible to find insurance certificate on the site!
Ditto for the "special conditions" mentioned.
</v>
      </c>
    </row>
    <row r="596" ht="15.75" customHeight="1">
      <c r="A596" s="2">
        <v>5.0</v>
      </c>
      <c r="B596" s="2" t="s">
        <v>1741</v>
      </c>
      <c r="C596" s="2" t="s">
        <v>1742</v>
      </c>
      <c r="D596" s="2" t="s">
        <v>24</v>
      </c>
      <c r="E596" s="2" t="s">
        <v>14</v>
      </c>
      <c r="F596" s="2" t="s">
        <v>15</v>
      </c>
      <c r="G596" s="2" t="s">
        <v>929</v>
      </c>
      <c r="H596" s="2" t="s">
        <v>367</v>
      </c>
      <c r="I596" s="2" t="str">
        <f>IFERROR(__xludf.DUMMYFUNCTION("GOOGLETRANSLATE(C596,""fr"",""en"")"),"A quick service - a quality and professional welcome. 200 characters it will be complicated - but the olive tree for the moment is at the top in front of many others - including a certain person who reassured me and also assured me my vehicle ... I will n"&amp;"ot give names Here but some are very long to manage claims or to open files ... that we say. Thank you Marion Oupsss I gave a first name.")</f>
        <v>A quick service - a quality and professional welcome. 200 characters it will be complicated - but the olive tree for the moment is at the top in front of many others - including a certain person who reassured me and also assured me my vehicle ... I will not give names Here but some are very long to manage claims or to open files ... that we say. Thank you Marion Oupsss I gave a first name.</v>
      </c>
    </row>
    <row r="597" ht="15.75" customHeight="1">
      <c r="A597" s="2">
        <v>4.0</v>
      </c>
      <c r="B597" s="2" t="s">
        <v>1743</v>
      </c>
      <c r="C597" s="2" t="s">
        <v>1744</v>
      </c>
      <c r="D597" s="2" t="s">
        <v>13</v>
      </c>
      <c r="E597" s="2" t="s">
        <v>14</v>
      </c>
      <c r="F597" s="2" t="s">
        <v>15</v>
      </c>
      <c r="G597" s="2" t="s">
        <v>1033</v>
      </c>
      <c r="H597" s="2" t="s">
        <v>21</v>
      </c>
      <c r="I597" s="2" t="str">
        <f>IFERROR(__xludf.DUMMYFUNCTION("GOOGLETRANSLATE(C597,""fr"",""en"")"),"I am satisfied with the service
As well as the speed of the processing of the file.
I will highly recommend your services to those around me.
Cordially")</f>
        <v>I am satisfied with the service
As well as the speed of the processing of the file.
I will highly recommend your services to those around me.
Cordially</v>
      </c>
    </row>
    <row r="598" ht="15.75" customHeight="1">
      <c r="A598" s="2">
        <v>3.0</v>
      </c>
      <c r="B598" s="2" t="s">
        <v>1745</v>
      </c>
      <c r="C598" s="2" t="s">
        <v>1746</v>
      </c>
      <c r="D598" s="2" t="s">
        <v>13</v>
      </c>
      <c r="E598" s="2" t="s">
        <v>14</v>
      </c>
      <c r="F598" s="2" t="s">
        <v>15</v>
      </c>
      <c r="G598" s="2" t="s">
        <v>1579</v>
      </c>
      <c r="H598" s="2" t="s">
        <v>17</v>
      </c>
      <c r="I598" s="2" t="str">
        <f>IFERROR(__xludf.DUMMYFUNCTION("GOOGLETRANSLATE(C598,""fr"",""en"")"),"Easy registration, suitable price.
Fast and practical when registering. Availability and responsiveness will be evaluated if declared sinister.
")</f>
        <v>Easy registration, suitable price.
Fast and practical when registering. Availability and responsiveness will be evaluated if declared sinister.
</v>
      </c>
    </row>
    <row r="599" ht="15.75" customHeight="1">
      <c r="A599" s="2">
        <v>4.0</v>
      </c>
      <c r="B599" s="2" t="s">
        <v>1747</v>
      </c>
      <c r="C599" s="2" t="s">
        <v>1748</v>
      </c>
      <c r="D599" s="2" t="s">
        <v>24</v>
      </c>
      <c r="E599" s="2" t="s">
        <v>14</v>
      </c>
      <c r="F599" s="2" t="s">
        <v>15</v>
      </c>
      <c r="G599" s="2" t="s">
        <v>543</v>
      </c>
      <c r="H599" s="2" t="s">
        <v>84</v>
      </c>
      <c r="I599" s="2" t="str">
        <f>IFERROR(__xludf.DUMMYFUNCTION("GOOGLETRANSLATE(C599,""fr"",""en"")"),"I am satisfied with the service however I would have wanted to modify my rib I did not see if it was possible ... it remains despite it a simple and fast method")</f>
        <v>I am satisfied with the service however I would have wanted to modify my rib I did not see if it was possible ... it remains despite it a simple and fast method</v>
      </c>
    </row>
    <row r="600" ht="15.75" customHeight="1">
      <c r="A600" s="2">
        <v>4.0</v>
      </c>
      <c r="B600" s="2" t="s">
        <v>1749</v>
      </c>
      <c r="C600" s="2" t="s">
        <v>1750</v>
      </c>
      <c r="D600" s="2" t="s">
        <v>257</v>
      </c>
      <c r="E600" s="2" t="s">
        <v>34</v>
      </c>
      <c r="F600" s="2" t="s">
        <v>15</v>
      </c>
      <c r="G600" s="2" t="s">
        <v>1751</v>
      </c>
      <c r="H600" s="2" t="s">
        <v>108</v>
      </c>
      <c r="I600" s="2" t="str">
        <f>IFERROR(__xludf.DUMMYFUNCTION("GOOGLETRANSLATE(C600,""fr"",""en"")"),"Quick refund no worries")</f>
        <v>Quick refund no worries</v>
      </c>
    </row>
    <row r="601" ht="15.75" customHeight="1">
      <c r="A601" s="2">
        <v>2.0</v>
      </c>
      <c r="B601" s="2" t="s">
        <v>1752</v>
      </c>
      <c r="C601" s="2" t="s">
        <v>1753</v>
      </c>
      <c r="D601" s="2" t="s">
        <v>13</v>
      </c>
      <c r="E601" s="2" t="s">
        <v>14</v>
      </c>
      <c r="F601" s="2" t="s">
        <v>15</v>
      </c>
      <c r="G601" s="2" t="s">
        <v>1754</v>
      </c>
      <c r="H601" s="2" t="s">
        <v>17</v>
      </c>
      <c r="I601" s="2" t="str">
        <f>IFERROR(__xludf.DUMMYFUNCTION("GOOGLETRANSLATE(C601,""fr"",""en"")"),"Satisfied with this insurance, I just recommend for young driver the prices are high enough, otherwise that's what I could be insured from my sample")</f>
        <v>Satisfied with this insurance, I just recommend for young driver the prices are high enough, otherwise that's what I could be insured from my sample</v>
      </c>
    </row>
    <row r="602" ht="15.75" customHeight="1">
      <c r="A602" s="2">
        <v>5.0</v>
      </c>
      <c r="B602" s="2" t="s">
        <v>1755</v>
      </c>
      <c r="C602" s="2" t="s">
        <v>1756</v>
      </c>
      <c r="D602" s="2" t="s">
        <v>117</v>
      </c>
      <c r="E602" s="2" t="s">
        <v>14</v>
      </c>
      <c r="F602" s="2" t="s">
        <v>15</v>
      </c>
      <c r="G602" s="2" t="s">
        <v>1757</v>
      </c>
      <c r="H602" s="2" t="s">
        <v>144</v>
      </c>
      <c r="I602" s="2" t="str">
        <f>IFERROR(__xludf.DUMMYFUNCTION("GOOGLETRANSLATE(C602,""fr"",""en"")"),"I have been at Allianz for about 3 years.
Customer advisers are available or if they are not, they remind you within 2 hours (with lunch time). It happened to me often.
They are very good advice!
I just inquired about insurance prices elsewhere (5 insu"&amp;"rers). Allianz is more advantageous on: price, deductibles and care rates in the event of an accident.
Suddenly my son will also take on this week.
I saw opinions that delight completely ... Before going to the superior mileage, Allianz contacted me 4 t"&amp;"imes. And with my agreement, they made me pay 50 euros per year ...")</f>
        <v>I have been at Allianz for about 3 years.
Customer advisers are available or if they are not, they remind you within 2 hours (with lunch time). It happened to me often.
They are very good advice!
I just inquired about insurance prices elsewhere (5 insurers). Allianz is more advantageous on: price, deductibles and care rates in the event of an accident.
Suddenly my son will also take on this week.
I saw opinions that delight completely ... Before going to the superior mileage, Allianz contacted me 4 times. And with my agreement, they made me pay 50 euros per year ...</v>
      </c>
    </row>
    <row r="603" ht="15.75" customHeight="1">
      <c r="A603" s="2">
        <v>1.0</v>
      </c>
      <c r="B603" s="2" t="s">
        <v>1758</v>
      </c>
      <c r="C603" s="2" t="s">
        <v>1759</v>
      </c>
      <c r="D603" s="2" t="s">
        <v>617</v>
      </c>
      <c r="E603" s="2" t="s">
        <v>46</v>
      </c>
      <c r="F603" s="2" t="s">
        <v>15</v>
      </c>
      <c r="G603" s="2" t="s">
        <v>1760</v>
      </c>
      <c r="H603" s="2" t="s">
        <v>140</v>
      </c>
      <c r="I603" s="2" t="str">
        <f>IFERROR(__xludf.DUMMYFUNCTION("GOOGLETRANSLATE(C603,""fr"",""en"")"),"Hello I placed 93,000 euros at SOGECAP around 2006 so I no longer have any news, my money has disappeared. Lost lost all, nobody responds to the mail to help me.")</f>
        <v>Hello I placed 93,000 euros at SOGECAP around 2006 so I no longer have any news, my money has disappeared. Lost lost all, nobody responds to the mail to help me.</v>
      </c>
    </row>
    <row r="604" ht="15.75" customHeight="1">
      <c r="A604" s="2">
        <v>5.0</v>
      </c>
      <c r="B604" s="2" t="s">
        <v>1761</v>
      </c>
      <c r="C604" s="2" t="s">
        <v>1762</v>
      </c>
      <c r="D604" s="2" t="s">
        <v>13</v>
      </c>
      <c r="E604" s="2" t="s">
        <v>14</v>
      </c>
      <c r="F604" s="2" t="s">
        <v>15</v>
      </c>
      <c r="G604" s="2" t="s">
        <v>1018</v>
      </c>
      <c r="H604" s="2" t="s">
        <v>21</v>
      </c>
      <c r="I604" s="2" t="str">
        <f>IFERROR(__xludf.DUMMYFUNCTION("GOOGLETRANSLATE(C604,""fr"",""en"")"),"I am satisfied with my contract, I have a huge money gain compared to my old insurance!
I found this insurance thanks to an knowledge that is satisfied with your services.")</f>
        <v>I am satisfied with my contract, I have a huge money gain compared to my old insurance!
I found this insurance thanks to an knowledge that is satisfied with your services.</v>
      </c>
    </row>
    <row r="605" ht="15.75" customHeight="1">
      <c r="A605" s="2">
        <v>2.0</v>
      </c>
      <c r="B605" s="2" t="s">
        <v>1763</v>
      </c>
      <c r="C605" s="2" t="s">
        <v>1764</v>
      </c>
      <c r="D605" s="2" t="s">
        <v>39</v>
      </c>
      <c r="E605" s="2" t="s">
        <v>40</v>
      </c>
      <c r="F605" s="2" t="s">
        <v>15</v>
      </c>
      <c r="G605" s="2" t="s">
        <v>1765</v>
      </c>
      <c r="H605" s="2" t="s">
        <v>144</v>
      </c>
      <c r="I605" s="2" t="str">
        <f>IFERROR(__xludf.DUMMYFUNCTION("GOOGLETRANSLATE(C605,""fr"",""en"")"),"Good insurance if there is no claim. Fire of our house in 2020. Everything is done to compensate at least .... You are no longer the dear member, but the parasite that will cost the GMF money ... forced to take a lawyer for Advance our file. We are more t"&amp;"raumatized by the GMF than by the fire itself. Simply scandalous!")</f>
        <v>Good insurance if there is no claim. Fire of our house in 2020. Everything is done to compensate at least .... You are no longer the dear member, but the parasite that will cost the GMF money ... forced to take a lawyer for Advance our file. We are more traumatized by the GMF than by the fire itself. Simply scandalous!</v>
      </c>
    </row>
    <row r="606" ht="15.75" customHeight="1">
      <c r="A606" s="2">
        <v>2.0</v>
      </c>
      <c r="B606" s="2" t="s">
        <v>1766</v>
      </c>
      <c r="C606" s="2" t="s">
        <v>1767</v>
      </c>
      <c r="D606" s="2" t="s">
        <v>13</v>
      </c>
      <c r="E606" s="2" t="s">
        <v>14</v>
      </c>
      <c r="F606" s="2" t="s">
        <v>15</v>
      </c>
      <c r="G606" s="2" t="s">
        <v>1768</v>
      </c>
      <c r="H606" s="2" t="s">
        <v>52</v>
      </c>
      <c r="I606" s="2" t="str">
        <f>IFERROR(__xludf.DUMMYFUNCTION("GOOGLETRANSLATE(C606,""fr"",""en"")"),"Prices increased by 20 % in 2021 after 1 year of insurance for smoking justifications (parts of parts, etc.). In short, low appeal price the first year .... after we get closer to a traditional insurer but with the advantages of contact. To know before su"&amp;"bscribing.")</f>
        <v>Prices increased by 20 % in 2021 after 1 year of insurance for smoking justifications (parts of parts, etc.). In short, low appeal price the first year .... after we get closer to a traditional insurer but with the advantages of contact. To know before subscribing.</v>
      </c>
    </row>
    <row r="607" ht="15.75" customHeight="1">
      <c r="A607" s="2">
        <v>2.0</v>
      </c>
      <c r="B607" s="2" t="s">
        <v>1769</v>
      </c>
      <c r="C607" s="2" t="s">
        <v>1770</v>
      </c>
      <c r="D607" s="2" t="s">
        <v>13</v>
      </c>
      <c r="E607" s="2" t="s">
        <v>14</v>
      </c>
      <c r="F607" s="2" t="s">
        <v>15</v>
      </c>
      <c r="G607" s="2" t="s">
        <v>373</v>
      </c>
      <c r="H607" s="2" t="s">
        <v>84</v>
      </c>
      <c r="I607" s="2" t="str">
        <f>IFERROR(__xludf.DUMMYFUNCTION("GOOGLETRANSLATE(C607,""fr"",""en"")"),"I put 1 star because I don't have the opportunity to put less.
5 Housing contracts for several years, 1 dispute of declared: on August 29, 2020 I hung a lady on the sidewalk, as she was on the phone, this one fell.
Declaration of quotes all sent to Dire"&amp;"ct Insurance. Despite the reminders 8 months later I just knows no refund because the shop is deceived on the quote on 20.08.2020. I tried to prove my good faith but nothing to do they want to pay anything. 300 euros. I will terminate my contracts because"&amp;" I tell myself if one day my house burns I will have to wait years before I can be reimbursed. Insurance to flee")</f>
        <v>I put 1 star because I don't have the opportunity to put less.
5 Housing contracts for several years, 1 dispute of declared: on August 29, 2020 I hung a lady on the sidewalk, as she was on the phone, this one fell.
Declaration of quotes all sent to Direct Insurance. Despite the reminders 8 months later I just knows no refund because the shop is deceived on the quote on 20.08.2020. I tried to prove my good faith but nothing to do they want to pay anything. 300 euros. I will terminate my contracts because I tell myself if one day my house burns I will have to wait years before I can be reimbursed. Insurance to flee</v>
      </c>
    </row>
    <row r="608" ht="15.75" customHeight="1">
      <c r="A608" s="2">
        <v>2.0</v>
      </c>
      <c r="B608" s="2" t="s">
        <v>1771</v>
      </c>
      <c r="C608" s="2" t="s">
        <v>1772</v>
      </c>
      <c r="D608" s="2" t="s">
        <v>13</v>
      </c>
      <c r="E608" s="2" t="s">
        <v>14</v>
      </c>
      <c r="F608" s="2" t="s">
        <v>15</v>
      </c>
      <c r="G608" s="2" t="s">
        <v>835</v>
      </c>
      <c r="H608" s="2" t="s">
        <v>52</v>
      </c>
      <c r="I608" s="2" t="str">
        <f>IFERROR(__xludf.DUMMYFUNCTION("GOOGLETRANSLATE(C608,""fr"",""en"")"),"You did not take care of the information statement of my former insurer Lovier Assurance It is still missing information you could make the effort to ask them.")</f>
        <v>You did not take care of the information statement of my former insurer Lovier Assurance It is still missing information you could make the effort to ask them.</v>
      </c>
    </row>
    <row r="609" ht="15.75" customHeight="1">
      <c r="A609" s="2">
        <v>2.0</v>
      </c>
      <c r="B609" s="2" t="s">
        <v>1773</v>
      </c>
      <c r="C609" s="2" t="s">
        <v>1774</v>
      </c>
      <c r="D609" s="2" t="s">
        <v>13</v>
      </c>
      <c r="E609" s="2" t="s">
        <v>14</v>
      </c>
      <c r="F609" s="2" t="s">
        <v>15</v>
      </c>
      <c r="G609" s="2" t="s">
        <v>1775</v>
      </c>
      <c r="H609" s="2" t="s">
        <v>728</v>
      </c>
      <c r="I609" s="2" t="str">
        <f>IFERROR(__xludf.DUMMYFUNCTION("GOOGLETRANSLATE(C609,""fr"",""en"")"),"Inexpensive insurance, but who is bad!
Maximum ""All Risks"" contract with Pack or KM Serenity is the maximum contract that can be taken out and no care in the event of a puncture which makes the vehicle immobilized and unusable like a breakdown.
By sub"&amp;"scribing to the serenity pack, I did not think I was in such an unpleasant situation:
The right front tire of my wife's vehicle broke out one evening on the road in the middle of the night 6 km from my home.
It calls the Direct Insurance assistance serv"&amp;"ice by requesting a towing, since the original manufacturer's vehicle does not have a spare tire, moreover, the anti-hassle bomb provided by the manufacturer is ineffective with respect to the gravity of the gravity puncture.
Verdict Assistance: Pigning "&amp;"is not only supported in the event of a breakdown, look at your contract.
I explained that the vehicle was immobilized, but the assistance does not want to know anything.
Cost of the operation: 280 euros of towing at my expense, night price for 6 km fro"&amp;"m my home.
Replacement of tires and change of the rim (because my wife has either hit a stone or a pavement either touched the sidewalk after the tire bursting) or 800 euros in all at my expense.
Explanatory mail sent to Direct Insurance Customer Servic"&amp;"e, with proof of the manufacturer in support that the vehicle does not have a spare wheel and that the vehicle was immobilized by considering the fact that the tire was irreparable.
Final customer service verdict:
Mrs,
Your refund request regarding you"&amp;"r claim of 11/12/2019 has been processed.
Nevertheless, we regret not being able to give a favorable suite. Indeed we remind you that puncture is not guaranteed by the assistance contract.
Remaining at your disposal, we ask you to receive, Madam, our si"&amp;"ncere greetings.
Customer refund service
Maryem Faska
This insurance is a scam.
The people who made me subscribe to us that this 0 km pack was responsible for towing the vehicle from the moment the vehicle is immobilized.
What is the point of taking "&amp;"the o kms otherwise?
Where is the meaning of the word ""serenity""?
I found a competing insurance that offers a real o kms (insurance for all that Direse Insurance does not ensure) even cheaper!
Remember to read the general and specific conditions and "&amp;"above all demand them at the time of your subscription.
")</f>
        <v>Inexpensive insurance, but who is bad!
Maximum "All Risks" contract with Pack or KM Serenity is the maximum contract that can be taken out and no care in the event of a puncture which makes the vehicle immobilized and unusable like a breakdown.
By subscribing to the serenity pack, I did not think I was in such an unpleasant situation:
The right front tire of my wife's vehicle broke out one evening on the road in the middle of the night 6 km from my home.
It calls the Direct Insurance assistance service by requesting a towing, since the original manufacturer's vehicle does not have a spare tire, moreover, the anti-hassle bomb provided by the manufacturer is ineffective with respect to the gravity of the gravity puncture.
Verdict Assistance: Pigning is not only supported in the event of a breakdown, look at your contract.
I explained that the vehicle was immobilized, but the assistance does not want to know anything.
Cost of the operation: 280 euros of towing at my expense, night price for 6 km from my home.
Replacement of tires and change of the rim (because my wife has either hit a stone or a pavement either touched the sidewalk after the tire bursting) or 800 euros in all at my expense.
Explanatory mail sent to Direct Insurance Customer Service, with proof of the manufacturer in support that the vehicle does not have a spare wheel and that the vehicle was immobilized by considering the fact that the tire was irreparable.
Final customer service verdict:
Mrs,
Your refund request regarding your claim of 11/12/2019 has been processed.
Nevertheless, we regret not being able to give a favorable suite. Indeed we remind you that puncture is not guaranteed by the assistance contract.
Remaining at your disposal, we ask you to receive, Madam, our sincere greetings.
Customer refund service
Maryem Faska
This insurance is a scam.
The people who made me subscribe to us that this 0 km pack was responsible for towing the vehicle from the moment the vehicle is immobilized.
What is the point of taking the o kms otherwise?
Where is the meaning of the word "serenity"?
I found a competing insurance that offers a real o kms (insurance for all that Direse Insurance does not ensure) even cheaper!
Remember to read the general and specific conditions and above all demand them at the time of your subscription.
</v>
      </c>
    </row>
    <row r="610" ht="15.75" customHeight="1">
      <c r="A610" s="2">
        <v>4.0</v>
      </c>
      <c r="B610" s="2" t="s">
        <v>1776</v>
      </c>
      <c r="C610" s="2" t="s">
        <v>1777</v>
      </c>
      <c r="D610" s="2" t="s">
        <v>24</v>
      </c>
      <c r="E610" s="2" t="s">
        <v>14</v>
      </c>
      <c r="F610" s="2" t="s">
        <v>15</v>
      </c>
      <c r="G610" s="2" t="s">
        <v>738</v>
      </c>
      <c r="H610" s="2" t="s">
        <v>128</v>
      </c>
      <c r="I610" s="2" t="str">
        <f>IFERROR(__xludf.DUMMYFUNCTION("GOOGLETRANSLATE(C610,""fr"",""en"")"),"I am very satisfied with the subscription of my car contract.
Thank you for listening and your professionalism, during the finalization of my quote.")</f>
        <v>I am very satisfied with the subscription of my car contract.
Thank you for listening and your professionalism, during the finalization of my quote.</v>
      </c>
    </row>
    <row r="611" ht="15.75" customHeight="1">
      <c r="A611" s="2">
        <v>5.0</v>
      </c>
      <c r="B611" s="2" t="s">
        <v>1778</v>
      </c>
      <c r="C611" s="2" t="s">
        <v>1779</v>
      </c>
      <c r="D611" s="2" t="s">
        <v>246</v>
      </c>
      <c r="E611" s="2" t="s">
        <v>34</v>
      </c>
      <c r="F611" s="2" t="s">
        <v>15</v>
      </c>
      <c r="G611" s="2" t="s">
        <v>1780</v>
      </c>
      <c r="H611" s="2" t="s">
        <v>68</v>
      </c>
      <c r="I611" s="2" t="str">
        <f>IFERROR(__xludf.DUMMYFUNCTION("GOOGLETRANSLATE(C611,""fr"",""en"")"),"Hello following an email received concerning my membership two days ago my interlocutor was professional she explained the concern and was able to solve my problem")</f>
        <v>Hello following an email received concerning my membership two days ago my interlocutor was professional she explained the concern and was able to solve my problem</v>
      </c>
    </row>
    <row r="612" ht="15.75" customHeight="1">
      <c r="A612" s="2">
        <v>5.0</v>
      </c>
      <c r="B612" s="2" t="s">
        <v>1781</v>
      </c>
      <c r="C612" s="2" t="s">
        <v>1782</v>
      </c>
      <c r="D612" s="2" t="s">
        <v>24</v>
      </c>
      <c r="E612" s="2" t="s">
        <v>14</v>
      </c>
      <c r="F612" s="2" t="s">
        <v>15</v>
      </c>
      <c r="G612" s="2" t="s">
        <v>1290</v>
      </c>
      <c r="H612" s="2" t="s">
        <v>68</v>
      </c>
      <c r="I612" s="2" t="str">
        <f>IFERROR(__xludf.DUMMYFUNCTION("GOOGLETRANSLATE(C612,""fr"",""en"")"),"Contract subscribed to the phone and everything has been perfect in every way, I am completely satisfied with your services and your prices charged as well as for your professionalism, thank you.")</f>
        <v>Contract subscribed to the phone and everything has been perfect in every way, I am completely satisfied with your services and your prices charged as well as for your professionalism, thank you.</v>
      </c>
    </row>
    <row r="613" ht="15.75" customHeight="1">
      <c r="A613" s="2">
        <v>2.0</v>
      </c>
      <c r="B613" s="2" t="s">
        <v>1783</v>
      </c>
      <c r="C613" s="2" t="s">
        <v>1784</v>
      </c>
      <c r="D613" s="2" t="s">
        <v>13</v>
      </c>
      <c r="E613" s="2" t="s">
        <v>14</v>
      </c>
      <c r="F613" s="2" t="s">
        <v>15</v>
      </c>
      <c r="G613" s="2" t="s">
        <v>1785</v>
      </c>
      <c r="H613" s="2" t="s">
        <v>814</v>
      </c>
      <c r="I613" s="2" t="str">
        <f>IFERROR(__xludf.DUMMYFUNCTION("GOOGLETRANSLATE(C613,""fr"",""en"")"),"Good insurance, but you are fired in the third non -responsible claims. They do not take into account the seniority and the law of series.")</f>
        <v>Good insurance, but you are fired in the third non -responsible claims. They do not take into account the seniority and the law of series.</v>
      </c>
    </row>
    <row r="614" ht="15.75" customHeight="1">
      <c r="A614" s="2">
        <v>5.0</v>
      </c>
      <c r="B614" s="2" t="s">
        <v>1786</v>
      </c>
      <c r="C614" s="2" t="s">
        <v>1787</v>
      </c>
      <c r="D614" s="2" t="s">
        <v>24</v>
      </c>
      <c r="E614" s="2" t="s">
        <v>14</v>
      </c>
      <c r="F614" s="2" t="s">
        <v>15</v>
      </c>
      <c r="G614" s="2" t="s">
        <v>509</v>
      </c>
      <c r="H614" s="2" t="s">
        <v>167</v>
      </c>
      <c r="I614" s="2" t="str">
        <f>IFERROR(__xludf.DUMMYFUNCTION("GOOGLETRANSLATE(C614,""fr"",""en"")"),"Hello it is really beautiful this insurance and especially the speed of your service I wish to stay with olive trees insurance the maximum time and thank you very much.")</f>
        <v>Hello it is really beautiful this insurance and especially the speed of your service I wish to stay with olive trees insurance the maximum time and thank you very much.</v>
      </c>
    </row>
    <row r="615" ht="15.75" customHeight="1">
      <c r="A615" s="2">
        <v>3.0</v>
      </c>
      <c r="B615" s="2" t="s">
        <v>1788</v>
      </c>
      <c r="C615" s="2" t="s">
        <v>1789</v>
      </c>
      <c r="D615" s="2" t="s">
        <v>13</v>
      </c>
      <c r="E615" s="2" t="s">
        <v>14</v>
      </c>
      <c r="F615" s="2" t="s">
        <v>15</v>
      </c>
      <c r="G615" s="2" t="s">
        <v>1104</v>
      </c>
      <c r="H615" s="2" t="s">
        <v>128</v>
      </c>
      <c r="I615" s="2" t="str">
        <f>IFERROR(__xludf.DUMMYFUNCTION("GOOGLETRANSLATE(C615,""fr"",""en"")"),"I am really very satisfied with the service you offer, I recommend direct insurance and I am ready to sponsor one of my loved ones during his next shopping or real estate purchases.")</f>
        <v>I am really very satisfied with the service you offer, I recommend direct insurance and I am ready to sponsor one of my loved ones during his next shopping or real estate purchases.</v>
      </c>
    </row>
    <row r="616" ht="15.75" customHeight="1">
      <c r="A616" s="2">
        <v>4.0</v>
      </c>
      <c r="B616" s="2" t="s">
        <v>1790</v>
      </c>
      <c r="C616" s="2" t="s">
        <v>1791</v>
      </c>
      <c r="D616" s="2" t="s">
        <v>24</v>
      </c>
      <c r="E616" s="2" t="s">
        <v>14</v>
      </c>
      <c r="F616" s="2" t="s">
        <v>15</v>
      </c>
      <c r="G616" s="2" t="s">
        <v>558</v>
      </c>
      <c r="H616" s="2" t="s">
        <v>17</v>
      </c>
      <c r="I616" s="2" t="str">
        <f>IFERROR(__xludf.DUMMYFUNCTION("GOOGLETRANSLATE(C616,""fr"",""en"")"),"My interlocutors were very pleasant thank you to them I would recommend the olive assurance to all my friends, it is simple, fast and effective again thank you")</f>
        <v>My interlocutors were very pleasant thank you to them I would recommend the olive assurance to all my friends, it is simple, fast and effective again thank you</v>
      </c>
    </row>
    <row r="617" ht="15.75" customHeight="1">
      <c r="A617" s="2">
        <v>5.0</v>
      </c>
      <c r="B617" s="2" t="s">
        <v>1792</v>
      </c>
      <c r="C617" s="2" t="s">
        <v>1793</v>
      </c>
      <c r="D617" s="2" t="s">
        <v>24</v>
      </c>
      <c r="E617" s="2" t="s">
        <v>14</v>
      </c>
      <c r="F617" s="2" t="s">
        <v>15</v>
      </c>
      <c r="G617" s="2" t="s">
        <v>345</v>
      </c>
      <c r="H617" s="2" t="s">
        <v>17</v>
      </c>
      <c r="I617" s="2" t="str">
        <f>IFERROR(__xludf.DUMMYFUNCTION("GOOGLETRANSLATE(C617,""fr"",""en"")"),"I am satisfied with the service and I had a very good advisor on the phone!
The price level is lower than the other insurances had to offer me, it is a +")</f>
        <v>I am satisfied with the service and I had a very good advisor on the phone!
The price level is lower than the other insurances had to offer me, it is a +</v>
      </c>
    </row>
    <row r="618" ht="15.75" customHeight="1">
      <c r="A618" s="2">
        <v>1.0</v>
      </c>
      <c r="B618" s="2" t="s">
        <v>1794</v>
      </c>
      <c r="C618" s="2" t="s">
        <v>1795</v>
      </c>
      <c r="D618" s="2" t="s">
        <v>106</v>
      </c>
      <c r="E618" s="2" t="s">
        <v>14</v>
      </c>
      <c r="F618" s="2" t="s">
        <v>15</v>
      </c>
      <c r="G618" s="2" t="s">
        <v>107</v>
      </c>
      <c r="H618" s="2" t="s">
        <v>108</v>
      </c>
      <c r="I618" s="2" t="str">
        <f>IFERROR(__xludf.DUMMYFUNCTION("GOOGLETRANSLATE(C618,""fr"",""en"")"),"""Quality of customer service"", at MACIF, it is only an advertisement. Admittedly, we are in the most unfavorable situation (for us but extremely favorable for the insurance company). Our almost new Fiat 500 (6 months, a very low mileage and insured with"&amp;" an all -risk type formula) was stolen by a drug trafficker. It was found in working order after having traveled several thousand km (probably without bigging) after 20 days. The Macif took refuge behind the regulatory framework and held it at least union"&amp;" (reimbursement of the work estimated at around 1,100 euros on the basis of an expertise during which the car remained motionless ...). The Macif thought of giving a good image of its service by adopting a polished communication style which ultimately dec"&amp;"eives anyone and is far from hiding the total disinterest that it has for its ""customers"". The Macif also claimed to want to help us by launching a call for tenders with spavors (?) Who logically offered wreck price levels. Race assessment has been stol"&amp;"en from almost 4 months now. We have all the sorrows of the world to obtain answers and to go to the following steps to be able to recover the car. We spent hours trying to advance the file (we also have a professional activity) and have the feeling that "&amp;"we are not at the end of our sorrows. We also did not have a car loan throughout this period. The trafficker will go to court and the Macif must be a civil party for the damage she has suffered and try to be reimbursed for the costs incurred for the repai"&amp;"r of our vehicle. It is a safe bet that it will obtain a compensation higher than ours. Insurers are poor victims! For our part we have been customers of the Macif for almost 30 years and have our vehicles as well as that of our daughter insured at home. "&amp;"But it is ultimately unimportant since each time the Macif opposes us contractual reasons.")</f>
        <v>"Quality of customer service", at MACIF, it is only an advertisement. Admittedly, we are in the most unfavorable situation (for us but extremely favorable for the insurance company). Our almost new Fiat 500 (6 months, a very low mileage and insured with an all -risk type formula) was stolen by a drug trafficker. It was found in working order after having traveled several thousand km (probably without bigging) after 20 days. The Macif took refuge behind the regulatory framework and held it at least union (reimbursement of the work estimated at around 1,100 euros on the basis of an expertise during which the car remained motionless ...). The Macif thought of giving a good image of its service by adopting a polished communication style which ultimately deceives anyone and is far from hiding the total disinterest that it has for its "customers". The Macif also claimed to want to help us by launching a call for tenders with spavors (?) Who logically offered wreck price levels. Race assessment has been stolen from almost 4 months now. We have all the sorrows of the world to obtain answers and to go to the following steps to be able to recover the car. We spent hours trying to advance the file (we also have a professional activity) and have the feeling that we are not at the end of our sorrows. We also did not have a car loan throughout this period. The trafficker will go to court and the Macif must be a civil party for the damage she has suffered and try to be reimbursed for the costs incurred for the repair of our vehicle. It is a safe bet that it will obtain a compensation higher than ours. Insurers are poor victims! For our part we have been customers of the Macif for almost 30 years and have our vehicles as well as that of our daughter insured at home. But it is ultimately unimportant since each time the Macif opposes us contractual reasons.</v>
      </c>
    </row>
    <row r="619" ht="15.75" customHeight="1">
      <c r="A619" s="2">
        <v>4.0</v>
      </c>
      <c r="B619" s="2" t="s">
        <v>1796</v>
      </c>
      <c r="C619" s="2" t="s">
        <v>1797</v>
      </c>
      <c r="D619" s="2" t="s">
        <v>231</v>
      </c>
      <c r="E619" s="2" t="s">
        <v>34</v>
      </c>
      <c r="F619" s="2" t="s">
        <v>15</v>
      </c>
      <c r="G619" s="2" t="s">
        <v>1798</v>
      </c>
      <c r="H619" s="2" t="s">
        <v>81</v>
      </c>
      <c r="I619" s="2" t="str">
        <f>IFERROR(__xludf.DUMMYFUNCTION("GOOGLETRANSLATE(C619,""fr"",""en"")"),"Very well explain very nice nobody ................................................ .......")</f>
        <v>Very well explain very nice nobody ................................................ .......</v>
      </c>
    </row>
    <row r="620" ht="15.75" customHeight="1">
      <c r="A620" s="2">
        <v>4.0</v>
      </c>
      <c r="B620" s="2" t="s">
        <v>1799</v>
      </c>
      <c r="C620" s="2" t="s">
        <v>1800</v>
      </c>
      <c r="D620" s="2" t="s">
        <v>60</v>
      </c>
      <c r="E620" s="2" t="s">
        <v>40</v>
      </c>
      <c r="F620" s="2" t="s">
        <v>15</v>
      </c>
      <c r="G620" s="2" t="s">
        <v>1801</v>
      </c>
      <c r="H620" s="2" t="s">
        <v>444</v>
      </c>
      <c r="I620" s="2" t="str">
        <f>IFERROR(__xludf.DUMMYFUNCTION("GOOGLETRANSLATE(C620,""fr"",""en"")"),"People of the insurance profession and very easy to reach, not like these platforms abroad where it is necessary to repeat 3 times the same things to x different interlocutors who do not know the profession of insurer and the guarantees of the contracts t"&amp;"hey sell ... at Pacifica, they are very professional")</f>
        <v>People of the insurance profession and very easy to reach, not like these platforms abroad where it is necessary to repeat 3 times the same things to x different interlocutors who do not know the profession of insurer and the guarantees of the contracts they sell ... at Pacifica, they are very professional</v>
      </c>
    </row>
    <row r="621" ht="15.75" customHeight="1">
      <c r="A621" s="2">
        <v>2.0</v>
      </c>
      <c r="B621" s="2" t="s">
        <v>1802</v>
      </c>
      <c r="C621" s="2" t="s">
        <v>1803</v>
      </c>
      <c r="D621" s="2" t="s">
        <v>993</v>
      </c>
      <c r="E621" s="2" t="s">
        <v>268</v>
      </c>
      <c r="F621" s="2" t="s">
        <v>15</v>
      </c>
      <c r="G621" s="2" t="s">
        <v>1804</v>
      </c>
      <c r="H621" s="2" t="s">
        <v>788</v>
      </c>
      <c r="I621" s="2" t="str">
        <f>IFERROR(__xludf.DUMMYFUNCTION("GOOGLETRANSLATE(C621,""fr"",""en"")"),"Following the death of my first cat and the veterinary care that resulted from it, I looked for insurance/mutual for my last cat.
I contacted health vet and the blue bubbles, I left to take the blue bubbles but Santevet became very attractive because I"&amp;" had to sterilize my last 10 days later and that according to them, the operation would be supported .
Today the operation made, I contact Santevet which tells me that no, nothing will be taken care of ...")</f>
        <v>Following the death of my first cat and the veterinary care that resulted from it, I looked for insurance/mutual for my last cat.
I contacted health vet and the blue bubbles, I left to take the blue bubbles but Santevet became very attractive because I had to sterilize my last 10 days later and that according to them, the operation would be supported .
Today the operation made, I contact Santevet which tells me that no, nothing will be taken care of ...</v>
      </c>
    </row>
    <row r="622" ht="15.75" customHeight="1">
      <c r="A622" s="2">
        <v>2.0</v>
      </c>
      <c r="B622" s="2" t="s">
        <v>1805</v>
      </c>
      <c r="C622" s="2" t="s">
        <v>1806</v>
      </c>
      <c r="D622" s="2" t="s">
        <v>13</v>
      </c>
      <c r="E622" s="2" t="s">
        <v>14</v>
      </c>
      <c r="F622" s="2" t="s">
        <v>15</v>
      </c>
      <c r="G622" s="2" t="s">
        <v>1807</v>
      </c>
      <c r="H622" s="2" t="s">
        <v>167</v>
      </c>
      <c r="I622" s="2" t="str">
        <f>IFERROR(__xludf.DUMMYFUNCTION("GOOGLETRANSLATE(C622,""fr"",""en"")"),"Not satisfied .... The personal space is zero, is not taking into account the shipments made, in particular attachments. The file modes necessary for the qualities of the parts are not suitable.")</f>
        <v>Not satisfied .... The personal space is zero, is not taking into account the shipments made, in particular attachments. The file modes necessary for the qualities of the parts are not suitable.</v>
      </c>
    </row>
    <row r="623" ht="15.75" customHeight="1">
      <c r="A623" s="2">
        <v>4.0</v>
      </c>
      <c r="B623" s="2" t="s">
        <v>1808</v>
      </c>
      <c r="C623" s="2" t="s">
        <v>1809</v>
      </c>
      <c r="D623" s="2" t="s">
        <v>13</v>
      </c>
      <c r="E623" s="2" t="s">
        <v>14</v>
      </c>
      <c r="F623" s="2" t="s">
        <v>15</v>
      </c>
      <c r="G623" s="2" t="s">
        <v>203</v>
      </c>
      <c r="H623" s="2" t="s">
        <v>42</v>
      </c>
      <c r="I623" s="2" t="str">
        <f>IFERROR(__xludf.DUMMYFUNCTION("GOOGLETRANSLATE(C623,""fr"",""en"")"),"The price of the insurance offered for my vehicle is much more attractive than the one I pay today. I'm waiting to see if I am satisfied with direct insurance services for use")</f>
        <v>The price of the insurance offered for my vehicle is much more attractive than the one I pay today. I'm waiting to see if I am satisfied with direct insurance services for use</v>
      </c>
    </row>
    <row r="624" ht="15.75" customHeight="1">
      <c r="A624" s="2">
        <v>5.0</v>
      </c>
      <c r="B624" s="2" t="s">
        <v>1810</v>
      </c>
      <c r="C624" s="2" t="s">
        <v>1811</v>
      </c>
      <c r="D624" s="2" t="s">
        <v>134</v>
      </c>
      <c r="E624" s="2" t="s">
        <v>56</v>
      </c>
      <c r="F624" s="2" t="s">
        <v>15</v>
      </c>
      <c r="G624" s="2" t="s">
        <v>1149</v>
      </c>
      <c r="H624" s="2" t="s">
        <v>167</v>
      </c>
      <c r="I624" s="2" t="str">
        <f>IFERROR(__xludf.DUMMYFUNCTION("GOOGLETRANSLATE(C624,""fr"",""en"")"),"I satisfy the service and the prices suit me.
I was already assured at home for my first motorcycle and everything went well so I came back.")</f>
        <v>I satisfy the service and the prices suit me.
I was already assured at home for my first motorcycle and everything went well so I came back.</v>
      </c>
    </row>
    <row r="625" ht="15.75" customHeight="1">
      <c r="A625" s="2">
        <v>2.0</v>
      </c>
      <c r="B625" s="2" t="s">
        <v>1812</v>
      </c>
      <c r="C625" s="2" t="s">
        <v>1813</v>
      </c>
      <c r="D625" s="2" t="s">
        <v>639</v>
      </c>
      <c r="E625" s="2" t="s">
        <v>46</v>
      </c>
      <c r="F625" s="2" t="s">
        <v>15</v>
      </c>
      <c r="G625" s="2" t="s">
        <v>1814</v>
      </c>
      <c r="H625" s="2" t="s">
        <v>331</v>
      </c>
      <c r="I625" s="2" t="str">
        <f>IFERROR(__xludf.DUMMYFUNCTION("GOOGLETRANSLATE(C625,""fr"",""en"")"),"Non -existent customer service")</f>
        <v>Non -existent customer service</v>
      </c>
    </row>
    <row r="626" ht="15.75" customHeight="1">
      <c r="A626" s="2">
        <v>5.0</v>
      </c>
      <c r="B626" s="2" t="s">
        <v>1815</v>
      </c>
      <c r="C626" s="2" t="s">
        <v>1816</v>
      </c>
      <c r="D626" s="2" t="s">
        <v>13</v>
      </c>
      <c r="E626" s="2" t="s">
        <v>14</v>
      </c>
      <c r="F626" s="2" t="s">
        <v>15</v>
      </c>
      <c r="G626" s="2" t="s">
        <v>582</v>
      </c>
      <c r="H626" s="2" t="s">
        <v>21</v>
      </c>
      <c r="I626" s="2" t="str">
        <f>IFERROR(__xludf.DUMMYFUNCTION("GOOGLETRANSLATE(C626,""fr"",""en"")"),"I am satisfied very well thank you very much for your service
I would recommend your insurance to my friends and family
Thank you for your confidence see you soon
")</f>
        <v>I am satisfied very well thank you very much for your service
I would recommend your insurance to my friends and family
Thank you for your confidence see you soon
</v>
      </c>
    </row>
    <row r="627" ht="15.75" customHeight="1">
      <c r="A627" s="2">
        <v>5.0</v>
      </c>
      <c r="B627" s="2" t="s">
        <v>1817</v>
      </c>
      <c r="C627" s="2" t="s">
        <v>1818</v>
      </c>
      <c r="D627" s="2" t="s">
        <v>65</v>
      </c>
      <c r="E627" s="2" t="s">
        <v>34</v>
      </c>
      <c r="F627" s="2" t="s">
        <v>15</v>
      </c>
      <c r="G627" s="2" t="s">
        <v>1175</v>
      </c>
      <c r="H627" s="2" t="s">
        <v>292</v>
      </c>
      <c r="I627" s="2" t="str">
        <f>IFERROR(__xludf.DUMMYFUNCTION("GOOGLETRANSLATE(C627,""fr"",""en"")"),"Very satisfied with the mutual insurance I have quick answers to my possible problems and expectations
The quality of the service and the amount of contributions are very satisfactory")</f>
        <v>Very satisfied with the mutual insurance I have quick answers to my possible problems and expectations
The quality of the service and the amount of contributions are very satisfactory</v>
      </c>
    </row>
    <row r="628" ht="15.75" customHeight="1">
      <c r="A628" s="2">
        <v>4.0</v>
      </c>
      <c r="B628" s="2" t="s">
        <v>1819</v>
      </c>
      <c r="C628" s="2" t="s">
        <v>1820</v>
      </c>
      <c r="D628" s="2" t="s">
        <v>13</v>
      </c>
      <c r="E628" s="2" t="s">
        <v>14</v>
      </c>
      <c r="F628" s="2" t="s">
        <v>15</v>
      </c>
      <c r="G628" s="2" t="s">
        <v>1821</v>
      </c>
      <c r="H628" s="2" t="s">
        <v>17</v>
      </c>
      <c r="I628" s="2" t="str">
        <f>IFERROR(__xludf.DUMMYFUNCTION("GOOGLETRANSLATE(C628,""fr"",""en"")"),"I am satisfied with the service The prices are interesting.
The subscription is simple and practical.
I recommend.
I even had a disaster and the reimbursement was very fast.")</f>
        <v>I am satisfied with the service The prices are interesting.
The subscription is simple and practical.
I recommend.
I even had a disaster and the reimbursement was very fast.</v>
      </c>
    </row>
    <row r="629" ht="15.75" customHeight="1">
      <c r="A629" s="2">
        <v>1.0</v>
      </c>
      <c r="B629" s="2" t="s">
        <v>1822</v>
      </c>
      <c r="C629" s="2" t="s">
        <v>1823</v>
      </c>
      <c r="D629" s="2" t="s">
        <v>39</v>
      </c>
      <c r="E629" s="2" t="s">
        <v>14</v>
      </c>
      <c r="F629" s="2" t="s">
        <v>15</v>
      </c>
      <c r="G629" s="2" t="s">
        <v>1824</v>
      </c>
      <c r="H629" s="2" t="s">
        <v>331</v>
      </c>
      <c r="I629" s="2" t="str">
        <f>IFERROR(__xludf.DUMMYFUNCTION("GOOGLETRANSLATE(C629,""fr"",""en"")"),"I only leave opinions very often but in view of what I have experienced I feel obliged to do it. I broke down on vacation, my partner and I stayed nearly 6 hours in the middle of nowhere to wait for a GMF solution which did not seem very concerned about u"&amp;"s. Everything was good to try to pay as little as possible !! I have nothing against the standardists but on this day I had to have a dozen different people on the phone, never the same speech, and with each I had to recall the facts of my file. This is t"&amp;"he first once it happens to me and sincerely I found it scandalous. In the end, and after 6 hours of fierce struggle we came across a competent person who found a solution in 10 minutes. There is clearly a lack of skills in some ...")</f>
        <v>I only leave opinions very often but in view of what I have experienced I feel obliged to do it. I broke down on vacation, my partner and I stayed nearly 6 hours in the middle of nowhere to wait for a GMF solution which did not seem very concerned about us. Everything was good to try to pay as little as possible !! I have nothing against the standardists but on this day I had to have a dozen different people on the phone, never the same speech, and with each I had to recall the facts of my file. This is the first once it happens to me and sincerely I found it scandalous. In the end, and after 6 hours of fierce struggle we came across a competent person who found a solution in 10 minutes. There is clearly a lack of skills in some ...</v>
      </c>
    </row>
    <row r="630" ht="15.75" customHeight="1">
      <c r="A630" s="2">
        <v>4.0</v>
      </c>
      <c r="B630" s="2" t="s">
        <v>1825</v>
      </c>
      <c r="C630" s="2" t="s">
        <v>1826</v>
      </c>
      <c r="D630" s="2" t="s">
        <v>13</v>
      </c>
      <c r="E630" s="2" t="s">
        <v>14</v>
      </c>
      <c r="F630" s="2" t="s">
        <v>15</v>
      </c>
      <c r="G630" s="2" t="s">
        <v>1827</v>
      </c>
      <c r="H630" s="2" t="s">
        <v>52</v>
      </c>
      <c r="I630" s="2" t="str">
        <f>IFERROR(__xludf.DUMMYFUNCTION("GOOGLETRANSLATE(C630,""fr"",""en"")"),"I am satisfied with the services
Prices suit me
The service by phone is easy to access, the wait is not too long, the quote is done quickly and
The advisor is listening
I
")</f>
        <v>I am satisfied with the services
Prices suit me
The service by phone is easy to access, the wait is not too long, the quote is done quickly and
The advisor is listening
I
</v>
      </c>
    </row>
    <row r="631" ht="15.75" customHeight="1">
      <c r="A631" s="2">
        <v>5.0</v>
      </c>
      <c r="B631" s="2" t="s">
        <v>1828</v>
      </c>
      <c r="C631" s="2" t="s">
        <v>1829</v>
      </c>
      <c r="D631" s="2" t="s">
        <v>246</v>
      </c>
      <c r="E631" s="2" t="s">
        <v>34</v>
      </c>
      <c r="F631" s="2" t="s">
        <v>15</v>
      </c>
      <c r="G631" s="2" t="s">
        <v>552</v>
      </c>
      <c r="H631" s="2" t="s">
        <v>21</v>
      </c>
      <c r="I631" s="2" t="str">
        <f>IFERROR(__xludf.DUMMYFUNCTION("GOOGLETRANSLATE(C631,""fr"",""en"")"),"I would like to thank Goerge for his very very beneficial telephonic presetation for me, it is a human man, very patient who managed to settle my problem very quickly.
Thanks to him.")</f>
        <v>I would like to thank Goerge for his very very beneficial telephonic presetation for me, it is a human man, very patient who managed to settle my problem very quickly.
Thanks to him.</v>
      </c>
    </row>
    <row r="632" ht="15.75" customHeight="1">
      <c r="A632" s="2">
        <v>5.0</v>
      </c>
      <c r="B632" s="2" t="s">
        <v>1830</v>
      </c>
      <c r="C632" s="2" t="s">
        <v>1831</v>
      </c>
      <c r="D632" s="2" t="s">
        <v>24</v>
      </c>
      <c r="E632" s="2" t="s">
        <v>14</v>
      </c>
      <c r="F632" s="2" t="s">
        <v>15</v>
      </c>
      <c r="G632" s="2" t="s">
        <v>170</v>
      </c>
      <c r="H632" s="2" t="s">
        <v>84</v>
      </c>
      <c r="I632" s="2" t="str">
        <f>IFERROR(__xludf.DUMMYFUNCTION("GOOGLETRANSLATE(C632,""fr"",""en"")"),"The prices are nice. The implementation of the insurance was simple and the phone advisor was effective. The guarantees are complete. The sponsorship offer does not work with comparators")</f>
        <v>The prices are nice. The implementation of the insurance was simple and the phone advisor was effective. The guarantees are complete. The sponsorship offer does not work with comparators</v>
      </c>
    </row>
    <row r="633" ht="15.75" customHeight="1">
      <c r="A633" s="2">
        <v>5.0</v>
      </c>
      <c r="B633" s="2" t="s">
        <v>1832</v>
      </c>
      <c r="C633" s="2" t="s">
        <v>1833</v>
      </c>
      <c r="D633" s="2" t="s">
        <v>65</v>
      </c>
      <c r="E633" s="2" t="s">
        <v>34</v>
      </c>
      <c r="F633" s="2" t="s">
        <v>15</v>
      </c>
      <c r="G633" s="2" t="s">
        <v>1834</v>
      </c>
      <c r="H633" s="2" t="s">
        <v>73</v>
      </c>
      <c r="I633" s="2" t="str">
        <f>IFERROR(__xludf.DUMMYFUNCTION("GOOGLETRANSLATE(C633,""fr"",""en"")"),"Very good insurance I recommend, I never felt so good")</f>
        <v>Very good insurance I recommend, I never felt so good</v>
      </c>
    </row>
    <row r="634" ht="15.75" customHeight="1">
      <c r="A634" s="2">
        <v>4.0</v>
      </c>
      <c r="B634" s="2" t="s">
        <v>1835</v>
      </c>
      <c r="C634" s="2" t="s">
        <v>1836</v>
      </c>
      <c r="D634" s="2" t="s">
        <v>71</v>
      </c>
      <c r="E634" s="2" t="s">
        <v>14</v>
      </c>
      <c r="F634" s="2" t="s">
        <v>15</v>
      </c>
      <c r="G634" s="2" t="s">
        <v>1837</v>
      </c>
      <c r="H634" s="2" t="s">
        <v>335</v>
      </c>
      <c r="I634" s="2" t="str">
        <f>IFERROR(__xludf.DUMMYFUNCTION("GOOGLETRANSLATE(C634,""fr"",""en"")"),"Not a lot to say, I'm happy. The prices are a little more expensive, but at least I listen to me and for me it goes well!")</f>
        <v>Not a lot to say, I'm happy. The prices are a little more expensive, but at least I listen to me and for me it goes well!</v>
      </c>
    </row>
    <row r="635" ht="15.75" customHeight="1">
      <c r="A635" s="2">
        <v>1.0</v>
      </c>
      <c r="B635" s="2" t="s">
        <v>1838</v>
      </c>
      <c r="C635" s="2" t="s">
        <v>1839</v>
      </c>
      <c r="D635" s="2" t="s">
        <v>71</v>
      </c>
      <c r="E635" s="2" t="s">
        <v>40</v>
      </c>
      <c r="F635" s="2" t="s">
        <v>15</v>
      </c>
      <c r="G635" s="2" t="s">
        <v>1840</v>
      </c>
      <c r="H635" s="2" t="s">
        <v>119</v>
      </c>
      <c r="I635" s="2" t="str">
        <f>IFERROR(__xludf.DUMMYFUNCTION("GOOGLETRANSLATE(C635,""fr"",""en"")"),"Hello
It's been over 20 years since I was in Maif and everything was going very well (obviously I had no claim). Unfortunately I have suffered disorders on my home (appearance of cracks in facades) following the summer of 2018 and therefore logically mad"&amp;"e a declaration of a claim following the publication of the Cat Nat Drought decree recognizing this episode of drought for my town. The cracks appeared during the period cited. The MAIF has mandated one of its affiliate experts, an expert totally at La Bo"&amp;"tte de la MAIF, who had in no case had the objective of assessing the damage but to seek any other causes that are so aberrant and unjustified be they to try to guarantee MAIF's financial interests and do not take care of repairs! (Cause advanced by the e"&amp;"xpert of a possible weakness of my home !! Yet without problem for 80 years !! In summary, the MAIF highlights the possible strengthening of a house against the disaster encountered rather than taking charge of them In repairs of the damage suffered by dr"&amp;"ought! We walk on the head) and despite a detailed letter on my part clearly specifying all the reliable and inconsistencies / ""false"" arguments in the expert report (well, we cannot name this report 'Expertise, at most a defense CR for the maif full of"&amp;" assumptions and without any factual element), with a magic wand, the maif replied that a so-called regional expert at the bottom of his chair validated the First expertise after 2 days without even having read my mail! (While I had waited 9 months the re"&amp;"turn of the expertise !!!) The approach becomes laughable, knowing that the 1st expertise had absolutely no information measured or reliable. In conclusion, it is intolerable to undergo such an approach, MAIF being well aware, and knows how to recall it, "&amp;"that a legal approach is heavy to assume for the insured. It is purely inadmissible! But being faced with an injustice, I will go to the mediator and if necessary in justice to assert my rights!
In summary I fall from very high and discover with fright t"&amp;"hat the maif does not take at all in considerations its insured and does not actually think that harvesting the monthly payments of his insured but not to accompany them in the care of a disaster Yet proven. I still hope to be wrong ...")</f>
        <v>Hello
It's been over 20 years since I was in Maif and everything was going very well (obviously I had no claim). Unfortunately I have suffered disorders on my home (appearance of cracks in facades) following the summer of 2018 and therefore logically made a declaration of a claim following the publication of the Cat Nat Drought decree recognizing this episode of drought for my town. The cracks appeared during the period cited. The MAIF has mandated one of its affiliate experts, an expert totally at La Botte de la MAIF, who had in no case had the objective of assessing the damage but to seek any other causes that are so aberrant and unjustified be they to try to guarantee MAIF's financial interests and do not take care of repairs! (Cause advanced by the expert of a possible weakness of my home !! Yet without problem for 80 years !! In summary, the MAIF highlights the possible strengthening of a house against the disaster encountered rather than taking charge of them In repairs of the damage suffered by drought! We walk on the head) and despite a detailed letter on my part clearly specifying all the reliable and inconsistencies / "false" arguments in the expert report (well, we cannot name this report 'Expertise, at most a defense CR for the maif full of assumptions and without any factual element), with a magic wand, the maif replied that a so-called regional expert at the bottom of his chair validated the First expertise after 2 days without even having read my mail! (While I had waited 9 months the return of the expertise !!!) The approach becomes laughable, knowing that the 1st expertise had absolutely no information measured or reliable. In conclusion, it is intolerable to undergo such an approach, MAIF being well aware, and knows how to recall it, that a legal approach is heavy to assume for the insured. It is purely inadmissible! But being faced with an injustice, I will go to the mediator and if necessary in justice to assert my rights!
In summary I fall from very high and discover with fright that the maif does not take at all in considerations its insured and does not actually think that harvesting the monthly payments of his insured but not to accompany them in the care of a disaster Yet proven. I still hope to be wrong ...</v>
      </c>
    </row>
    <row r="636" ht="15.75" customHeight="1">
      <c r="A636" s="2">
        <v>1.0</v>
      </c>
      <c r="B636" s="2" t="s">
        <v>1841</v>
      </c>
      <c r="C636" s="2" t="s">
        <v>1842</v>
      </c>
      <c r="D636" s="2" t="s">
        <v>106</v>
      </c>
      <c r="E636" s="2" t="s">
        <v>14</v>
      </c>
      <c r="F636" s="2" t="s">
        <v>15</v>
      </c>
      <c r="G636" s="2" t="s">
        <v>1843</v>
      </c>
      <c r="H636" s="2" t="s">
        <v>36</v>
      </c>
      <c r="I636" s="2" t="str">
        <f>IFERROR(__xludf.DUMMYFUNCTION("GOOGLETRANSLATE(C636,""fr"",""en"")"),"Insured for my 14 years and I have 46. Never had responsible claims, unfortunately for me, lightning fell on my house, result my grilled alarm. More than 3 months to be reimbursed and again because I got guided with the Macif overcomes. Final, radiation f"&amp;"or commercial disagreement. An agent admitted to me that I had been struck off because they were afraid that I will make other claims. Their policy: everything is fine until there is nothing to repay. I can tell you that since then, my new insurer has bee"&amp;"n happy to have at home, 2 motorcycles, 1 scooter, 3 cars and my home. Flee this insurance, for your comfort!")</f>
        <v>Insured for my 14 years and I have 46. Never had responsible claims, unfortunately for me, lightning fell on my house, result my grilled alarm. More than 3 months to be reimbursed and again because I got guided with the Macif overcomes. Final, radiation for commercial disagreement. An agent admitted to me that I had been struck off because they were afraid that I will make other claims. Their policy: everything is fine until there is nothing to repay. I can tell you that since then, my new insurer has been happy to have at home, 2 motorcycles, 1 scooter, 3 cars and my home. Flee this insurance, for your comfort!</v>
      </c>
    </row>
    <row r="637" ht="15.75" customHeight="1">
      <c r="A637" s="2">
        <v>5.0</v>
      </c>
      <c r="B637" s="2" t="s">
        <v>1844</v>
      </c>
      <c r="C637" s="2" t="s">
        <v>1845</v>
      </c>
      <c r="D637" s="2" t="s">
        <v>39</v>
      </c>
      <c r="E637" s="2" t="s">
        <v>14</v>
      </c>
      <c r="F637" s="2" t="s">
        <v>15</v>
      </c>
      <c r="G637" s="2" t="s">
        <v>940</v>
      </c>
      <c r="H637" s="2" t="s">
        <v>42</v>
      </c>
      <c r="I637" s="2" t="str">
        <f>IFERROR(__xludf.DUMMYFUNCTION("GOOGLETRANSLATE(C637,""fr"",""en"")"),"I have been faithful to GMF for many years for its quality of service, its proximity thanks to its agencies.
The prices are competitive compared to competition with equivalent benefits")</f>
        <v>I have been faithful to GMF for many years for its quality of service, its proximity thanks to its agencies.
The prices are competitive compared to competition with equivalent benefits</v>
      </c>
    </row>
    <row r="638" ht="15.75" customHeight="1">
      <c r="A638" s="2">
        <v>4.0</v>
      </c>
      <c r="B638" s="2" t="s">
        <v>1846</v>
      </c>
      <c r="C638" s="2" t="s">
        <v>1847</v>
      </c>
      <c r="D638" s="2" t="s">
        <v>55</v>
      </c>
      <c r="E638" s="2" t="s">
        <v>56</v>
      </c>
      <c r="F638" s="2" t="s">
        <v>15</v>
      </c>
      <c r="G638" s="2" t="s">
        <v>114</v>
      </c>
      <c r="H638" s="2" t="s">
        <v>42</v>
      </c>
      <c r="I638" s="2" t="str">
        <f>IFERROR(__xludf.DUMMYFUNCTION("GOOGLETRANSLATE(C638,""fr"",""en"")"),"I am satisfied and the price is reasonable and competitive. The online site allows a quick subscription to the desired insurance.
Thanks see you soon.")</f>
        <v>I am satisfied and the price is reasonable and competitive. The online site allows a quick subscription to the desired insurance.
Thanks see you soon.</v>
      </c>
    </row>
    <row r="639" ht="15.75" customHeight="1">
      <c r="A639" s="2">
        <v>1.0</v>
      </c>
      <c r="B639" s="2" t="s">
        <v>1848</v>
      </c>
      <c r="C639" s="2" t="s">
        <v>1849</v>
      </c>
      <c r="D639" s="2" t="s">
        <v>13</v>
      </c>
      <c r="E639" s="2" t="s">
        <v>14</v>
      </c>
      <c r="F639" s="2" t="s">
        <v>15</v>
      </c>
      <c r="G639" s="2" t="s">
        <v>52</v>
      </c>
      <c r="H639" s="2" t="s">
        <v>52</v>
      </c>
      <c r="I639" s="2" t="str">
        <f>IFERROR(__xludf.DUMMYFUNCTION("GOOGLETRANSLATE(C639,""fr"",""en"")"),"Disstabrication of customer service inappropriate response familiar language, zeros solutions proposed. I terminated my contract 10 minutes later, more attractive and professional competitor.")</f>
        <v>Disstabrication of customer service inappropriate response familiar language, zeros solutions proposed. I terminated my contract 10 minutes later, more attractive and professional competitor.</v>
      </c>
    </row>
    <row r="640" ht="15.75" customHeight="1">
      <c r="A640" s="2">
        <v>4.0</v>
      </c>
      <c r="B640" s="2" t="s">
        <v>1850</v>
      </c>
      <c r="C640" s="2" t="s">
        <v>1851</v>
      </c>
      <c r="D640" s="2" t="s">
        <v>24</v>
      </c>
      <c r="E640" s="2" t="s">
        <v>14</v>
      </c>
      <c r="F640" s="2" t="s">
        <v>15</v>
      </c>
      <c r="G640" s="2" t="s">
        <v>558</v>
      </c>
      <c r="H640" s="2" t="s">
        <v>17</v>
      </c>
      <c r="I640" s="2" t="str">
        <f>IFERROR(__xludf.DUMMYFUNCTION("GOOGLETRANSLATE(C640,""fr"",""en"")"),"Hello, I am very very very very satisfied with the price of guarantees and the speed of online service. I highly recommend it to my loved ones.")</f>
        <v>Hello, I am very very very very satisfied with the price of guarantees and the speed of online service. I highly recommend it to my loved ones.</v>
      </c>
    </row>
    <row r="641" ht="15.75" customHeight="1">
      <c r="A641" s="2">
        <v>2.0</v>
      </c>
      <c r="B641" s="2" t="s">
        <v>1852</v>
      </c>
      <c r="C641" s="2" t="s">
        <v>1853</v>
      </c>
      <c r="D641" s="2" t="s">
        <v>24</v>
      </c>
      <c r="E641" s="2" t="s">
        <v>14</v>
      </c>
      <c r="F641" s="2" t="s">
        <v>15</v>
      </c>
      <c r="G641" s="2" t="s">
        <v>1854</v>
      </c>
      <c r="H641" s="2" t="s">
        <v>225</v>
      </c>
      <c r="I641" s="2" t="str">
        <f>IFERROR(__xludf.DUMMYFUNCTION("GOOGLETRANSLATE(C641,""fr"",""en"")"),"Vehicle insured at home since 2013, no claim, a contract that is rolling (!) All alone.
At the end of 2019, an increase of 14.5% without any justification.
I phone to complain, I am not given any explanation, but I am offered a commercial gesture, assoc"&amp;"iated with a drop in annual mileage, the increase is divided by 2, which remains extraordinary.
In early November 2020, new increase, the previous commercial gesture being one shot ...
We rebuild the point: since the beginning of 2020, I have been retir"&amp;"ed, the vehicle is therefore ""private trips only"", and I moved from a city in Ile de France subject to flights, to a very very calm Gard city. .
According to Olivier Assurances, it is this move that is the cause of the increase, which I dispute.
Indee"&amp;"d, I used several insurance comparators, by making quotes for which I used the old and the new address alternately, and all give a lower price for the new address!
I point out that to Olivier Assurances, and there, the advisor informs me that they have s"&amp;"oftware, of which he cannot reveal the cogs, which considers that my new address is much more dangerous than the old ...
Obviously, in my recent quotes, I have Olivier Assurances themselves, which are much cheaper ... But that, Mr. Advisor does not want "&amp;"to hear it, according to him I necessarily changed a parameter without m 'Conside it.
Perfect bad faith, unacceptable, which suggests the worst in the future.
Olivier Assurance attracts you with a competitive price, then they catch up in the following y"&amp;"ears, know where you put your feet!")</f>
        <v>Vehicle insured at home since 2013, no claim, a contract that is rolling (!) All alone.
At the end of 2019, an increase of 14.5% without any justification.
I phone to complain, I am not given any explanation, but I am offered a commercial gesture, associated with a drop in annual mileage, the increase is divided by 2, which remains extraordinary.
In early November 2020, new increase, the previous commercial gesture being one shot ...
We rebuild the point: since the beginning of 2020, I have been retired, the vehicle is therefore "private trips only", and I moved from a city in Ile de France subject to flights, to a very very calm Gard city. .
According to Olivier Assurances, it is this move that is the cause of the increase, which I dispute.
Indeed, I used several insurance comparators, by making quotes for which I used the old and the new address alternately, and all give a lower price for the new address!
I point out that to Olivier Assurances, and there, the advisor informs me that they have software, of which he cannot reveal the cogs, which considers that my new address is much more dangerous than the old ...
Obviously, in my recent quotes, I have Olivier Assurances themselves, which are much cheaper ... But that, Mr. Advisor does not want to hear it, according to him I necessarily changed a parameter without m 'Conside it.
Perfect bad faith, unacceptable, which suggests the worst in the future.
Olivier Assurance attracts you with a competitive price, then they catch up in the following years, know where you put your feet!</v>
      </c>
    </row>
    <row r="642" ht="15.75" customHeight="1">
      <c r="A642" s="2">
        <v>2.0</v>
      </c>
      <c r="B642" s="2" t="s">
        <v>1855</v>
      </c>
      <c r="C642" s="2" t="s">
        <v>1856</v>
      </c>
      <c r="D642" s="2" t="s">
        <v>55</v>
      </c>
      <c r="E642" s="2" t="s">
        <v>56</v>
      </c>
      <c r="F642" s="2" t="s">
        <v>15</v>
      </c>
      <c r="G642" s="2" t="s">
        <v>858</v>
      </c>
      <c r="H642" s="2" t="s">
        <v>17</v>
      </c>
      <c r="I642" s="2" t="str">
        <f>IFERROR(__xludf.DUMMYFUNCTION("GOOGLETRANSLATE(C642,""fr"",""en"")"),"In my opinion, prudent and without accident drivers for a year should be rewarded with a decrease in their insurance contract. This would encourage them to do better.
CDLT.")</f>
        <v>In my opinion, prudent and without accident drivers for a year should be rewarded with a decrease in their insurance contract. This would encourage them to do better.
CDLT.</v>
      </c>
    </row>
    <row r="643" ht="15.75" customHeight="1">
      <c r="A643" s="2">
        <v>1.0</v>
      </c>
      <c r="B643" s="2" t="s">
        <v>1857</v>
      </c>
      <c r="C643" s="2" t="s">
        <v>1858</v>
      </c>
      <c r="D643" s="2" t="s">
        <v>55</v>
      </c>
      <c r="E643" s="2" t="s">
        <v>56</v>
      </c>
      <c r="F643" s="2" t="s">
        <v>15</v>
      </c>
      <c r="G643" s="2" t="s">
        <v>1859</v>
      </c>
      <c r="H643" s="2" t="s">
        <v>536</v>
      </c>
      <c r="I643" s="2" t="str">
        <f>IFERROR(__xludf.DUMMYFUNCTION("GOOGLETRANSLATE(C643,""fr"",""en"")"),"Insured at home for a two wheels. As long as you have no problem, everything is fine. Otherwise it's anything. I was robbed of my scooter's battery and they tell me that the franchise is 450 euros. For a battery at 50 euros. I ask for explanations and I a"&amp;"m clearly made to understand that it is either I pay this franchise or I manage alone. Scandal!")</f>
        <v>Insured at home for a two wheels. As long as you have no problem, everything is fine. Otherwise it's anything. I was robbed of my scooter's battery and they tell me that the franchise is 450 euros. For a battery at 50 euros. I ask for explanations and I am clearly made to understand that it is either I pay this franchise or I manage alone. Scandal!</v>
      </c>
    </row>
    <row r="644" ht="15.75" customHeight="1">
      <c r="A644" s="2">
        <v>5.0</v>
      </c>
      <c r="B644" s="2" t="s">
        <v>1860</v>
      </c>
      <c r="C644" s="2" t="s">
        <v>1861</v>
      </c>
      <c r="D644" s="2" t="s">
        <v>24</v>
      </c>
      <c r="E644" s="2" t="s">
        <v>14</v>
      </c>
      <c r="F644" s="2" t="s">
        <v>15</v>
      </c>
      <c r="G644" s="2" t="s">
        <v>1862</v>
      </c>
      <c r="H644" s="2" t="s">
        <v>52</v>
      </c>
      <c r="I644" s="2" t="str">
        <f>IFERROR(__xludf.DUMMYFUNCTION("GOOGLETRANSLATE(C644,""fr"",""en"")"),"I was very satisfied by the quality of the service and the care of my request, I recommend the Olivier Insurance, it is a very good choice.")</f>
        <v>I was very satisfied by the quality of the service and the care of my request, I recommend the Olivier Insurance, it is a very good choice.</v>
      </c>
    </row>
    <row r="645" ht="15.75" customHeight="1">
      <c r="A645" s="2">
        <v>3.0</v>
      </c>
      <c r="B645" s="2" t="s">
        <v>1863</v>
      </c>
      <c r="C645" s="2" t="s">
        <v>1864</v>
      </c>
      <c r="D645" s="2" t="s">
        <v>416</v>
      </c>
      <c r="E645" s="2" t="s">
        <v>34</v>
      </c>
      <c r="F645" s="2" t="s">
        <v>15</v>
      </c>
      <c r="G645" s="2" t="s">
        <v>1865</v>
      </c>
      <c r="H645" s="2" t="s">
        <v>636</v>
      </c>
      <c r="I645" s="2" t="str">
        <f>IFERROR(__xludf.DUMMYFUNCTION("GOOGLETRANSLATE(C645,""fr"",""en"")"),"Mutual to avoid at all costs, for the same price you will surely find shoe at your foot with any other company.
I am assuring with my business is I think to exchange with my management to negotiate the contract with another company.
After several teleph"&amp;"one contacts or everything and well in the best of worlds. To date, no results at my request; In August 2017 last I had to advance the amount of my corrective glasses while the third -party third party was in place 'fortunately that my optician inquired i"&amp;"f not he should have supported the costs. To date March 2018 all the same, and after several telephone calls and sending emails still no refund.
I think I put this file in the hands of my lawyer, but it will of course get out of the costs ""but good"".
"&amp;"Someone would have a solution, or else other people are in my case, because as long as I advance costs I am ready to create a collective, that is to see companies like this one 'amuse with the money from the insured
")</f>
        <v>Mutual to avoid at all costs, for the same price you will surely find shoe at your foot with any other company.
I am assuring with my business is I think to exchange with my management to negotiate the contract with another company.
After several telephone contacts or everything and well in the best of worlds. To date, no results at my request; In August 2017 last I had to advance the amount of my corrective glasses while the third -party third party was in place 'fortunately that my optician inquired if not he should have supported the costs. To date March 2018 all the same, and after several telephone calls and sending emails still no refund.
I think I put this file in the hands of my lawyer, but it will of course get out of the costs "but good".
Someone would have a solution, or else other people are in my case, because as long as I advance costs I am ready to create a collective, that is to see companies like this one 'amuse with the money from the insured
</v>
      </c>
    </row>
    <row r="646" ht="15.75" customHeight="1">
      <c r="A646" s="2">
        <v>4.0</v>
      </c>
      <c r="B646" s="2" t="s">
        <v>1866</v>
      </c>
      <c r="C646" s="2" t="s">
        <v>1867</v>
      </c>
      <c r="D646" s="2" t="s">
        <v>117</v>
      </c>
      <c r="E646" s="2" t="s">
        <v>14</v>
      </c>
      <c r="F646" s="2" t="s">
        <v>15</v>
      </c>
      <c r="G646" s="2" t="s">
        <v>599</v>
      </c>
      <c r="H646" s="2" t="s">
        <v>140</v>
      </c>
      <c r="I646" s="2" t="str">
        <f>IFERROR(__xludf.DUMMYFUNCTION("GOOGLETRANSLATE(C646,""fr"",""en"")"),"Insurance very well no problem, he reimburses a month of insurance without having made a request, if I was a hard month he wanted to shift while remaining reasonable. I advise and I will redo contacts with them and even the advisers to my families.
 ")</f>
        <v>Insurance very well no problem, he reimburses a month of insurance without having made a request, if I was a hard month he wanted to shift while remaining reasonable. I advise and I will redo contacts with them and even the advisers to my families.
 </v>
      </c>
    </row>
    <row r="647" ht="15.75" customHeight="1">
      <c r="A647" s="2">
        <v>3.0</v>
      </c>
      <c r="B647" s="2" t="s">
        <v>1868</v>
      </c>
      <c r="C647" s="2" t="s">
        <v>1869</v>
      </c>
      <c r="D647" s="2" t="s">
        <v>24</v>
      </c>
      <c r="E647" s="2" t="s">
        <v>14</v>
      </c>
      <c r="F647" s="2" t="s">
        <v>15</v>
      </c>
      <c r="G647" s="2" t="s">
        <v>1870</v>
      </c>
      <c r="H647" s="2" t="s">
        <v>540</v>
      </c>
      <c r="I647" s="2" t="str">
        <f>IFERROR(__xludf.DUMMYFUNCTION("GOOGLETRANSLATE(C647,""fr"",""en"")"),"Following a claim (theft of my car) I learn (after several mail reminders remain unanswered I ended up calling ...) that documents would be missed for subscription !! However, I received my final green card .... it is simply scandalous")</f>
        <v>Following a claim (theft of my car) I learn (after several mail reminders remain unanswered I ended up calling ...) that documents would be missed for subscription !! However, I received my final green card .... it is simply scandalous</v>
      </c>
    </row>
    <row r="648" ht="15.75" customHeight="1">
      <c r="A648" s="2">
        <v>1.0</v>
      </c>
      <c r="B648" s="2" t="s">
        <v>1871</v>
      </c>
      <c r="C648" s="2" t="s">
        <v>1872</v>
      </c>
      <c r="D648" s="2" t="s">
        <v>45</v>
      </c>
      <c r="E648" s="2" t="s">
        <v>14</v>
      </c>
      <c r="F648" s="2" t="s">
        <v>15</v>
      </c>
      <c r="G648" s="2" t="s">
        <v>1873</v>
      </c>
      <c r="H648" s="2" t="s">
        <v>728</v>
      </c>
      <c r="I648" s="2" t="str">
        <f>IFERROR(__xludf.DUMMYFUNCTION("GOOGLETRANSLATE(C648,""fr"",""en"")"),"Insured AXA for more than 20 years, several vehicles simultaneously (4 in total) housing, accident accident insurance. Zero sinister since always! I thought I was a good customer until my daughter obtained her license.
To assure it, they necessarily want"&amp;" me to provide it as a main driver. She studies and leaves by train for the whole week. My wrong was to say that with the strikes of the moment she could take the vehicle! (I have a collector vehicle that rolls very can! Another without valid technical co"&amp;"ntrol which therefore does not drive there are 2 cars one for me and madam !!!)
After a month of discussions going as far as requested an amicable break for my last well insured little Clio better suited for a young categorical refusal driver!
Results 6"&amp;" contracts lost for AXA instead of one. The competition welcomed me !!!
 ")</f>
        <v>Insured AXA for more than 20 years, several vehicles simultaneously (4 in total) housing, accident accident insurance. Zero sinister since always! I thought I was a good customer until my daughter obtained her license.
To assure it, they necessarily want me to provide it as a main driver. She studies and leaves by train for the whole week. My wrong was to say that with the strikes of the moment she could take the vehicle! (I have a collector vehicle that rolls very can! Another without valid technical control which therefore does not drive there are 2 cars one for me and madam !!!)
After a month of discussions going as far as requested an amicable break for my last well insured little Clio better suited for a young categorical refusal driver!
Results 6 contracts lost for AXA instead of one. The competition welcomed me !!!
 </v>
      </c>
    </row>
    <row r="649" ht="15.75" customHeight="1">
      <c r="A649" s="2">
        <v>1.0</v>
      </c>
      <c r="B649" s="2" t="s">
        <v>1874</v>
      </c>
      <c r="C649" s="2" t="s">
        <v>1875</v>
      </c>
      <c r="D649" s="2" t="s">
        <v>28</v>
      </c>
      <c r="E649" s="2" t="s">
        <v>14</v>
      </c>
      <c r="F649" s="2" t="s">
        <v>15</v>
      </c>
      <c r="G649" s="2" t="s">
        <v>1876</v>
      </c>
      <c r="H649" s="2" t="s">
        <v>144</v>
      </c>
      <c r="I649" s="2" t="str">
        <f>IFERROR(__xludf.DUMMYFUNCTION("GOOGLETRANSLATE(C649,""fr"",""en"")"),"I share my dissatisfaction. My husband has been insured at the Matmut for over 20 years with the same car contract which includes the collision warranty. I wanted to add the loan option of a vehicle in the event of an accident and a commercial gesture on "&amp;"pricing last June. The person at the end of the M assures that I would have the same guarantees with the option of more vehicle. I have to sign in an electronic signature while staying on the phone with the salesperson to finalize the contract. Having all"&amp;" confidence and thinking that it was understood on the desired formula and not wanting to abuse sales of the salesperson I sign my eyes closed. 5 months later my husband made a small accident which requests the holidays of the vehicle, he therefore brings"&amp;" back the observation in agency and at this time it is signal that in any case in view of the guarantees of his contract no repair will be covered. We are stunned! We are penalized and we find ourselves in an extremely difficult situation. Having only a c"&amp;"ar available, a newborn and myself unemployed, we find ourselves now. My husband is forced to go to work on foot with an hour and winter trip ... I tried to have a person who can take care of our problem but impossible to have anyone. We must make a compl"&amp;"aint via the website which I have done but to know when we have an answer. We are really bad because the finances do not allow us to take care of the repairs. I really hope they will make a gesture, we are so disappointed.")</f>
        <v>I share my dissatisfaction. My husband has been insured at the Matmut for over 20 years with the same car contract which includes the collision warranty. I wanted to add the loan option of a vehicle in the event of an accident and a commercial gesture on pricing last June. The person at the end of the M assures that I would have the same guarantees with the option of more vehicle. I have to sign in an electronic signature while staying on the phone with the salesperson to finalize the contract. Having all confidence and thinking that it was understood on the desired formula and not wanting to abuse sales of the salesperson I sign my eyes closed. 5 months later my husband made a small accident which requests the holidays of the vehicle, he therefore brings back the observation in agency and at this time it is signal that in any case in view of the guarantees of his contract no repair will be covered. We are stunned! We are penalized and we find ourselves in an extremely difficult situation. Having only a car available, a newborn and myself unemployed, we find ourselves now. My husband is forced to go to work on foot with an hour and winter trip ... I tried to have a person who can take care of our problem but impossible to have anyone. We must make a complaint via the website which I have done but to know when we have an answer. We are really bad because the finances do not allow us to take care of the repairs. I really hope they will make a gesture, we are so disappointed.</v>
      </c>
    </row>
    <row r="650" ht="15.75" customHeight="1">
      <c r="A650" s="2">
        <v>4.0</v>
      </c>
      <c r="B650" s="2" t="s">
        <v>1877</v>
      </c>
      <c r="C650" s="2" t="s">
        <v>1878</v>
      </c>
      <c r="D650" s="2" t="s">
        <v>55</v>
      </c>
      <c r="E650" s="2" t="s">
        <v>56</v>
      </c>
      <c r="F650" s="2" t="s">
        <v>15</v>
      </c>
      <c r="G650" s="2" t="s">
        <v>1257</v>
      </c>
      <c r="H650" s="2" t="s">
        <v>42</v>
      </c>
      <c r="I650" s="2" t="str">
        <f>IFERROR(__xludf.DUMMYFUNCTION("GOOGLETRANSLATE(C650,""fr"",""en"")"),"Reasonable price for essential protection for a biker! Thank you AMV for being there for us! While hoping that your prices will stay at reasonable prices for a long time ????")</f>
        <v>Reasonable price for essential protection for a biker! Thank you AMV for being there for us! While hoping that your prices will stay at reasonable prices for a long time ????</v>
      </c>
    </row>
    <row r="651" ht="15.75" customHeight="1">
      <c r="A651" s="2">
        <v>1.0</v>
      </c>
      <c r="B651" s="2" t="s">
        <v>1879</v>
      </c>
      <c r="C651" s="2" t="s">
        <v>1880</v>
      </c>
      <c r="D651" s="2" t="s">
        <v>13</v>
      </c>
      <c r="E651" s="2" t="s">
        <v>14</v>
      </c>
      <c r="F651" s="2" t="s">
        <v>15</v>
      </c>
      <c r="G651" s="2" t="s">
        <v>1807</v>
      </c>
      <c r="H651" s="2" t="s">
        <v>167</v>
      </c>
      <c r="I651" s="2" t="str">
        <f>IFERROR(__xludf.DUMMYFUNCTION("GOOGLETRANSLATE(C651,""fr"",""en"")"),"Far too expensive for a 12 -year -old AGE vehicle without any responsible accident during the same period and whose value is almost lower than the annual subscription amount. Needless to say, if I change my vehicle, I would go elsewhere.")</f>
        <v>Far too expensive for a 12 -year -old AGE vehicle without any responsible accident during the same period and whose value is almost lower than the annual subscription amount. Needless to say, if I change my vehicle, I would go elsewhere.</v>
      </c>
    </row>
    <row r="652" ht="15.75" customHeight="1">
      <c r="A652" s="2">
        <v>4.0</v>
      </c>
      <c r="B652" s="2" t="s">
        <v>1881</v>
      </c>
      <c r="C652" s="2" t="s">
        <v>1882</v>
      </c>
      <c r="D652" s="2" t="s">
        <v>993</v>
      </c>
      <c r="E652" s="2" t="s">
        <v>268</v>
      </c>
      <c r="F652" s="2" t="s">
        <v>15</v>
      </c>
      <c r="G652" s="2" t="s">
        <v>1883</v>
      </c>
      <c r="H652" s="2" t="s">
        <v>636</v>
      </c>
      <c r="I652" s="2" t="str">
        <f>IFERROR(__xludf.DUMMYFUNCTION("GOOGLETRANSLATE(C652,""fr"",""en"")"),"I am very satisfied with this insurance for my cats, I recently had a big glitch with one two and all the costs were borne at the height of my contract (70%) without any difficulty: I have Sent all care sheets and invoices, and reimbursements were made wi"&amp;"thin 48 hours. I recommend!")</f>
        <v>I am very satisfied with this insurance for my cats, I recently had a big glitch with one two and all the costs were borne at the height of my contract (70%) without any difficulty: I have Sent all care sheets and invoices, and reimbursements were made within 48 hours. I recommend!</v>
      </c>
    </row>
    <row r="653" ht="15.75" customHeight="1">
      <c r="A653" s="2">
        <v>5.0</v>
      </c>
      <c r="B653" s="2" t="s">
        <v>1884</v>
      </c>
      <c r="C653" s="2" t="s">
        <v>1885</v>
      </c>
      <c r="D653" s="2" t="s">
        <v>24</v>
      </c>
      <c r="E653" s="2" t="s">
        <v>14</v>
      </c>
      <c r="F653" s="2" t="s">
        <v>15</v>
      </c>
      <c r="G653" s="2" t="s">
        <v>890</v>
      </c>
      <c r="H653" s="2" t="s">
        <v>84</v>
      </c>
      <c r="I653" s="2" t="str">
        <f>IFERROR(__xludf.DUMMYFUNCTION("GOOGLETRANSLATE(C653,""fr"",""en"")"),"I am satisfied, of my new auto contract. The same the information by phone his property taken in charge as I can ask. Very happy")</f>
        <v>I am satisfied, of my new auto contract. The same the information by phone his property taken in charge as I can ask. Very happy</v>
      </c>
    </row>
    <row r="654" ht="15.75" customHeight="1">
      <c r="A654" s="2">
        <v>2.0</v>
      </c>
      <c r="B654" s="2" t="s">
        <v>1886</v>
      </c>
      <c r="C654" s="2" t="s">
        <v>1887</v>
      </c>
      <c r="D654" s="2" t="s">
        <v>183</v>
      </c>
      <c r="E654" s="2" t="s">
        <v>97</v>
      </c>
      <c r="F654" s="2" t="s">
        <v>15</v>
      </c>
      <c r="G654" s="2" t="s">
        <v>1888</v>
      </c>
      <c r="H654" s="2" t="s">
        <v>292</v>
      </c>
      <c r="I654" s="2" t="str">
        <f>IFERROR(__xludf.DUMMYFUNCTION("GOOGLETRANSLATE(C654,""fr"",""en"")"),"The seller of Zen-Up who is very friendly tells me for months that everything will work out, but I have been taken doubly every month for 9 months to date. When I contact them, they ask me for my final damping table once again ... and I am led again by my"&amp;" bank's insurance and by the aptly named ""multi-mump"".")</f>
        <v>The seller of Zen-Up who is very friendly tells me for months that everything will work out, but I have been taken doubly every month for 9 months to date. When I contact them, they ask me for my final damping table once again ... and I am led again by my bank's insurance and by the aptly named "multi-mump".</v>
      </c>
    </row>
    <row r="655" ht="15.75" customHeight="1">
      <c r="A655" s="2">
        <v>5.0</v>
      </c>
      <c r="B655" s="2" t="s">
        <v>1889</v>
      </c>
      <c r="C655" s="2" t="s">
        <v>1890</v>
      </c>
      <c r="D655" s="2" t="s">
        <v>13</v>
      </c>
      <c r="E655" s="2" t="s">
        <v>14</v>
      </c>
      <c r="F655" s="2" t="s">
        <v>15</v>
      </c>
      <c r="G655" s="2" t="s">
        <v>373</v>
      </c>
      <c r="H655" s="2" t="s">
        <v>84</v>
      </c>
      <c r="I655" s="2" t="str">
        <f>IFERROR(__xludf.DUMMYFUNCTION("GOOGLETRANSLATE(C655,""fr"",""en"")"),"very satisfied with my insurance
taken
and quality of service and care of the disaster. A A A Z of very good quick -efficient professional professional bravo
")</f>
        <v>very satisfied with my insurance
taken
and quality of service and care of the disaster. A A A Z of very good quick -efficient professional professional bravo
</v>
      </c>
    </row>
    <row r="656" ht="15.75" customHeight="1">
      <c r="A656" s="2">
        <v>2.0</v>
      </c>
      <c r="B656" s="2" t="s">
        <v>1891</v>
      </c>
      <c r="C656" s="2" t="s">
        <v>1892</v>
      </c>
      <c r="D656" s="2" t="s">
        <v>45</v>
      </c>
      <c r="E656" s="2" t="s">
        <v>14</v>
      </c>
      <c r="F656" s="2" t="s">
        <v>15</v>
      </c>
      <c r="G656" s="2" t="s">
        <v>1316</v>
      </c>
      <c r="H656" s="2" t="s">
        <v>163</v>
      </c>
      <c r="I656" s="2" t="str">
        <f>IFERROR(__xludf.DUMMYFUNCTION("GOOGLETRANSLATE(C656,""fr"",""en"")"),"I was the victim of a hook with a flight offense. I filed the gendarmerie complaint. I was recognized not responsible by AXA with the observation + complaint sent. The person was identified with the license plate (which I had time to note) and this person"&amp;" is assured (confirm by AXA)
Despite the person to identify, AXA asks me to pay my franchise which is € 270 but that I am unable to pay. No AXA arrangement possible ...
In short, I end up with a recent vehicle ensuring any risk that I am damaged and I"&amp;" still have to pay 270 € ...
If I have the chance of a person who takes care of Axa goes through it to help me. Here is my claim number: 2495853873")</f>
        <v>I was the victim of a hook with a flight offense. I filed the gendarmerie complaint. I was recognized not responsible by AXA with the observation + complaint sent. The person was identified with the license plate (which I had time to note) and this person is assured (confirm by AXA)
Despite the person to identify, AXA asks me to pay my franchise which is € 270 but that I am unable to pay. No AXA arrangement possible ...
In short, I end up with a recent vehicle ensuring any risk that I am damaged and I still have to pay 270 € ...
If I have the chance of a person who takes care of Axa goes through it to help me. Here is my claim number: 2495853873</v>
      </c>
    </row>
    <row r="657" ht="15.75" customHeight="1">
      <c r="A657" s="2">
        <v>2.0</v>
      </c>
      <c r="B657" s="2" t="s">
        <v>1893</v>
      </c>
      <c r="C657" s="2" t="s">
        <v>1894</v>
      </c>
      <c r="D657" s="2" t="s">
        <v>106</v>
      </c>
      <c r="E657" s="2" t="s">
        <v>14</v>
      </c>
      <c r="F657" s="2" t="s">
        <v>15</v>
      </c>
      <c r="G657" s="2" t="s">
        <v>1895</v>
      </c>
      <c r="H657" s="2" t="s">
        <v>728</v>
      </c>
      <c r="I657" s="2" t="str">
        <f>IFERROR(__xludf.DUMMYFUNCTION("GOOGLETRANSLATE(C657,""fr"",""en"")"),"I have been at the Macif for 30 years with 50% bonuses (no accident for at least 20 years) as an individual and as a collaborator at a car manufacturer. So I sell my vehicles every 6 months (or even less). So I had great confidence in the Macif because no"&amp;"thing to report in particular for 30 years.
However, recently during a renewal of a contract, the Macif announced to me that it would no longer ensure my vehicles on the grounds that I made the purchase/resale.
For 30 years, I have only been trying to d"&amp;"rive in new car (no repair fees) and my financial report is more than negative.
Thank you therefore to the Macif for sending a 30 -year -old customer customer to walk around the 3 other car contracts (my wife and my 2 children) and my home contract.
I s"&amp;"till haven't understood the Macif strategy and policy towards me.
")</f>
        <v>I have been at the Macif for 30 years with 50% bonuses (no accident for at least 20 years) as an individual and as a collaborator at a car manufacturer. So I sell my vehicles every 6 months (or even less). So I had great confidence in the Macif because nothing to report in particular for 30 years.
However, recently during a renewal of a contract, the Macif announced to me that it would no longer ensure my vehicles on the grounds that I made the purchase/resale.
For 30 years, I have only been trying to drive in new car (no repair fees) and my financial report is more than negative.
Thank you therefore to the Macif for sending a 30 -year -old customer customer to walk around the 3 other car contracts (my wife and my 2 children) and my home contract.
I still haven't understood the Macif strategy and policy towards me.
</v>
      </c>
    </row>
    <row r="658" ht="15.75" customHeight="1">
      <c r="A658" s="2">
        <v>2.0</v>
      </c>
      <c r="B658" s="2" t="s">
        <v>1896</v>
      </c>
      <c r="C658" s="2" t="s">
        <v>1897</v>
      </c>
      <c r="D658" s="2" t="s">
        <v>28</v>
      </c>
      <c r="E658" s="2" t="s">
        <v>14</v>
      </c>
      <c r="F658" s="2" t="s">
        <v>15</v>
      </c>
      <c r="G658" s="2" t="s">
        <v>1898</v>
      </c>
      <c r="H658" s="2" t="s">
        <v>62</v>
      </c>
      <c r="I658" s="2" t="str">
        <f>IFERROR(__xludf.DUMMYFUNCTION("GOOGLETRANSLATE(C658,""fr"",""en"")"),"The Matmut has no confidence in these customers despite that I have been a customer for more than 30 years. My wife had an accident, 3 witnesses attested that the other driver went to the red light, that he fled, after losing his license plate, that we ha"&amp;"ve filed a complaint for non -assistance to anyone in danger and offense of flight. Soon 4 months later, my wife is responsible for the accident. What is it for it to have witnesses? The offense of flight? An aberration is lamentable.")</f>
        <v>The Matmut has no confidence in these customers despite that I have been a customer for more than 30 years. My wife had an accident, 3 witnesses attested that the other driver went to the red light, that he fled, after losing his license plate, that we have filed a complaint for non -assistance to anyone in danger and offense of flight. Soon 4 months later, my wife is responsible for the accident. What is it for it to have witnesses? The offense of flight? An aberration is lamentable.</v>
      </c>
    </row>
    <row r="659" ht="15.75" customHeight="1">
      <c r="A659" s="2">
        <v>1.0</v>
      </c>
      <c r="B659" s="2" t="s">
        <v>1899</v>
      </c>
      <c r="C659" s="2" t="s">
        <v>1900</v>
      </c>
      <c r="D659" s="2" t="s">
        <v>28</v>
      </c>
      <c r="E659" s="2" t="s">
        <v>40</v>
      </c>
      <c r="F659" s="2" t="s">
        <v>15</v>
      </c>
      <c r="G659" s="2" t="s">
        <v>1901</v>
      </c>
      <c r="H659" s="2" t="s">
        <v>335</v>
      </c>
      <c r="I659" s="2" t="str">
        <f>IFERROR(__xludf.DUMMYFUNCTION("GOOGLETRANSLATE(C659,""fr"",""en"")"),"After termination of the TJRS housing contract pending my refund and this for more than 2 months have been waiting for ... again !! After contact this day once again this morning, I no longer count my calls, the advisor does not know what to answer me ...")</f>
        <v>After termination of the TJRS housing contract pending my refund and this for more than 2 months have been waiting for ... again !! After contact this day once again this morning, I no longer count my calls, the advisor does not know what to answer me ...</v>
      </c>
    </row>
    <row r="660" ht="15.75" customHeight="1">
      <c r="A660" s="2">
        <v>2.0</v>
      </c>
      <c r="B660" s="2" t="s">
        <v>1902</v>
      </c>
      <c r="C660" s="2" t="s">
        <v>1903</v>
      </c>
      <c r="D660" s="2" t="s">
        <v>24</v>
      </c>
      <c r="E660" s="2" t="s">
        <v>14</v>
      </c>
      <c r="F660" s="2" t="s">
        <v>15</v>
      </c>
      <c r="G660" s="2" t="s">
        <v>1904</v>
      </c>
      <c r="H660" s="2" t="s">
        <v>495</v>
      </c>
      <c r="I660" s="2" t="str">
        <f>IFERROR(__xludf.DUMMYFUNCTION("GOOGLETRANSLATE(C660,""fr"",""en"")"),"Customer service unable to process my file in time. 3 months to process a request. To run away absolutely. If I had read the opinions before, I would not have come to them.")</f>
        <v>Customer service unable to process my file in time. 3 months to process a request. To run away absolutely. If I had read the opinions before, I would not have come to them.</v>
      </c>
    </row>
    <row r="661" ht="15.75" customHeight="1">
      <c r="A661" s="2">
        <v>1.0</v>
      </c>
      <c r="B661" s="2" t="s">
        <v>1905</v>
      </c>
      <c r="C661" s="2" t="s">
        <v>1906</v>
      </c>
      <c r="D661" s="2" t="s">
        <v>416</v>
      </c>
      <c r="E661" s="2" t="s">
        <v>34</v>
      </c>
      <c r="F661" s="2" t="s">
        <v>15</v>
      </c>
      <c r="G661" s="2" t="s">
        <v>1907</v>
      </c>
      <c r="H661" s="2" t="s">
        <v>1908</v>
      </c>
      <c r="I661" s="2" t="str">
        <f>IFERROR(__xludf.DUMMYFUNCTION("GOOGLETRANSLATE(C661,""fr"",""en"")"),"A mutual insurance not respectful towards its customers indeed this mutual does not respect the conditions of the contract We are entitled to a third -party third party and unfortunately it does not pay the doctors so we are obliged to do the advance and "&amp;"there its currently almost one months that I await reimbursement and unfortunately nothing when they call them we have the impression that we say disturb I wanted to advise against it.")</f>
        <v>A mutual insurance not respectful towards its customers indeed this mutual does not respect the conditions of the contract We are entitled to a third -party third party and unfortunately it does not pay the doctors so we are obliged to do the advance and there its currently almost one months that I await reimbursement and unfortunately nothing when they call them we have the impression that we say disturb I wanted to advise against it.</v>
      </c>
    </row>
    <row r="662" ht="15.75" customHeight="1">
      <c r="A662" s="2">
        <v>1.0</v>
      </c>
      <c r="B662" s="2" t="s">
        <v>1909</v>
      </c>
      <c r="C662" s="2" t="s">
        <v>1910</v>
      </c>
      <c r="D662" s="2" t="s">
        <v>416</v>
      </c>
      <c r="E662" s="2" t="s">
        <v>34</v>
      </c>
      <c r="F662" s="2" t="s">
        <v>15</v>
      </c>
      <c r="G662" s="2" t="s">
        <v>1911</v>
      </c>
      <c r="H662" s="2" t="s">
        <v>363</v>
      </c>
      <c r="I662" s="2" t="str">
        <f>IFERROR(__xludf.DUMMYFUNCTION("GOOGLETRANSLATE(C662,""fr"",""en"")"),"It is the cross and the banner to terminate with them.
I wanted to terminate my contract so I sent a letter of termination and I was not aware but it does not all return the contract, because there are small lines in the contract that we do not necessari"&amp;"ly see.
I was badly advised for this termination, I was dealing with incapable on the phone and I have to pay several times because I have to send a registered letter (10 €) it starts to do all for a termination paper.
Ah yes and they are not in a hurry"&amp;" for termination, they take their time ...
In short, lamentable and health contract question I saw much better. Frankly I do not recommend this mutual.")</f>
        <v>It is the cross and the banner to terminate with them.
I wanted to terminate my contract so I sent a letter of termination and I was not aware but it does not all return the contract, because there are small lines in the contract that we do not necessarily see.
I was badly advised for this termination, I was dealing with incapable on the phone and I have to pay several times because I have to send a registered letter (10 €) it starts to do all for a termination paper.
Ah yes and they are not in a hurry for termination, they take their time ...
In short, lamentable and health contract question I saw much better. Frankly I do not recommend this mutual.</v>
      </c>
    </row>
    <row r="663" ht="15.75" customHeight="1">
      <c r="A663" s="2">
        <v>1.0</v>
      </c>
      <c r="B663" s="2" t="s">
        <v>1912</v>
      </c>
      <c r="C663" s="2" t="s">
        <v>1913</v>
      </c>
      <c r="D663" s="2" t="s">
        <v>13</v>
      </c>
      <c r="E663" s="2" t="s">
        <v>14</v>
      </c>
      <c r="F663" s="2" t="s">
        <v>15</v>
      </c>
      <c r="G663" s="2" t="s">
        <v>890</v>
      </c>
      <c r="H663" s="2" t="s">
        <v>84</v>
      </c>
      <c r="I663" s="2" t="str">
        <f>IFERROR(__xludf.DUMMYFUNCTION("GOOGLETRANSLATE(C663,""fr"",""en"")"),"You are too expensive !!!
The call rate is enticing and after that it is the unpleasant surprise
Renegotiize my 3 auto contracts or I go to a competitor ... thank you")</f>
        <v>You are too expensive !!!
The call rate is enticing and after that it is the unpleasant surprise
Renegotiize my 3 auto contracts or I go to a competitor ... thank you</v>
      </c>
    </row>
    <row r="664" ht="15.75" customHeight="1">
      <c r="A664" s="2">
        <v>2.0</v>
      </c>
      <c r="B664" s="2" t="s">
        <v>1914</v>
      </c>
      <c r="C664" s="2" t="s">
        <v>1915</v>
      </c>
      <c r="D664" s="2" t="s">
        <v>393</v>
      </c>
      <c r="E664" s="2" t="s">
        <v>46</v>
      </c>
      <c r="F664" s="2" t="s">
        <v>15</v>
      </c>
      <c r="G664" s="2" t="s">
        <v>1916</v>
      </c>
      <c r="H664" s="2" t="s">
        <v>131</v>
      </c>
      <c r="I664" s="2" t="str">
        <f>IFERROR(__xludf.DUMMYFUNCTION("GOOGLETRANSLATE(C664,""fr"",""en"")"),"4 months that I wish to liquidate my retirement and still nothing. Deplorable telephone reception, even unpleasant, competence of questionable interlocutors. Very disappointed by this company D, insurance")</f>
        <v>4 months that I wish to liquidate my retirement and still nothing. Deplorable telephone reception, even unpleasant, competence of questionable interlocutors. Very disappointed by this company D, insurance</v>
      </c>
    </row>
    <row r="665" ht="15.75" customHeight="1">
      <c r="A665" s="2">
        <v>1.0</v>
      </c>
      <c r="B665" s="2" t="s">
        <v>1917</v>
      </c>
      <c r="C665" s="2" t="s">
        <v>1918</v>
      </c>
      <c r="D665" s="2" t="s">
        <v>13</v>
      </c>
      <c r="E665" s="2" t="s">
        <v>14</v>
      </c>
      <c r="F665" s="2" t="s">
        <v>15</v>
      </c>
      <c r="G665" s="2" t="s">
        <v>158</v>
      </c>
      <c r="H665" s="2" t="s">
        <v>84</v>
      </c>
      <c r="I665" s="2" t="str">
        <f>IFERROR(__xludf.DUMMYFUNCTION("GOOGLETRANSLATE(C665,""fr"",""en"")"),"I am not satisfied, my insurance price has increased, despite my increase in bonus + decrease in accidents as well as decrease in their cost for the year 2020. Despite a discussions with an advisor who explained to me that the number of Accident had incre"&amp;"ased while the figures prove the opposite, I also made it noticed the price difference for the newcomers compared to the one I have to pay, I was kindly rebellious. Since I had no commercial proposal, I will look for insurance that can make me an interest"&amp;"ing offer for 2 car 2 motorcycles and home insurance.")</f>
        <v>I am not satisfied, my insurance price has increased, despite my increase in bonus + decrease in accidents as well as decrease in their cost for the year 2020. Despite a discussions with an advisor who explained to me that the number of Accident had increased while the figures prove the opposite, I also made it noticed the price difference for the newcomers compared to the one I have to pay, I was kindly rebellious. Since I had no commercial proposal, I will look for insurance that can make me an interesting offer for 2 car 2 motorcycles and home insurance.</v>
      </c>
    </row>
    <row r="666" ht="15.75" customHeight="1">
      <c r="A666" s="2">
        <v>1.0</v>
      </c>
      <c r="B666" s="2" t="s">
        <v>1919</v>
      </c>
      <c r="C666" s="2" t="s">
        <v>1920</v>
      </c>
      <c r="D666" s="2" t="s">
        <v>231</v>
      </c>
      <c r="E666" s="2" t="s">
        <v>34</v>
      </c>
      <c r="F666" s="2" t="s">
        <v>15</v>
      </c>
      <c r="G666" s="2" t="s">
        <v>1921</v>
      </c>
      <c r="H666" s="2" t="s">
        <v>636</v>
      </c>
      <c r="I666" s="2" t="str">
        <f>IFERROR(__xludf.DUMMYFUNCTION("GOOGLETRANSLATE(C666,""fr"",""en"")"),"I did not ask for anything, a contract was subscribed and Neoliane took me € 45 when I did not give anything on my personal contact details as well as banking. I made opposition on the samples. I contact them but they say to make an email by lying on the "&amp;"dates and to say that I had subscribed ect .. I will contact UFC and file a complaint with the repression of the fraud")</f>
        <v>I did not ask for anything, a contract was subscribed and Neoliane took me € 45 when I did not give anything on my personal contact details as well as banking. I made opposition on the samples. I contact them but they say to make an email by lying on the dates and to say that I had subscribed ect .. I will contact UFC and file a complaint with the repression of the fraud</v>
      </c>
    </row>
    <row r="667" ht="15.75" customHeight="1">
      <c r="A667" s="2">
        <v>5.0</v>
      </c>
      <c r="B667" s="2" t="s">
        <v>1922</v>
      </c>
      <c r="C667" s="2" t="s">
        <v>1923</v>
      </c>
      <c r="D667" s="2" t="s">
        <v>24</v>
      </c>
      <c r="E667" s="2" t="s">
        <v>14</v>
      </c>
      <c r="F667" s="2" t="s">
        <v>15</v>
      </c>
      <c r="G667" s="2" t="s">
        <v>124</v>
      </c>
      <c r="H667" s="2" t="s">
        <v>764</v>
      </c>
      <c r="I667" s="2" t="str">
        <f>IFERROR(__xludf.DUMMYFUNCTION("GOOGLETRANSLATE(C667,""fr"",""en"")"),"I am delighted to have been sponsored and to be part of the insured of the olive tree I would recommend this insurance to all my loved ones! Thank you for your speed and your seriousness")</f>
        <v>I am delighted to have been sponsored and to be part of the insured of the olive tree I would recommend this insurance to all my loved ones! Thank you for your speed and your seriousness</v>
      </c>
    </row>
    <row r="668" ht="15.75" customHeight="1">
      <c r="A668" s="2">
        <v>1.0</v>
      </c>
      <c r="B668" s="2" t="s">
        <v>1924</v>
      </c>
      <c r="C668" s="2" t="s">
        <v>1925</v>
      </c>
      <c r="D668" s="2" t="s">
        <v>209</v>
      </c>
      <c r="E668" s="2" t="s">
        <v>14</v>
      </c>
      <c r="F668" s="2" t="s">
        <v>15</v>
      </c>
      <c r="G668" s="2" t="s">
        <v>1926</v>
      </c>
      <c r="H668" s="2" t="s">
        <v>536</v>
      </c>
      <c r="I668" s="2" t="str">
        <f>IFERROR(__xludf.DUMMYFUNCTION("GOOGLETRANSLATE(C668,""fr"",""en"")"),"Hello dear members
MAAF customer for 15 years without any claims to declare until an accident 1 year ago not serious in a roundabout or the other driver not being attentive to the road returned to me when we were going Two in the same direction of circul"&amp;"ation observation made and result Maaf 100% responsible and malus because according to a certain legislation it is necessary to exceed a year scale without claims to reach the Bonus for life WTF
When I ask why my contributions are never decreasing and no"&amp;" answers
 When I ask for a mediator because no agreement with their manager's decision 100% despite the opinion of the expert in my favor, the response of this insurance is to tell me that I am not entitled to the mediator ???
You are vomiting
By the w"&amp;"ay if we find cheaper insurance and for the same options can I ask me to be reimbursed for my contributions from the current year?
Here is cordially and go ... you ... the maaf")</f>
        <v>Hello dear members
MAAF customer for 15 years without any claims to declare until an accident 1 year ago not serious in a roundabout or the other driver not being attentive to the road returned to me when we were going Two in the same direction of circulation observation made and result Maaf 100% responsible and malus because according to a certain legislation it is necessary to exceed a year scale without claims to reach the Bonus for life WTF
When I ask why my contributions are never decreasing and no answers
 When I ask for a mediator because no agreement with their manager's decision 100% despite the opinion of the expert in my favor, the response of this insurance is to tell me that I am not entitled to the mediator ???
You are vomiting
By the way if we find cheaper insurance and for the same options can I ask me to be reimbursed for my contributions from the current year?
Here is cordially and go ... you ... the maaf</v>
      </c>
    </row>
    <row r="669" ht="15.75" customHeight="1">
      <c r="A669" s="2">
        <v>3.0</v>
      </c>
      <c r="B669" s="2" t="s">
        <v>1927</v>
      </c>
      <c r="C669" s="2" t="s">
        <v>1928</v>
      </c>
      <c r="D669" s="2" t="s">
        <v>639</v>
      </c>
      <c r="E669" s="2" t="s">
        <v>46</v>
      </c>
      <c r="F669" s="2" t="s">
        <v>15</v>
      </c>
      <c r="G669" s="2" t="s">
        <v>1929</v>
      </c>
      <c r="H669" s="2" t="s">
        <v>1062</v>
      </c>
      <c r="I669" s="2" t="str">
        <f>IFERROR(__xludf.DUMMYFUNCTION("GOOGLETRANSLATE(C669,""fr"",""en"")"),"First you have to read the opinions that appear on AFER in this forum. This means a big problem with regard to small savers that contrasts with the displays. Failure to comply with the transmissions of documents within the deadlines, non -liquidation of c"&amp;"ontracts on legal deadlines, non -application of the interest law which runs beyond uncommoned deadlines, information retention, opacity of the system between communication levels, etc, ... there are not fifty solutions, the dissatisfied must make noise t"&amp;"hrough the press and unite their efforts to reverse the defenses of the legal insurance service. Mon Tel 0608024348")</f>
        <v>First you have to read the opinions that appear on AFER in this forum. This means a big problem with regard to small savers that contrasts with the displays. Failure to comply with the transmissions of documents within the deadlines, non -liquidation of contracts on legal deadlines, non -application of the interest law which runs beyond uncommoned deadlines, information retention, opacity of the system between communication levels, etc, ... there are not fifty solutions, the dissatisfied must make noise through the press and unite their efforts to reverse the defenses of the legal insurance service. Mon Tel 0608024348</v>
      </c>
    </row>
    <row r="670" ht="15.75" customHeight="1">
      <c r="A670" s="2">
        <v>1.0</v>
      </c>
      <c r="B670" s="2" t="s">
        <v>1930</v>
      </c>
      <c r="C670" s="2" t="s">
        <v>1931</v>
      </c>
      <c r="D670" s="2" t="s">
        <v>96</v>
      </c>
      <c r="E670" s="2" t="s">
        <v>97</v>
      </c>
      <c r="F670" s="2" t="s">
        <v>15</v>
      </c>
      <c r="G670" s="2" t="s">
        <v>1932</v>
      </c>
      <c r="H670" s="2" t="s">
        <v>221</v>
      </c>
      <c r="I670" s="2" t="str">
        <f>IFERROR(__xludf.DUMMYFUNCTION("GOOGLETRANSLATE(C670,""fr"",""en"")"),"Hello everyone I had a stage 4 melanoma which left heavy consequences I am in invalidity at 100 percent in my professional category and they made me assess the expert doctor asked me you can win Sous? I went out saying that he will not grant me -33 percen"&amp;"t. I called my home insurance for legal information and it made me understand that this problem is common. It is often noted in small that the insurance doctor puts the rate he wants so we have lost in advance! I am waiting for the expert report to see if"&amp;" I can attack.")</f>
        <v>Hello everyone I had a stage 4 melanoma which left heavy consequences I am in invalidity at 100 percent in my professional category and they made me assess the expert doctor asked me you can win Sous? I went out saying that he will not grant me -33 percent. I called my home insurance for legal information and it made me understand that this problem is common. It is often noted in small that the insurance doctor puts the rate he wants so we have lost in advance! I am waiting for the expert report to see if I can attack.</v>
      </c>
    </row>
    <row r="671" ht="15.75" customHeight="1">
      <c r="A671" s="2">
        <v>5.0</v>
      </c>
      <c r="B671" s="2" t="s">
        <v>1933</v>
      </c>
      <c r="C671" s="2" t="s">
        <v>1934</v>
      </c>
      <c r="D671" s="2" t="s">
        <v>231</v>
      </c>
      <c r="E671" s="2" t="s">
        <v>34</v>
      </c>
      <c r="F671" s="2" t="s">
        <v>15</v>
      </c>
      <c r="G671" s="2" t="s">
        <v>1935</v>
      </c>
      <c r="H671" s="2" t="s">
        <v>211</v>
      </c>
      <c r="I671" s="2" t="str">
        <f>IFERROR(__xludf.DUMMYFUNCTION("GOOGLETRANSLATE(C671,""fr"",""en"")"),"Very satisfied with the explanations and the kindness of the Erika advisor. I was guided by phone to go to the website and was very patience")</f>
        <v>Very satisfied with the explanations and the kindness of the Erika advisor. I was guided by phone to go to the website and was very patience</v>
      </c>
    </row>
    <row r="672" ht="15.75" customHeight="1">
      <c r="A672" s="2">
        <v>3.0</v>
      </c>
      <c r="B672" s="2" t="s">
        <v>1936</v>
      </c>
      <c r="C672" s="2" t="s">
        <v>1937</v>
      </c>
      <c r="D672" s="2" t="s">
        <v>13</v>
      </c>
      <c r="E672" s="2" t="s">
        <v>14</v>
      </c>
      <c r="F672" s="2" t="s">
        <v>15</v>
      </c>
      <c r="G672" s="2" t="s">
        <v>127</v>
      </c>
      <c r="H672" s="2" t="s">
        <v>128</v>
      </c>
      <c r="I672" s="2" t="str">
        <f>IFERROR(__xludf.DUMMYFUNCTION("GOOGLETRANSLATE(C672,""fr"",""en"")"),"I am satisfied with the Direct Insurance service, it is simple fast and efficient
I recommend this insurance without problem. Thank you direct insurance")</f>
        <v>I am satisfied with the Direct Insurance service, it is simple fast and efficient
I recommend this insurance without problem. Thank you direct insurance</v>
      </c>
    </row>
    <row r="673" ht="15.75" customHeight="1">
      <c r="A673" s="2">
        <v>5.0</v>
      </c>
      <c r="B673" s="2" t="s">
        <v>1938</v>
      </c>
      <c r="C673" s="2" t="s">
        <v>1939</v>
      </c>
      <c r="D673" s="2" t="s">
        <v>65</v>
      </c>
      <c r="E673" s="2" t="s">
        <v>66</v>
      </c>
      <c r="F673" s="2" t="s">
        <v>15</v>
      </c>
      <c r="G673" s="2" t="s">
        <v>1940</v>
      </c>
      <c r="H673" s="2" t="s">
        <v>363</v>
      </c>
      <c r="I673" s="2" t="str">
        <f>IFERROR(__xludf.DUMMYFUNCTION("GOOGLETRANSLATE(C673,""fr"",""en"")"),"Many thanks for the professionalism and responsiveness of the Bordeaux advisor.
A real pleasure to have competent people on the phone.
Again thank you. Above all take care of yourself. Health before all.
Sincerely,
Malik Boutefrakh")</f>
        <v>Many thanks for the professionalism and responsiveness of the Bordeaux advisor.
A real pleasure to have competent people on the phone.
Again thank you. Above all take care of yourself. Health before all.
Sincerely,
Malik Boutefrakh</v>
      </c>
    </row>
    <row r="674" ht="15.75" customHeight="1">
      <c r="A674" s="2">
        <v>1.0</v>
      </c>
      <c r="B674" s="2" t="s">
        <v>1941</v>
      </c>
      <c r="C674" s="2" t="s">
        <v>1942</v>
      </c>
      <c r="D674" s="2" t="s">
        <v>209</v>
      </c>
      <c r="E674" s="2" t="s">
        <v>14</v>
      </c>
      <c r="F674" s="2" t="s">
        <v>15</v>
      </c>
      <c r="G674" s="2" t="s">
        <v>1888</v>
      </c>
      <c r="H674" s="2" t="s">
        <v>68</v>
      </c>
      <c r="I674" s="2" t="str">
        <f>IFERROR(__xludf.DUMMYFUNCTION("GOOGLETRANSLATE(C674,""fr"",""en"")"),"Very mediocre insurance, very long claims reactivity, seeks all the tips so as not to pay. Very very disappointed.
Commercial efficient but very bad monitoring of claims.")</f>
        <v>Very mediocre insurance, very long claims reactivity, seeks all the tips so as not to pay. Very very disappointed.
Commercial efficient but very bad monitoring of claims.</v>
      </c>
    </row>
    <row r="675" ht="15.75" customHeight="1">
      <c r="A675" s="2">
        <v>3.0</v>
      </c>
      <c r="B675" s="2" t="s">
        <v>1943</v>
      </c>
      <c r="C675" s="2" t="s">
        <v>1944</v>
      </c>
      <c r="D675" s="2" t="s">
        <v>55</v>
      </c>
      <c r="E675" s="2" t="s">
        <v>56</v>
      </c>
      <c r="F675" s="2" t="s">
        <v>15</v>
      </c>
      <c r="G675" s="2" t="s">
        <v>755</v>
      </c>
      <c r="H675" s="2" t="s">
        <v>42</v>
      </c>
      <c r="I675" s="2" t="str">
        <f>IFERROR(__xludf.DUMMYFUNCTION("GOOGLETRANSLATE(C675,""fr"",""en"")"),"I am satisfied with the service, the proposal made to me, as well as the ease with which the change of contract could have been done, thank you")</f>
        <v>I am satisfied with the service, the proposal made to me, as well as the ease with which the change of contract could have been done, thank you</v>
      </c>
    </row>
    <row r="676" ht="15.75" customHeight="1">
      <c r="A676" s="2">
        <v>3.0</v>
      </c>
      <c r="B676" s="2" t="s">
        <v>1945</v>
      </c>
      <c r="C676" s="2" t="s">
        <v>1946</v>
      </c>
      <c r="D676" s="2" t="s">
        <v>39</v>
      </c>
      <c r="E676" s="2" t="s">
        <v>14</v>
      </c>
      <c r="F676" s="2" t="s">
        <v>15</v>
      </c>
      <c r="G676" s="2" t="s">
        <v>705</v>
      </c>
      <c r="H676" s="2" t="s">
        <v>84</v>
      </c>
      <c r="I676" s="2" t="str">
        <f>IFERROR(__xludf.DUMMYFUNCTION("GOOGLETRANSLATE(C676,""fr"",""en"")"),"The advisers have explained to me well, they are patient, I am satisfied with the service.
But less satisfied with the differential rate depending on the departments!")</f>
        <v>The advisers have explained to me well, they are patient, I am satisfied with the service.
But less satisfied with the differential rate depending on the departments!</v>
      </c>
    </row>
    <row r="677" ht="15.75" customHeight="1">
      <c r="A677" s="2">
        <v>5.0</v>
      </c>
      <c r="B677" s="2" t="s">
        <v>1947</v>
      </c>
      <c r="C677" s="2" t="s">
        <v>1948</v>
      </c>
      <c r="D677" s="2" t="s">
        <v>231</v>
      </c>
      <c r="E677" s="2" t="s">
        <v>34</v>
      </c>
      <c r="F677" s="2" t="s">
        <v>15</v>
      </c>
      <c r="G677" s="2" t="s">
        <v>339</v>
      </c>
      <c r="H677" s="2" t="s">
        <v>339</v>
      </c>
      <c r="I677" s="2" t="str">
        <f>IFERROR(__xludf.DUMMYFUNCTION("GOOGLETRANSLATE(C677,""fr"",""en"")"),"I think it's insurement is excellent, really satisfied, always reachable")</f>
        <v>I think it's insurement is excellent, really satisfied, always reachable</v>
      </c>
    </row>
    <row r="678" ht="15.75" customHeight="1">
      <c r="A678" s="2">
        <v>4.0</v>
      </c>
      <c r="B678" s="2" t="s">
        <v>1949</v>
      </c>
      <c r="C678" s="2" t="s">
        <v>1950</v>
      </c>
      <c r="D678" s="2" t="s">
        <v>209</v>
      </c>
      <c r="E678" s="2" t="s">
        <v>14</v>
      </c>
      <c r="F678" s="2" t="s">
        <v>15</v>
      </c>
      <c r="G678" s="2" t="s">
        <v>1951</v>
      </c>
      <c r="H678" s="2" t="s">
        <v>363</v>
      </c>
      <c r="I678" s="2" t="str">
        <f>IFERROR(__xludf.DUMMYFUNCTION("GOOGLETRANSLATE(C678,""fr"",""en"")"),"Excellent experience: Pig on a highway on a Sunday. MAAF call, quick care, troubleshooting truck arrives in the process and transports us to the nearest city. No garage open on a Sunday, Maaf therefore pays us a hotel for the night. The next day we choose"&amp;" another garage for repair, Maaf transports our vehicle well to the new garage, replaced tires, good start of the story, end of history. Very courteous, diligent, and proactive treatment by Maaf advisers. A nice surprise, despite having spoken with severa"&amp;"l advisers, they were all aware of our situation, a sign of a very effective information system.")</f>
        <v>Excellent experience: Pig on a highway on a Sunday. MAAF call, quick care, troubleshooting truck arrives in the process and transports us to the nearest city. No garage open on a Sunday, Maaf therefore pays us a hotel for the night. The next day we choose another garage for repair, Maaf transports our vehicle well to the new garage, replaced tires, good start of the story, end of history. Very courteous, diligent, and proactive treatment by Maaf advisers. A nice surprise, despite having spoken with several advisers, they were all aware of our situation, a sign of a very effective information system.</v>
      </c>
    </row>
    <row r="679" ht="15.75" customHeight="1">
      <c r="A679" s="2">
        <v>1.0</v>
      </c>
      <c r="B679" s="2" t="s">
        <v>1952</v>
      </c>
      <c r="C679" s="2" t="s">
        <v>1953</v>
      </c>
      <c r="D679" s="2" t="s">
        <v>809</v>
      </c>
      <c r="E679" s="2" t="s">
        <v>34</v>
      </c>
      <c r="F679" s="2" t="s">
        <v>15</v>
      </c>
      <c r="G679" s="2" t="s">
        <v>1954</v>
      </c>
      <c r="H679" s="2" t="s">
        <v>163</v>
      </c>
      <c r="I679" s="2" t="str">
        <f>IFERROR(__xludf.DUMMYFUNCTION("GOOGLETRANSLATE(C679,""fr"",""en"")"),"Very rage, it's been 1 year and a half that I am waiting for a response from them for the reimbursements to which I have the right. I sent 3 letter of recommendation it is unacceptable.")</f>
        <v>Very rage, it's been 1 year and a half that I am waiting for a response from them for the reimbursements to which I have the right. I sent 3 letter of recommendation it is unacceptable.</v>
      </c>
    </row>
    <row r="680" ht="15.75" customHeight="1">
      <c r="A680" s="2">
        <v>3.0</v>
      </c>
      <c r="B680" s="2" t="s">
        <v>1955</v>
      </c>
      <c r="C680" s="2" t="s">
        <v>1956</v>
      </c>
      <c r="D680" s="2" t="s">
        <v>13</v>
      </c>
      <c r="E680" s="2" t="s">
        <v>14</v>
      </c>
      <c r="F680" s="2" t="s">
        <v>15</v>
      </c>
      <c r="G680" s="2" t="s">
        <v>247</v>
      </c>
      <c r="H680" s="2" t="s">
        <v>42</v>
      </c>
      <c r="I680" s="2" t="str">
        <f>IFERROR(__xludf.DUMMYFUNCTION("GOOGLETRANSLATE(C680,""fr"",""en"")"),"Quick. Serious Waiting for Answer and Written Form. Bonus solicit because of my driver pass at 50% for 7 from 2004 to 2012 greetings
I can't say anything while waiting for written confirmations")</f>
        <v>Quick. Serious Waiting for Answer and Written Form. Bonus solicit because of my driver pass at 50% for 7 from 2004 to 2012 greetings
I can't say anything while waiting for written confirmations</v>
      </c>
    </row>
    <row r="681" ht="15.75" customHeight="1">
      <c r="A681" s="2">
        <v>1.0</v>
      </c>
      <c r="B681" s="2" t="s">
        <v>1957</v>
      </c>
      <c r="C681" s="2" t="s">
        <v>1958</v>
      </c>
      <c r="D681" s="2" t="s">
        <v>33</v>
      </c>
      <c r="E681" s="2" t="s">
        <v>34</v>
      </c>
      <c r="F681" s="2" t="s">
        <v>15</v>
      </c>
      <c r="G681" s="2" t="s">
        <v>1178</v>
      </c>
      <c r="H681" s="2" t="s">
        <v>969</v>
      </c>
      <c r="I681" s="2" t="str">
        <f>IFERROR(__xludf.DUMMYFUNCTION("GOOGLETRANSLATE(C681,""fr"",""en"")"),"Completely unsatisfied")</f>
        <v>Completely unsatisfied</v>
      </c>
    </row>
    <row r="682" ht="15.75" customHeight="1">
      <c r="A682" s="2">
        <v>2.0</v>
      </c>
      <c r="B682" s="2" t="s">
        <v>1959</v>
      </c>
      <c r="C682" s="2" t="s">
        <v>1960</v>
      </c>
      <c r="D682" s="2" t="s">
        <v>134</v>
      </c>
      <c r="E682" s="2" t="s">
        <v>56</v>
      </c>
      <c r="F682" s="2" t="s">
        <v>15</v>
      </c>
      <c r="G682" s="2" t="s">
        <v>1961</v>
      </c>
      <c r="H682" s="2" t="s">
        <v>331</v>
      </c>
      <c r="I682" s="2" t="str">
        <f>IFERROR(__xludf.DUMMYFUNCTION("GOOGLETRANSLATE(C682,""fr"",""en"")"),"April Moto has fairly competitive rates in the face of its competitors, but it's the only positive point ... It's been 2 months now that I am waiting for my green card, documents being treated within 10 days but always No news 1 month later, each call, an"&amp;" advisor tells me that I miss another paper while everything has been sent ... Customer service is catastrophic, people do not know how to say something other than ""I Your file to the competent service "". They are only to reassure. I have been waiting f"&amp;"or a ""urgent"" ""Moto -class"" week for 1 week. My second provisional green card has just expired, so I can no longer drive, I have to wait for my final green card which is not ready to arrive. My job may slip under the nose, I no longer have any means o"&amp;"f transport, but I always pay each month ... To be flee")</f>
        <v>April Moto has fairly competitive rates in the face of its competitors, but it's the only positive point ... It's been 2 months now that I am waiting for my green card, documents being treated within 10 days but always No news 1 month later, each call, an advisor tells me that I miss another paper while everything has been sent ... Customer service is catastrophic, people do not know how to say something other than "I Your file to the competent service ". They are only to reassure. I have been waiting for a "urgent" "Moto -class" week for 1 week. My second provisional green card has just expired, so I can no longer drive, I have to wait for my final green card which is not ready to arrive. My job may slip under the nose, I no longer have any means of transport, but I always pay each month ... To be flee</v>
      </c>
    </row>
    <row r="683" ht="15.75" customHeight="1">
      <c r="A683" s="2">
        <v>4.0</v>
      </c>
      <c r="B683" s="2" t="s">
        <v>1962</v>
      </c>
      <c r="C683" s="2" t="s">
        <v>1963</v>
      </c>
      <c r="D683" s="2" t="s">
        <v>617</v>
      </c>
      <c r="E683" s="2" t="s">
        <v>46</v>
      </c>
      <c r="F683" s="2" t="s">
        <v>15</v>
      </c>
      <c r="G683" s="2" t="s">
        <v>813</v>
      </c>
      <c r="H683" s="2" t="s">
        <v>814</v>
      </c>
      <c r="I683" s="2" t="str">
        <f>IFERROR(__xludf.DUMMYFUNCTION("GOOGLETRANSLATE(C683,""fr"",""en"")"),"I suffered the death of my mother Madame Froger Thérèse on May 30, 2013, I was quickly compensated I do not apparently understand the Sogecap works well. Thank you to all the advisers and I specify remained discreet following family problems")</f>
        <v>I suffered the death of my mother Madame Froger Thérèse on May 30, 2013, I was quickly compensated I do not apparently understand the Sogecap works well. Thank you to all the advisers and I specify remained discreet following family problems</v>
      </c>
    </row>
    <row r="684" ht="15.75" customHeight="1">
      <c r="A684" s="2">
        <v>2.0</v>
      </c>
      <c r="B684" s="2" t="s">
        <v>1964</v>
      </c>
      <c r="C684" s="2" t="s">
        <v>1965</v>
      </c>
      <c r="D684" s="2" t="s">
        <v>639</v>
      </c>
      <c r="E684" s="2" t="s">
        <v>46</v>
      </c>
      <c r="F684" s="2" t="s">
        <v>15</v>
      </c>
      <c r="G684" s="2" t="s">
        <v>1679</v>
      </c>
      <c r="H684" s="2" t="s">
        <v>243</v>
      </c>
      <c r="I684" s="2" t="str">
        <f>IFERROR(__xludf.DUMMYFUNCTION("GOOGLETRANSLATE(C684,""fr"",""en"")"),"No response from the succession service has been going on for 3 months. AFER advisers, they themselves are distraught. AFER and Aviva are absent subscribers ..... or is our savings ...")</f>
        <v>No response from the succession service has been going on for 3 months. AFER advisers, they themselves are distraught. AFER and Aviva are absent subscribers ..... or is our savings ...</v>
      </c>
    </row>
    <row r="685" ht="15.75" customHeight="1">
      <c r="A685" s="2">
        <v>5.0</v>
      </c>
      <c r="B685" s="2" t="s">
        <v>1966</v>
      </c>
      <c r="C685" s="2" t="s">
        <v>1967</v>
      </c>
      <c r="D685" s="2" t="s">
        <v>24</v>
      </c>
      <c r="E685" s="2" t="s">
        <v>14</v>
      </c>
      <c r="F685" s="2" t="s">
        <v>15</v>
      </c>
      <c r="G685" s="2" t="s">
        <v>327</v>
      </c>
      <c r="H685" s="2" t="s">
        <v>42</v>
      </c>
      <c r="I685" s="2" t="str">
        <f>IFERROR(__xludf.DUMMYFUNCTION("GOOGLETRANSLATE(C685,""fr"",""en"")"),"The telephone exchange and the implementation of the perfect contract hoping that our future exchanges will take place in the same way I would recommend the Olivier Insurance ??")</f>
        <v>The telephone exchange and the implementation of the perfect contract hoping that our future exchanges will take place in the same way I would recommend the Olivier Insurance ??</v>
      </c>
    </row>
    <row r="686" ht="15.75" customHeight="1">
      <c r="A686" s="2">
        <v>5.0</v>
      </c>
      <c r="B686" s="2" t="s">
        <v>1968</v>
      </c>
      <c r="C686" s="2" t="s">
        <v>1969</v>
      </c>
      <c r="D686" s="2" t="s">
        <v>24</v>
      </c>
      <c r="E686" s="2" t="s">
        <v>14</v>
      </c>
      <c r="F686" s="2" t="s">
        <v>15</v>
      </c>
      <c r="G686" s="2" t="s">
        <v>1413</v>
      </c>
      <c r="H686" s="2" t="s">
        <v>17</v>
      </c>
      <c r="I686" s="2" t="str">
        <f>IFERROR(__xludf.DUMMYFUNCTION("GOOGLETRANSLATE(C686,""fr"",""en"")"),"I was very well taken care of when there was a misunderstanding between my contract and that of my husband. The person was very competent. Thank you BW.")</f>
        <v>I was very well taken care of when there was a misunderstanding between my contract and that of my husband. The person was very competent. Thank you BW.</v>
      </c>
    </row>
    <row r="687" ht="15.75" customHeight="1">
      <c r="A687" s="2">
        <v>3.0</v>
      </c>
      <c r="B687" s="2" t="s">
        <v>1970</v>
      </c>
      <c r="C687" s="2" t="s">
        <v>1971</v>
      </c>
      <c r="D687" s="2" t="s">
        <v>24</v>
      </c>
      <c r="E687" s="2" t="s">
        <v>14</v>
      </c>
      <c r="F687" s="2" t="s">
        <v>15</v>
      </c>
      <c r="G687" s="2" t="s">
        <v>1469</v>
      </c>
      <c r="H687" s="2" t="s">
        <v>84</v>
      </c>
      <c r="I687" s="2" t="str">
        <f>IFERROR(__xludf.DUMMYFUNCTION("GOOGLETRANSLATE(C687,""fr"",""en"")"),"Simple and efficient
Practical and fast
Sympathetic price level and if you can remove the price of supporting the file here
Thank you
Cordially")</f>
        <v>Simple and efficient
Practical and fast
Sympathetic price level and if you can remove the price of supporting the file here
Thank you
Cordially</v>
      </c>
    </row>
    <row r="688" ht="15.75" customHeight="1">
      <c r="A688" s="2">
        <v>2.0</v>
      </c>
      <c r="B688" s="2" t="s">
        <v>1972</v>
      </c>
      <c r="C688" s="2" t="s">
        <v>1973</v>
      </c>
      <c r="D688" s="2" t="s">
        <v>209</v>
      </c>
      <c r="E688" s="2" t="s">
        <v>14</v>
      </c>
      <c r="F688" s="2" t="s">
        <v>15</v>
      </c>
      <c r="G688" s="2" t="s">
        <v>1974</v>
      </c>
      <c r="H688" s="2" t="s">
        <v>826</v>
      </c>
      <c r="I688" s="2" t="str">
        <f>IFERROR(__xludf.DUMMYFUNCTION("GOOGLETRANSLATE(C688,""fr"",""en"")"),"Very very big disappointment on Maaf's pricing policy, has been in the bonus max for years, no responsible accident for more than 20 years, and every year increases by 6% of my price, forced to go negotiate a drop in Price (I obtained 5% this time) I am a"&amp;" little tired of this policy, I laugh (yellow) when I see the pubs on TV, the good drivers see their price drop ??? It seems so obvious to make bad drivers .... after this undoubtedly last declining negotiation, I will leave this insurance ...")</f>
        <v>Very very big disappointment on Maaf's pricing policy, has been in the bonus max for years, no responsible accident for more than 20 years, and every year increases by 6% of my price, forced to go negotiate a drop in Price (I obtained 5% this time) I am a little tired of this policy, I laugh (yellow) when I see the pubs on TV, the good drivers see their price drop ??? It seems so obvious to make bad drivers .... after this undoubtedly last declining negotiation, I will leave this insurance ...</v>
      </c>
    </row>
    <row r="689" ht="15.75" customHeight="1">
      <c r="A689" s="2">
        <v>1.0</v>
      </c>
      <c r="B689" s="2" t="s">
        <v>1975</v>
      </c>
      <c r="C689" s="2" t="s">
        <v>1976</v>
      </c>
      <c r="D689" s="2" t="s">
        <v>24</v>
      </c>
      <c r="E689" s="2" t="s">
        <v>14</v>
      </c>
      <c r="F689" s="2" t="s">
        <v>15</v>
      </c>
      <c r="G689" s="2" t="s">
        <v>1977</v>
      </c>
      <c r="H689" s="2" t="s">
        <v>68</v>
      </c>
      <c r="I689" s="2" t="str">
        <f>IFERROR(__xludf.DUMMYFUNCTION("GOOGLETRANSLATE(C689,""fr"",""en"")"),"Beginning of my registration 35 € and every year it increases 3 years after asking me for € 59 of subscription when I have a bonus and never had an accident or offense. to flee believe me")</f>
        <v>Beginning of my registration 35 € and every year it increases 3 years after asking me for € 59 of subscription when I have a bonus and never had an accident or offense. to flee believe me</v>
      </c>
    </row>
    <row r="690" ht="15.75" customHeight="1">
      <c r="A690" s="2">
        <v>5.0</v>
      </c>
      <c r="B690" s="2" t="s">
        <v>1978</v>
      </c>
      <c r="C690" s="2" t="s">
        <v>1979</v>
      </c>
      <c r="D690" s="2" t="s">
        <v>24</v>
      </c>
      <c r="E690" s="2" t="s">
        <v>14</v>
      </c>
      <c r="F690" s="2" t="s">
        <v>15</v>
      </c>
      <c r="G690" s="2" t="s">
        <v>1082</v>
      </c>
      <c r="H690" s="2" t="s">
        <v>21</v>
      </c>
      <c r="I690" s="2" t="str">
        <f>IFERROR(__xludf.DUMMYFUNCTION("GOOGLETRANSLATE(C690,""fr"",""en"")"),"Very satisfied with the services and the price good contact with your advisor who was very clear and precise in the explanations I would recommend your insurance")</f>
        <v>Very satisfied with the services and the price good contact with your advisor who was very clear and precise in the explanations I would recommend your insurance</v>
      </c>
    </row>
    <row r="691" ht="15.75" customHeight="1">
      <c r="A691" s="2">
        <v>4.0</v>
      </c>
      <c r="B691" s="2" t="s">
        <v>1980</v>
      </c>
      <c r="C691" s="2" t="s">
        <v>1981</v>
      </c>
      <c r="D691" s="2" t="s">
        <v>24</v>
      </c>
      <c r="E691" s="2" t="s">
        <v>14</v>
      </c>
      <c r="F691" s="2" t="s">
        <v>15</v>
      </c>
      <c r="G691" s="2" t="s">
        <v>1040</v>
      </c>
      <c r="H691" s="2" t="s">
        <v>764</v>
      </c>
      <c r="I691" s="2" t="str">
        <f>IFERROR(__xludf.DUMMYFUNCTION("GOOGLETRANSLATE(C691,""fr"",""en"")"),"Good support for my price request. The price is competitive with a person listening and taken into account quickly. Provisional green card received quickly")</f>
        <v>Good support for my price request. The price is competitive with a person listening and taken into account quickly. Provisional green card received quickly</v>
      </c>
    </row>
    <row r="692" ht="15.75" customHeight="1">
      <c r="A692" s="2">
        <v>4.0</v>
      </c>
      <c r="B692" s="2" t="s">
        <v>1982</v>
      </c>
      <c r="C692" s="2" t="s">
        <v>1983</v>
      </c>
      <c r="D692" s="2" t="s">
        <v>39</v>
      </c>
      <c r="E692" s="2" t="s">
        <v>14</v>
      </c>
      <c r="F692" s="2" t="s">
        <v>15</v>
      </c>
      <c r="G692" s="2" t="s">
        <v>1984</v>
      </c>
      <c r="H692" s="2" t="s">
        <v>167</v>
      </c>
      <c r="I692" s="2" t="str">
        <f>IFERROR(__xludf.DUMMYFUNCTION("GOOGLETRANSLATE(C692,""fr"",""en"")"),"The service and prices are correct.
Waiting on the phone to get a service can be long.
Too bad that we cannot have grouped contract offers to obtain more interesting prices.")</f>
        <v>The service and prices are correct.
Waiting on the phone to get a service can be long.
Too bad that we cannot have grouped contract offers to obtain more interesting prices.</v>
      </c>
    </row>
    <row r="693" ht="15.75" customHeight="1">
      <c r="A693" s="2">
        <v>4.0</v>
      </c>
      <c r="B693" s="2" t="s">
        <v>1985</v>
      </c>
      <c r="C693" s="2" t="s">
        <v>1986</v>
      </c>
      <c r="D693" s="2" t="s">
        <v>231</v>
      </c>
      <c r="E693" s="2" t="s">
        <v>34</v>
      </c>
      <c r="F693" s="2" t="s">
        <v>15</v>
      </c>
      <c r="G693" s="2" t="s">
        <v>158</v>
      </c>
      <c r="H693" s="2" t="s">
        <v>84</v>
      </c>
      <c r="I693" s="2" t="str">
        <f>IFERROR(__xludf.DUMMYFUNCTION("GOOGLETRANSLATE(C693,""fr"",""en"")"),"Contract of 01/01/2021: a problem of connection to the guaranteed space, and one with ViaMedis, (refuse to take off). PROPEMBLEM PART PART THE AMABLE STORE.")</f>
        <v>Contract of 01/01/2021: a problem of connection to the guaranteed space, and one with ViaMedis, (refuse to take off). PROPEMBLEM PART PART THE AMABLE STORE.</v>
      </c>
    </row>
    <row r="694" ht="15.75" customHeight="1">
      <c r="A694" s="2">
        <v>5.0</v>
      </c>
      <c r="B694" s="2" t="s">
        <v>1987</v>
      </c>
      <c r="C694" s="2" t="s">
        <v>1988</v>
      </c>
      <c r="D694" s="2" t="s">
        <v>13</v>
      </c>
      <c r="E694" s="2" t="s">
        <v>14</v>
      </c>
      <c r="F694" s="2" t="s">
        <v>15</v>
      </c>
      <c r="G694" s="2" t="s">
        <v>25</v>
      </c>
      <c r="H694" s="2" t="s">
        <v>21</v>
      </c>
      <c r="I694" s="2" t="str">
        <f>IFERROR(__xludf.DUMMYFUNCTION("GOOGLETRANSLATE(C694,""fr"",""en"")"),"Frankly, the service has improved over the years. Best value for money found after many research on different online comparators. I am pleasantly surprised by the clarity of the site and the questions requested to validate the quote.")</f>
        <v>Frankly, the service has improved over the years. Best value for money found after many research on different online comparators. I am pleasantly surprised by the clarity of the site and the questions requested to validate the quote.</v>
      </c>
    </row>
    <row r="695" ht="15.75" customHeight="1">
      <c r="A695" s="2">
        <v>4.0</v>
      </c>
      <c r="B695" s="2" t="s">
        <v>1989</v>
      </c>
      <c r="C695" s="2" t="s">
        <v>1990</v>
      </c>
      <c r="D695" s="2" t="s">
        <v>55</v>
      </c>
      <c r="E695" s="2" t="s">
        <v>56</v>
      </c>
      <c r="F695" s="2" t="s">
        <v>15</v>
      </c>
      <c r="G695" s="2" t="s">
        <v>1991</v>
      </c>
      <c r="H695" s="2" t="s">
        <v>225</v>
      </c>
      <c r="I695" s="2" t="str">
        <f>IFERROR(__xludf.DUMMYFUNCTION("GOOGLETRANSLATE(C695,""fr"",""en"")"),"Very attractive insurance on the basic price. On the other hand, not high enough in terms of compensation in the event of bodily lesions; can do better... .
The big problem is on communication and access to information by phone or email; Tedious and pain"&amp;"ful to have to decline identity and password too often to advance in your information research.
Very good insurance but repeated passwords in a single telephone call was right for my patience.
You have to review the mode of access to customers in their "&amp;"space or to glean simple little information.
We must revise the premiums up in the event of lesions which in my opinion, are too low.
Otherwise; I advise this good insurance who knows how to respond quickly and profssionalism to all your questions qui"&amp;"ckly and which still covers a lot as the law requires. Better to spend € 15 per month in call rate for a 125cc than to drive without insurance, at the risk of paying it all your life or being faced with a judge in the event of a bodily accident ...
BE CA"&amp;"REFUL. Roll up and respectful of others.
Good road to all
")</f>
        <v>Very attractive insurance on the basic price. On the other hand, not high enough in terms of compensation in the event of bodily lesions; can do better... .
The big problem is on communication and access to information by phone or email; Tedious and painful to have to decline identity and password too often to advance in your information research.
Very good insurance but repeated passwords in a single telephone call was right for my patience.
You have to review the mode of access to customers in their space or to glean simple little information.
We must revise the premiums up in the event of lesions which in my opinion, are too low.
Otherwise; I advise this good insurance who knows how to respond quickly and profssionalism to all your questions quickly and which still covers a lot as the law requires. Better to spend € 15 per month in call rate for a 125cc than to drive without insurance, at the risk of paying it all your life or being faced with a judge in the event of a bodily accident ...
BE CAREFUL. Roll up and respectful of others.
Good road to all
</v>
      </c>
    </row>
    <row r="696" ht="15.75" customHeight="1">
      <c r="A696" s="2">
        <v>1.0</v>
      </c>
      <c r="B696" s="2" t="s">
        <v>1992</v>
      </c>
      <c r="C696" s="2" t="s">
        <v>1993</v>
      </c>
      <c r="D696" s="2" t="s">
        <v>117</v>
      </c>
      <c r="E696" s="2" t="s">
        <v>14</v>
      </c>
      <c r="F696" s="2" t="s">
        <v>15</v>
      </c>
      <c r="G696" s="2" t="s">
        <v>1994</v>
      </c>
      <c r="H696" s="2" t="s">
        <v>68</v>
      </c>
      <c r="I696" s="2" t="str">
        <f>IFERROR(__xludf.DUMMYFUNCTION("GOOGLETRANSLATE(C696,""fr"",""en"")"),"Allianz Society has FURSE! I do not recommend it strongly and sincerely because I already have a little for 6 years that I follow that I follow in uh and to be sincere it is really bad on a lot of points that its levels of prices too expensive for what kn"&amp;"ow, no understanding For customers, at the slightest concerns he sends the ball, the reimbursements far too long, no respect for their customers, and that it is a question of reimbursement of a customer he finds the slightest excuse for pretended a signif"&amp;"icant discount On what really owes you!
If I had to note this company in 1000 I would give it a notes and still only by what the only people understandable in uh it is my adviser my unfortunately she cannot do much since the problem comes much higher to "&amp;"the hierarchical levels I will give them the note of 10/1000 I wish you good luck for future customers.
And I specify that it is by regret and obligation that I reluctantly offer them a star.")</f>
        <v>Allianz Society has FURSE! I do not recommend it strongly and sincerely because I already have a little for 6 years that I follow that I follow in uh and to be sincere it is really bad on a lot of points that its levels of prices too expensive for what know, no understanding For customers, at the slightest concerns he sends the ball, the reimbursements far too long, no respect for their customers, and that it is a question of reimbursement of a customer he finds the slightest excuse for pretended a significant discount On what really owes you!
If I had to note this company in 1000 I would give it a notes and still only by what the only people understandable in uh it is my adviser my unfortunately she cannot do much since the problem comes much higher to the hierarchical levels I will give them the note of 10/1000 I wish you good luck for future customers.
And I specify that it is by regret and obligation that I reluctantly offer them a star.</v>
      </c>
    </row>
    <row r="697" ht="15.75" customHeight="1">
      <c r="A697" s="2">
        <v>3.0</v>
      </c>
      <c r="B697" s="2" t="s">
        <v>1995</v>
      </c>
      <c r="C697" s="2" t="s">
        <v>1996</v>
      </c>
      <c r="D697" s="2" t="s">
        <v>55</v>
      </c>
      <c r="E697" s="2" t="s">
        <v>56</v>
      </c>
      <c r="F697" s="2" t="s">
        <v>15</v>
      </c>
      <c r="G697" s="2" t="s">
        <v>472</v>
      </c>
      <c r="H697" s="2" t="s">
        <v>17</v>
      </c>
      <c r="I697" s="2" t="str">
        <f>IFERROR(__xludf.DUMMYFUNCTION("GOOGLETRANSLATE(C697,""fr"",""en"")"),"At all risk I find the price high given my years without two -wheel accidents. The equipment of the good quality biker is expensive, the one that ensures it should have a bonus lowering, leather jacket type, boots, ki-boots, airbag, leather pants or EPI p"&amp;"rotection, etc ...")</f>
        <v>At all risk I find the price high given my years without two -wheel accidents. The equipment of the good quality biker is expensive, the one that ensures it should have a bonus lowering, leather jacket type, boots, ki-boots, airbag, leather pants or EPI protection, etc ...</v>
      </c>
    </row>
    <row r="698" ht="15.75" customHeight="1">
      <c r="A698" s="2">
        <v>4.0</v>
      </c>
      <c r="B698" s="2" t="s">
        <v>1997</v>
      </c>
      <c r="C698" s="2" t="s">
        <v>1998</v>
      </c>
      <c r="D698" s="2" t="s">
        <v>13</v>
      </c>
      <c r="E698" s="2" t="s">
        <v>14</v>
      </c>
      <c r="F698" s="2" t="s">
        <v>15</v>
      </c>
      <c r="G698" s="2" t="s">
        <v>1999</v>
      </c>
      <c r="H698" s="2" t="s">
        <v>84</v>
      </c>
      <c r="I698" s="2" t="str">
        <f>IFERROR(__xludf.DUMMYFUNCTION("GOOGLETRANSLATE(C698,""fr"",""en"")"),"satisfactory price level and the ease of managing the possible modifications to be made.
In the event of a problem I do not know if direct insurance will be operational?")</f>
        <v>satisfactory price level and the ease of managing the possible modifications to be made.
In the event of a problem I do not know if direct insurance will be operational?</v>
      </c>
    </row>
    <row r="699" ht="15.75" customHeight="1">
      <c r="A699" s="2">
        <v>2.0</v>
      </c>
      <c r="B699" s="2" t="s">
        <v>2000</v>
      </c>
      <c r="C699" s="2" t="s">
        <v>2001</v>
      </c>
      <c r="D699" s="2" t="s">
        <v>13</v>
      </c>
      <c r="E699" s="2" t="s">
        <v>14</v>
      </c>
      <c r="F699" s="2" t="s">
        <v>15</v>
      </c>
      <c r="G699" s="2" t="s">
        <v>2002</v>
      </c>
      <c r="H699" s="2" t="s">
        <v>144</v>
      </c>
      <c r="I699" s="2" t="str">
        <f>IFERROR(__xludf.DUMMYFUNCTION("GOOGLETRANSLATE(C699,""fr"",""en"")"),"Very attractive call price, but the price is torched for the 2nd year.
As for the service, I cannot decide because I never needed to contact them.")</f>
        <v>Very attractive call price, but the price is torched for the 2nd year.
As for the service, I cannot decide because I never needed to contact them.</v>
      </c>
    </row>
    <row r="700" ht="15.75" customHeight="1">
      <c r="A700" s="2">
        <v>1.0</v>
      </c>
      <c r="B700" s="2" t="s">
        <v>2003</v>
      </c>
      <c r="C700" s="2" t="s">
        <v>2004</v>
      </c>
      <c r="D700" s="2" t="s">
        <v>106</v>
      </c>
      <c r="E700" s="2" t="s">
        <v>40</v>
      </c>
      <c r="F700" s="2" t="s">
        <v>15</v>
      </c>
      <c r="G700" s="2" t="s">
        <v>2005</v>
      </c>
      <c r="H700" s="2" t="s">
        <v>444</v>
      </c>
      <c r="I700" s="2" t="str">
        <f>IFERROR(__xludf.DUMMYFUNCTION("GOOGLETRANSLATE(C700,""fr"",""en"")"),"Very miscontentive of the Macif, we had a problem with a tier, and legal assistance subscribed in our contract, we classify the case without continuous with bogus excuses (less work for them and less money to be done) 2 months before layout From the contr"&amp;"act, I send a RAR letter, 2 months and 4 days later answers not possible to terminate the RAR has a vice of form, very angry, I will consult 50 million consumer and the lawyer of ap or j adhere")</f>
        <v>Very miscontentive of the Macif, we had a problem with a tier, and legal assistance subscribed in our contract, we classify the case without continuous with bogus excuses (less work for them and less money to be done) 2 months before layout From the contract, I send a RAR letter, 2 months and 4 days later answers not possible to terminate the RAR has a vice of form, very angry, I will consult 50 million consumer and the lawyer of ap or j adhere</v>
      </c>
    </row>
    <row r="701" ht="15.75" customHeight="1">
      <c r="A701" s="2">
        <v>2.0</v>
      </c>
      <c r="B701" s="2" t="s">
        <v>2006</v>
      </c>
      <c r="C701" s="2" t="s">
        <v>2007</v>
      </c>
      <c r="D701" s="2" t="s">
        <v>209</v>
      </c>
      <c r="E701" s="2" t="s">
        <v>14</v>
      </c>
      <c r="F701" s="2" t="s">
        <v>15</v>
      </c>
      <c r="G701" s="2" t="s">
        <v>2008</v>
      </c>
      <c r="H701" s="2" t="s">
        <v>814</v>
      </c>
      <c r="I701" s="2" t="str">
        <f>IFERROR(__xludf.DUMMYFUNCTION("GOOGLETRANSLATE(C701,""fr"",""en"")"),"Insured any risk I declared a hanging caused by a construction truck who went on a flight offense. 2 witnesses described the scene to me when I came back to my car. Unfortunately they could not raise the truck plate that is too muddy and me in shock and w"&amp;"ith the downwinds of water I did not think of asking them their contact details. The expert contradicts my statement saying that I fell on a post.
Since I am assured of any risk I do not see why I would have lied and lost a morning to go and file a compl"&amp;"aint to the police.
On the phone the expert told me that he could be wrong but that he would not come back to his decision, question of credibility '! So I received a maaf letter refusing to pay for false declaration
Please the maaf radie me if you don'"&amp;"t want to pay but don't treat me a liar, it's lamentable. I am 72 years old 52 years of license, this is my first claim of claim any risk.
Moreover by making a quote for repairs I realize that the approved garage Maaf shamelessly overfact.")</f>
        <v>Insured any risk I declared a hanging caused by a construction truck who went on a flight offense. 2 witnesses described the scene to me when I came back to my car. Unfortunately they could not raise the truck plate that is too muddy and me in shock and with the downwinds of water I did not think of asking them their contact details. The expert contradicts my statement saying that I fell on a post.
Since I am assured of any risk I do not see why I would have lied and lost a morning to go and file a complaint to the police.
On the phone the expert told me that he could be wrong but that he would not come back to his decision, question of credibility '! So I received a maaf letter refusing to pay for false declaration
Please the maaf radie me if you don't want to pay but don't treat me a liar, it's lamentable. I am 72 years old 52 years of license, this is my first claim of claim any risk.
Moreover by making a quote for repairs I realize that the approved garage Maaf shamelessly overfact.</v>
      </c>
    </row>
    <row r="702" ht="15.75" customHeight="1">
      <c r="A702" s="2">
        <v>1.0</v>
      </c>
      <c r="B702" s="2" t="s">
        <v>2009</v>
      </c>
      <c r="C702" s="2" t="s">
        <v>2010</v>
      </c>
      <c r="D702" s="2" t="s">
        <v>639</v>
      </c>
      <c r="E702" s="2" t="s">
        <v>46</v>
      </c>
      <c r="F702" s="2" t="s">
        <v>15</v>
      </c>
      <c r="G702" s="2" t="s">
        <v>2011</v>
      </c>
      <c r="H702" s="2" t="s">
        <v>614</v>
      </c>
      <c r="I702" s="2" t="str">
        <f>IFERROR(__xludf.DUMMYFUNCTION("GOOGLETRANSLATE(C702,""fr"",""en"")"),"On 6/01/2020 I applied for total buyout of my AFER account. Since despite the addresses addresses I have not recovered my funds")</f>
        <v>On 6/01/2020 I applied for total buyout of my AFER account. Since despite the addresses addresses I have not recovered my funds</v>
      </c>
    </row>
    <row r="703" ht="15.75" customHeight="1">
      <c r="A703" s="2">
        <v>1.0</v>
      </c>
      <c r="B703" s="2" t="s">
        <v>2012</v>
      </c>
      <c r="C703" s="2" t="s">
        <v>2013</v>
      </c>
      <c r="D703" s="2" t="s">
        <v>79</v>
      </c>
      <c r="E703" s="2" t="s">
        <v>14</v>
      </c>
      <c r="F703" s="2" t="s">
        <v>15</v>
      </c>
      <c r="G703" s="2" t="s">
        <v>2014</v>
      </c>
      <c r="H703" s="2" t="s">
        <v>180</v>
      </c>
      <c r="I703" s="2" t="str">
        <f>IFERROR(__xludf.DUMMYFUNCTION("GOOGLETRANSLATE(C703,""fr"",""en"")"),"Help ... insurance to avoid")</f>
        <v>Help ... insurance to avoid</v>
      </c>
    </row>
    <row r="704" ht="15.75" customHeight="1">
      <c r="A704" s="2">
        <v>5.0</v>
      </c>
      <c r="B704" s="2" t="s">
        <v>2015</v>
      </c>
      <c r="C704" s="2" t="s">
        <v>2016</v>
      </c>
      <c r="D704" s="2" t="s">
        <v>13</v>
      </c>
      <c r="E704" s="2" t="s">
        <v>14</v>
      </c>
      <c r="F704" s="2" t="s">
        <v>15</v>
      </c>
      <c r="G704" s="2" t="s">
        <v>2017</v>
      </c>
      <c r="H704" s="2" t="s">
        <v>21</v>
      </c>
      <c r="I704" s="2" t="str">
        <f>IFERROR(__xludf.DUMMYFUNCTION("GOOGLETRANSLATE(C704,""fr"",""en"")"),"I am satisfied with the prices offered in relation to the associated guarantees, for an equivalent contract I paid three times more expensive at my previous insurer.")</f>
        <v>I am satisfied with the prices offered in relation to the associated guarantees, for an equivalent contract I paid three times more expensive at my previous insurer.</v>
      </c>
    </row>
    <row r="705" ht="15.75" customHeight="1">
      <c r="A705" s="2">
        <v>2.0</v>
      </c>
      <c r="B705" s="2" t="s">
        <v>2018</v>
      </c>
      <c r="C705" s="2" t="s">
        <v>2019</v>
      </c>
      <c r="D705" s="2" t="s">
        <v>117</v>
      </c>
      <c r="E705" s="2" t="s">
        <v>46</v>
      </c>
      <c r="F705" s="2" t="s">
        <v>15</v>
      </c>
      <c r="G705" s="2" t="s">
        <v>2020</v>
      </c>
      <c r="H705" s="2" t="s">
        <v>495</v>
      </c>
      <c r="I705" s="2" t="str">
        <f>IFERROR(__xludf.DUMMYFUNCTION("GOOGLETRANSLATE(C705,""fr"",""en"")"),"Insurer to flee absolutely!
If you want to buy your contracts, the procedures are lying in length; And even when you have produced the necessary supporting documents, it lasts entire weeks. Everything is done to discourage the customer: long wait on the "&amp;"phone, no response to recommended letters and emails, repeated requests from the same documents, and when you provided them, you are asked for the originals!
It's my experience, and believe me a real marathon.")</f>
        <v>Insurer to flee absolutely!
If you want to buy your contracts, the procedures are lying in length; And even when you have produced the necessary supporting documents, it lasts entire weeks. Everything is done to discourage the customer: long wait on the phone, no response to recommended letters and emails, repeated requests from the same documents, and when you provided them, you are asked for the originals!
It's my experience, and believe me a real marathon.</v>
      </c>
    </row>
    <row r="706" ht="15.75" customHeight="1">
      <c r="A706" s="2">
        <v>1.0</v>
      </c>
      <c r="B706" s="2" t="s">
        <v>2021</v>
      </c>
      <c r="C706" s="2" t="s">
        <v>2022</v>
      </c>
      <c r="D706" s="2" t="s">
        <v>416</v>
      </c>
      <c r="E706" s="2" t="s">
        <v>34</v>
      </c>
      <c r="F706" s="2" t="s">
        <v>15</v>
      </c>
      <c r="G706" s="2" t="s">
        <v>2023</v>
      </c>
      <c r="H706" s="2" t="s">
        <v>594</v>
      </c>
      <c r="I706" s="2" t="str">
        <f>IFERROR(__xludf.DUMMYFUNCTION("GOOGLETRANSLATE(C706,""fr"",""en"")"),"It's been a member of 6 months and I have not yet received my mutual card. Customer service is really no respect for customers I really do not recommend this mutual.")</f>
        <v>It's been a member of 6 months and I have not yet received my mutual card. Customer service is really no respect for customers I really do not recommend this mutual.</v>
      </c>
    </row>
    <row r="707" ht="15.75" customHeight="1">
      <c r="A707" s="2">
        <v>4.0</v>
      </c>
      <c r="B707" s="2" t="s">
        <v>2024</v>
      </c>
      <c r="C707" s="2" t="s">
        <v>2025</v>
      </c>
      <c r="D707" s="2" t="s">
        <v>246</v>
      </c>
      <c r="E707" s="2" t="s">
        <v>34</v>
      </c>
      <c r="F707" s="2" t="s">
        <v>15</v>
      </c>
      <c r="G707" s="2" t="s">
        <v>1123</v>
      </c>
      <c r="H707" s="2" t="s">
        <v>444</v>
      </c>
      <c r="I707" s="2" t="str">
        <f>IFERROR(__xludf.DUMMYFUNCTION("GOOGLETRANSLATE(C707,""fr"",""en"")"),"The explanations were very clear.
The different options offered. that Neoliniane takes care of the termination of my old contract.")</f>
        <v>The explanations were very clear.
The different options offered. that Neoliniane takes care of the termination of my old contract.</v>
      </c>
    </row>
    <row r="708" ht="15.75" customHeight="1">
      <c r="A708" s="2">
        <v>5.0</v>
      </c>
      <c r="B708" s="2" t="s">
        <v>2026</v>
      </c>
      <c r="C708" s="2" t="s">
        <v>2027</v>
      </c>
      <c r="D708" s="2" t="s">
        <v>24</v>
      </c>
      <c r="E708" s="2" t="s">
        <v>14</v>
      </c>
      <c r="F708" s="2" t="s">
        <v>15</v>
      </c>
      <c r="G708" s="2" t="s">
        <v>861</v>
      </c>
      <c r="H708" s="2" t="s">
        <v>128</v>
      </c>
      <c r="I708" s="2" t="str">
        <f>IFERROR(__xludf.DUMMYFUNCTION("GOOGLETRANSLATE(C708,""fr"",""en"")"),"I am satisfied with the prices and the good listening. I recommended that my entourage for your seriousness and your prices. Already a person will subscribe to you.")</f>
        <v>I am satisfied with the prices and the good listening. I recommended that my entourage for your seriousness and your prices. Already a person will subscribe to you.</v>
      </c>
    </row>
    <row r="709" ht="15.75" customHeight="1">
      <c r="A709" s="2">
        <v>1.0</v>
      </c>
      <c r="B709" s="2" t="s">
        <v>2028</v>
      </c>
      <c r="C709" s="2" t="s">
        <v>2029</v>
      </c>
      <c r="D709" s="2" t="s">
        <v>24</v>
      </c>
      <c r="E709" s="2" t="s">
        <v>14</v>
      </c>
      <c r="F709" s="2" t="s">
        <v>15</v>
      </c>
      <c r="G709" s="2" t="s">
        <v>727</v>
      </c>
      <c r="H709" s="2" t="s">
        <v>728</v>
      </c>
      <c r="I709" s="2" t="str">
        <f>IFERROR(__xludf.DUMMYFUNCTION("GOOGLETRANSLATE(C709,""fr"",""en"")"),"Having studied the end of the detail of the contracts proposed by the olive tree, I am quite amazed. Cheaper, this insurance ?? It is sure that prices seem attractive, but when the flight of the wheels is excluded from the flight warranty (!), As well as "&amp;"the objects inside the vehicle (!!) and the protection of your vehicle is included in a warranty extension which largely increases the subscription (!!!) ... with the respect that I owe to the people who work in this company as well as to the kind commerc"&amp;"ial that informed me, The proposals of this company are clearly similar to a well -and -form smoking. There, you arrive at the same price as traditional insurers and for guarantees, much less! All this without counting the astronomical price of franchises"&amp;". In short, clearly a company that plays on the ignorance of people in terms of law and insurance by positioning themselves on the market for small scholarships; Believe me for a first vehicle, with much more effective guarantees and for eight euros more "&amp;"per month my vehicle is really insured. Also concerning expertise, even in any risk not responsible it can take time ... When you claim to be cheap, it is logical to establish a connection with the cabinets of the same ilk ... Flee and fall back on the tr"&amp;"aditional , already well established in the insurance landscape, in collaboration with reliable partners. Pognon at all costs and it is normal at the bottom of an Anglo-Saxon group, in no case the culture of French insurance service is represented here .."&amp;".")</f>
        <v>Having studied the end of the detail of the contracts proposed by the olive tree, I am quite amazed. Cheaper, this insurance ?? It is sure that prices seem attractive, but when the flight of the wheels is excluded from the flight warranty (!), As well as the objects inside the vehicle (!!) and the protection of your vehicle is included in a warranty extension which largely increases the subscription (!!!) ... with the respect that I owe to the people who work in this company as well as to the kind commercial that informed me, The proposals of this company are clearly similar to a well -and -form smoking. There, you arrive at the same price as traditional insurers and for guarantees, much less! All this without counting the astronomical price of franchises. In short, clearly a company that plays on the ignorance of people in terms of law and insurance by positioning themselves on the market for small scholarships; Believe me for a first vehicle, with much more effective guarantees and for eight euros more per month my vehicle is really insured. Also concerning expertise, even in any risk not responsible it can take time ... When you claim to be cheap, it is logical to establish a connection with the cabinets of the same ilk ... Flee and fall back on the traditional , already well established in the insurance landscape, in collaboration with reliable partners. Pognon at all costs and it is normal at the bottom of an Anglo-Saxon group, in no case the culture of French insurance service is represented here ...</v>
      </c>
    </row>
    <row r="710" ht="15.75" customHeight="1">
      <c r="A710" s="2">
        <v>5.0</v>
      </c>
      <c r="B710" s="2" t="s">
        <v>2030</v>
      </c>
      <c r="C710" s="2" t="s">
        <v>2031</v>
      </c>
      <c r="D710" s="2" t="s">
        <v>13</v>
      </c>
      <c r="E710" s="2" t="s">
        <v>14</v>
      </c>
      <c r="F710" s="2" t="s">
        <v>15</v>
      </c>
      <c r="G710" s="2" t="s">
        <v>582</v>
      </c>
      <c r="H710" s="2" t="s">
        <v>21</v>
      </c>
      <c r="I710" s="2" t="str">
        <f>IFERROR(__xludf.DUMMYFUNCTION("GOOGLETRANSLATE(C710,""fr"",""en"")"),"Easy subscription and excellent rates. I have already used the services of this insurer and I was very satisfied with the service. I can only recommend it")</f>
        <v>Easy subscription and excellent rates. I have already used the services of this insurer and I was very satisfied with the service. I can only recommend it</v>
      </c>
    </row>
    <row r="711" ht="15.75" customHeight="1">
      <c r="A711" s="2">
        <v>2.0</v>
      </c>
      <c r="B711" s="2" t="s">
        <v>2032</v>
      </c>
      <c r="C711" s="2" t="s">
        <v>2033</v>
      </c>
      <c r="D711" s="2" t="s">
        <v>24</v>
      </c>
      <c r="E711" s="2" t="s">
        <v>14</v>
      </c>
      <c r="F711" s="2" t="s">
        <v>15</v>
      </c>
      <c r="G711" s="2" t="s">
        <v>135</v>
      </c>
      <c r="H711" s="2" t="s">
        <v>42</v>
      </c>
      <c r="I711" s="2" t="str">
        <f>IFERROR(__xludf.DUMMYFUNCTION("GOOGLETRANSLATE(C711,""fr"",""en"")"),"A disaster This insurance I am shocked
I was stolen and calcined my vehicle on 25mai 2021 Expert to encrypted since July 13 sold the vehicle to Lassurance since July 15 and since no indemization when I call it is still a new thing
Now it is their expert"&amp;" advice that is to be validated has been this since July 30, 2021.
I can't do any more of all that and our manager Mr Arthur whom I never had so much did not even be able to call us to explain to us what makes it so long
Disgusted to have subtitry at ho"&amp;"me
Flee tempt that he is temp
Because if by unhappy you have a glitch with your vehicle is good luck")</f>
        <v>A disaster This insurance I am shocked
I was stolen and calcined my vehicle on 25mai 2021 Expert to encrypted since July 13 sold the vehicle to Lassurance since July 15 and since no indemization when I call it is still a new thing
Now it is their expert advice that is to be validated has been this since July 30, 2021.
I can't do any more of all that and our manager Mr Arthur whom I never had so much did not even be able to call us to explain to us what makes it so long
Disgusted to have subtitry at home
Flee tempt that he is temp
Because if by unhappy you have a glitch with your vehicle is good luck</v>
      </c>
    </row>
    <row r="712" ht="15.75" customHeight="1">
      <c r="A712" s="2">
        <v>4.0</v>
      </c>
      <c r="B712" s="2" t="s">
        <v>2034</v>
      </c>
      <c r="C712" s="2" t="s">
        <v>2035</v>
      </c>
      <c r="D712" s="2" t="s">
        <v>209</v>
      </c>
      <c r="E712" s="2" t="s">
        <v>40</v>
      </c>
      <c r="F712" s="2" t="s">
        <v>15</v>
      </c>
      <c r="G712" s="2" t="s">
        <v>2036</v>
      </c>
      <c r="H712" s="2" t="s">
        <v>882</v>
      </c>
      <c r="I712" s="2" t="str">
        <f>IFERROR(__xludf.DUMMYFUNCTION("GOOGLETRANSLATE(C712,""fr"",""en"")"),"Good welcome in agency and listening to the customer. Following a storm in 2017, an expert went to see the damage of my wall and leaving me a check of the amount of the repair. Very friendly expert
Libourne agency 33500")</f>
        <v>Good welcome in agency and listening to the customer. Following a storm in 2017, an expert went to see the damage of my wall and leaving me a check of the amount of the repair. Very friendly expert
Libourne agency 33500</v>
      </c>
    </row>
    <row r="713" ht="15.75" customHeight="1">
      <c r="A713" s="2">
        <v>1.0</v>
      </c>
      <c r="B713" s="2" t="s">
        <v>2037</v>
      </c>
      <c r="C713" s="2" t="s">
        <v>2038</v>
      </c>
      <c r="D713" s="2" t="s">
        <v>71</v>
      </c>
      <c r="E713" s="2" t="s">
        <v>40</v>
      </c>
      <c r="F713" s="2" t="s">
        <v>15</v>
      </c>
      <c r="G713" s="2" t="s">
        <v>1024</v>
      </c>
      <c r="H713" s="2" t="s">
        <v>292</v>
      </c>
      <c r="I713" s="2" t="str">
        <f>IFERROR(__xludf.DUMMYFUNCTION("GOOGLETRANSLATE(C713,""fr"",""en"")"),"Late responses (3 weeks minimum) and sometimes to questions that have not been asked (ex law on the functioning of condominiums!) Rare info relevant on the file. Water damage from 2017, MAIF believes the allegations of the trustee, even if I prove its lie"&amp;"s and failures.
MAIF advisers, incompetent on difficult files, have decision -making power: 2 writings saying that there is no fault of the trustee. However, infiltration by common areas for 3, 5 years soon while a trustee has the mission of the conserva"&amp;"tion of the building, new damage (crack), + refusal of the trustee to declare the claim to the insurance of the building. Ineffective customer relationship, sometimes unpleasant: Maif does not see the problem on a water damage that has been going on for s"&amp;"o long and worsening.
No explanation (although the insured is a member) on such an operation")</f>
        <v>Late responses (3 weeks minimum) and sometimes to questions that have not been asked (ex law on the functioning of condominiums!) Rare info relevant on the file. Water damage from 2017, MAIF believes the allegations of the trustee, even if I prove its lies and failures.
MAIF advisers, incompetent on difficult files, have decision -making power: 2 writings saying that there is no fault of the trustee. However, infiltration by common areas for 3, 5 years soon while a trustee has the mission of the conservation of the building, new damage (crack), + refusal of the trustee to declare the claim to the insurance of the building. Ineffective customer relationship, sometimes unpleasant: Maif does not see the problem on a water damage that has been going on for so long and worsening.
No explanation (although the insured is a member) on such an operation</v>
      </c>
    </row>
    <row r="714" ht="15.75" customHeight="1">
      <c r="A714" s="2">
        <v>1.0</v>
      </c>
      <c r="B714" s="2" t="s">
        <v>2039</v>
      </c>
      <c r="C714" s="2" t="s">
        <v>2040</v>
      </c>
      <c r="D714" s="2" t="s">
        <v>13</v>
      </c>
      <c r="E714" s="2" t="s">
        <v>14</v>
      </c>
      <c r="F714" s="2" t="s">
        <v>15</v>
      </c>
      <c r="G714" s="2" t="s">
        <v>662</v>
      </c>
      <c r="H714" s="2" t="s">
        <v>17</v>
      </c>
      <c r="I714" s="2" t="str">
        <f>IFERROR(__xludf.DUMMYFUNCTION("GOOGLETRANSLATE(C714,""fr"",""en"")"),"Null !! For a month in disaster - no care! Sent to a non -approved garage then ... forgotten! Decided very very disappointed ... You must not have any claim with them !!")</f>
        <v>Null !! For a month in disaster - no care! Sent to a non -approved garage then ... forgotten! Decided very very disappointed ... You must not have any claim with them !!</v>
      </c>
    </row>
    <row r="715" ht="15.75" customHeight="1">
      <c r="A715" s="2">
        <v>1.0</v>
      </c>
      <c r="B715" s="2" t="s">
        <v>2041</v>
      </c>
      <c r="C715" s="2" t="s">
        <v>2042</v>
      </c>
      <c r="D715" s="2" t="s">
        <v>33</v>
      </c>
      <c r="E715" s="2" t="s">
        <v>34</v>
      </c>
      <c r="F715" s="2" t="s">
        <v>15</v>
      </c>
      <c r="G715" s="2" t="s">
        <v>2043</v>
      </c>
      <c r="H715" s="2" t="s">
        <v>659</v>
      </c>
      <c r="I715" s="2" t="str">
        <f>IFERROR(__xludf.DUMMYFUNCTION("GOOGLETRANSLATE(C715,""fr"",""en"")"),"I have been at MGEN since 2013 and it's a disaster. Not enough that this mutual is expensive, but in addition you have to make the advance of the daily package and they take months to reimburse you. I spend my time calling them for my refunds.")</f>
        <v>I have been at MGEN since 2013 and it's a disaster. Not enough that this mutual is expensive, but in addition you have to make the advance of the daily package and they take months to reimburse you. I spend my time calling them for my refunds.</v>
      </c>
    </row>
    <row r="716" ht="15.75" customHeight="1">
      <c r="A716" s="2">
        <v>5.0</v>
      </c>
      <c r="B716" s="2" t="s">
        <v>2044</v>
      </c>
      <c r="C716" s="2" t="s">
        <v>2045</v>
      </c>
      <c r="D716" s="2" t="s">
        <v>13</v>
      </c>
      <c r="E716" s="2" t="s">
        <v>14</v>
      </c>
      <c r="F716" s="2" t="s">
        <v>15</v>
      </c>
      <c r="G716" s="2" t="s">
        <v>552</v>
      </c>
      <c r="H716" s="2" t="s">
        <v>21</v>
      </c>
      <c r="I716" s="2" t="str">
        <f>IFERROR(__xludf.DUMMYFUNCTION("GOOGLETRANSLATE(C716,""fr"",""en"")"),"I am satisfied with the customer service The price is very good speed I recommend very follow -up thank you for fast service cordially")</f>
        <v>I am satisfied with the customer service The price is very good speed I recommend very follow -up thank you for fast service cordially</v>
      </c>
    </row>
    <row r="717" ht="15.75" customHeight="1">
      <c r="A717" s="2">
        <v>1.0</v>
      </c>
      <c r="B717" s="2" t="s">
        <v>2046</v>
      </c>
      <c r="C717" s="2" t="s">
        <v>2047</v>
      </c>
      <c r="D717" s="2" t="s">
        <v>24</v>
      </c>
      <c r="E717" s="2" t="s">
        <v>14</v>
      </c>
      <c r="F717" s="2" t="s">
        <v>15</v>
      </c>
      <c r="G717" s="2" t="s">
        <v>2048</v>
      </c>
      <c r="H717" s="2" t="s">
        <v>292</v>
      </c>
      <c r="I717" s="2" t="str">
        <f>IFERROR(__xludf.DUMMYFUNCTION("GOOGLETRANSLATE(C717,""fr"",""en"")"),"I am extremely disappointed with this assistance which shame the insurer. Avoided as. The plague. It gives you a price you pay Lanne in advance then requests an additional one that comes up on your account without warning, they have asur that theprox woul"&amp;"d not change. WARNING. The low prices are false. The worst French insurance. Be careful to avoid")</f>
        <v>I am extremely disappointed with this assistance which shame the insurer. Avoided as. The plague. It gives you a price you pay Lanne in advance then requests an additional one that comes up on your account without warning, they have asur that theprox would not change. WARNING. The low prices are false. The worst French insurance. Be careful to avoid</v>
      </c>
    </row>
    <row r="718" ht="15.75" customHeight="1">
      <c r="A718" s="2">
        <v>5.0</v>
      </c>
      <c r="B718" s="2" t="s">
        <v>2049</v>
      </c>
      <c r="C718" s="2" t="s">
        <v>2050</v>
      </c>
      <c r="D718" s="2" t="s">
        <v>24</v>
      </c>
      <c r="E718" s="2" t="s">
        <v>14</v>
      </c>
      <c r="F718" s="2" t="s">
        <v>15</v>
      </c>
      <c r="G718" s="2" t="s">
        <v>167</v>
      </c>
      <c r="H718" s="2" t="s">
        <v>167</v>
      </c>
      <c r="I718" s="2" t="str">
        <f>IFERROR(__xludf.DUMMYFUNCTION("GOOGLETRANSLATE(C718,""fr"",""en"")"),"Very satisfied with listening, benevolence and advice.
Very competitive price.
I will recommend the insurance olive tree to my entourage
thank you")</f>
        <v>Very satisfied with listening, benevolence and advice.
Very competitive price.
I will recommend the insurance olive tree to my entourage
thank you</v>
      </c>
    </row>
    <row r="719" ht="15.75" customHeight="1">
      <c r="A719" s="2">
        <v>2.0</v>
      </c>
      <c r="B719" s="2" t="s">
        <v>1835</v>
      </c>
      <c r="C719" s="2" t="s">
        <v>2051</v>
      </c>
      <c r="D719" s="2" t="s">
        <v>238</v>
      </c>
      <c r="E719" s="2" t="s">
        <v>56</v>
      </c>
      <c r="F719" s="2" t="s">
        <v>15</v>
      </c>
      <c r="G719" s="2" t="s">
        <v>1837</v>
      </c>
      <c r="H719" s="2" t="s">
        <v>335</v>
      </c>
      <c r="I719" s="2" t="str">
        <f>IFERROR(__xludf.DUMMYFUNCTION("GOOGLETRANSLATE(C719,""fr"",""en"")"),"Hello,
Let's start by saying that I do not recommend the mutual of bikers, if you want to know more here is our story, I will update when it deign to move forward.
By contributing to the Mutuelle des Motards with my first motorcycle I felt like it i"&amp;"s part of an entity. That they understood the bikers, that they defended them. They even came to approach us at the school motorcycle, on my one -week internship I had to listen to 1 or 2 hours saying them of a salesperson. He had me!
Ah marketing is b"&amp;"eautiful. They even have a page that sells their close collaboration with the FFMC. Frankly, the FFMC you should ask that they withdraw this page, it's not for you, it is to find credit in the world of bikers.
I provided an old roadster from the beginn"&amp;"ing of the 80s, the prices are at the center of the walk, neither cheap nor exorbitant. 2 years after the motorcycle goes into collection and there, the subscription is really not expensive. Truly ?
Following an accident or my eyes I am the victim, the"&amp;" person who struck me 100% wrong. And astonishment I took 50/50. With me it's 150% wrong.
I took a long time to understand why they acted like this. The damage being less than 6000-7000 euros, I do not have the exact figure, it is they who have to pay "&amp;"the repairs, even if I am the victim.
They therefore oppose the article R414-4 by talking to me about white line. I look at the article well I dissect it. But I never went on the other side of the white line, except when I was struck. The car was cross"&amp;"ing a white line to rush in a prohibited sense.
Better than that, after complaint I am always told of a white line when article R414-4 does not mention it.
After talking about it with my former car school as well as a volunteer from the Mutuelle des"&amp;" Motards these do not understand either.
And it's not over.
The expert announces half -price expertise, 2000 euros. When I ask what this base the price on, I am told that they are based on the second -hand market, difficult to do otherwise with a mo"&amp;"torcycle from 1981.
I look at the market for the occasion and I quickly realize that at the out of 3000 euros, there is not a single rolling motorcycle without more or less important work and that to approach mine, entirely of Origin without any modifi"&amp;"cation, matching number etc. We are rather close to the 4000 euros, did they evaluate my motorcycle with the disaster? So I answer in this direction and my contact dares to tell me ""good news we have reassessed the motorcycle at 2400 euros"" well tried, "&amp;"but we are not always at the value of the motorcycle.
And let's not forget that with the 50-50%, they offer me to reimburse me 1,200 euros.
So I am currently fighting so that my rights are honored. I have never been able to have the complaint servic"&amp;"e by phone, only by mail and they do not answer half of the questions asked.
Now I am offered to go through a mediation service. Yes we have not been able to discuss between us, put a 3rd people so that you add distance between us. Mediation service wh"&amp;"ich is announced around 4 months. I've been on foot for 5 months already.
What is crazy is that there is a 15th year, I had an accident in the same circumstances, on a scooter 50cc, without a license, young and without a lawsuit at the Maif, in less th"&amp;"an one months it was reimbursed, repaired, settled. So, sometimes it's more expensive elsewhere, but we are listened to and heard.
In short. On their sites they say: ""We were born in 1983 during the Bol d'Or, we come from the Biker movement and the FF"&amp;"MC, we are entirely belonging to our members. We are? We are? The mutual of bikers!""
Yeah.")</f>
        <v>Hello,
Let's start by saying that I do not recommend the mutual of bikers, if you want to know more here is our story, I will update when it deign to move forward.
By contributing to the Mutuelle des Motards with my first motorcycle I felt like it is part of an entity. That they understood the bikers, that they defended them. They even came to approach us at the school motorcycle, on my one -week internship I had to listen to 1 or 2 hours saying them of a salesperson. He had me!
Ah marketing is beautiful. They even have a page that sells their close collaboration with the FFMC. Frankly, the FFMC you should ask that they withdraw this page, it's not for you, it is to find credit in the world of bikers.
I provided an old roadster from the beginning of the 80s, the prices are at the center of the walk, neither cheap nor exorbitant. 2 years after the motorcycle goes into collection and there, the subscription is really not expensive. Truly ?
Following an accident or my eyes I am the victim, the person who struck me 100% wrong. And astonishment I took 50/50. With me it's 150% wrong.
I took a long time to understand why they acted like this. The damage being less than 6000-7000 euros, I do not have the exact figure, it is they who have to pay the repairs, even if I am the victim.
They therefore oppose the article R414-4 by talking to me about white line. I look at the article well I dissect it. But I never went on the other side of the white line, except when I was struck. The car was crossing a white line to rush in a prohibited sense.
Better than that, after complaint I am always told of a white line when article R414-4 does not mention it.
After talking about it with my former car school as well as a volunteer from the Mutuelle des Motards these do not understand either.
And it's not over.
The expert announces half -price expertise, 2000 euros. When I ask what this base the price on, I am told that they are based on the second -hand market, difficult to do otherwise with a motorcycle from 1981.
I look at the market for the occasion and I quickly realize that at the out of 3000 euros, there is not a single rolling motorcycle without more or less important work and that to approach mine, entirely of Origin without any modification, matching number etc. We are rather close to the 4000 euros, did they evaluate my motorcycle with the disaster? So I answer in this direction and my contact dares to tell me "good news we have reassessed the motorcycle at 2400 euros" well tried, but we are not always at the value of the motorcycle.
And let's not forget that with the 50-50%, they offer me to reimburse me 1,200 euros.
So I am currently fighting so that my rights are honored. I have never been able to have the complaint service by phone, only by mail and they do not answer half of the questions asked.
Now I am offered to go through a mediation service. Yes we have not been able to discuss between us, put a 3rd people so that you add distance between us. Mediation service which is announced around 4 months. I've been on foot for 5 months already.
What is crazy is that there is a 15th year, I had an accident in the same circumstances, on a scooter 50cc, without a license, young and without a lawsuit at the Maif, in less than one months it was reimbursed, repaired, settled. So, sometimes it's more expensive elsewhere, but we are listened to and heard.
In short. On their sites they say: "We were born in 1983 during the Bol d'Or, we come from the Biker movement and the FFMC, we are entirely belonging to our members. We are? We are? The mutual of bikers!"
Yeah.</v>
      </c>
    </row>
    <row r="720" ht="15.75" customHeight="1">
      <c r="A720" s="2">
        <v>2.0</v>
      </c>
      <c r="B720" s="2" t="s">
        <v>2052</v>
      </c>
      <c r="C720" s="2" t="s">
        <v>2053</v>
      </c>
      <c r="D720" s="2" t="s">
        <v>13</v>
      </c>
      <c r="E720" s="2" t="s">
        <v>14</v>
      </c>
      <c r="F720" s="2" t="s">
        <v>15</v>
      </c>
      <c r="G720" s="2" t="s">
        <v>1135</v>
      </c>
      <c r="H720" s="2" t="s">
        <v>52</v>
      </c>
      <c r="I720" s="2" t="str">
        <f>IFERROR(__xludf.DUMMYFUNCTION("GOOGLETRANSLATE(C720,""fr"",""en"")"),"dissatisfied with the price of the franchise following degradation on my vehicle. franchise equivalent to more than one year of insurance while I am ""any risk""")</f>
        <v>dissatisfied with the price of the franchise following degradation on my vehicle. franchise equivalent to more than one year of insurance while I am "any risk"</v>
      </c>
    </row>
    <row r="721" ht="15.75" customHeight="1">
      <c r="A721" s="2">
        <v>4.0</v>
      </c>
      <c r="B721" s="2" t="s">
        <v>2054</v>
      </c>
      <c r="C721" s="2" t="s">
        <v>2055</v>
      </c>
      <c r="D721" s="2" t="s">
        <v>55</v>
      </c>
      <c r="E721" s="2" t="s">
        <v>56</v>
      </c>
      <c r="F721" s="2" t="s">
        <v>15</v>
      </c>
      <c r="G721" s="2" t="s">
        <v>2056</v>
      </c>
      <c r="H721" s="2" t="s">
        <v>84</v>
      </c>
      <c r="I721" s="2" t="str">
        <f>IFERROR(__xludf.DUMMYFUNCTION("GOOGLETRANSLATE(C721,""fr"",""en"")"),"Motorcycle insurance that is made by bikers. With a freedom of choice in the options, with very explicit rates. The subscription is simple and the telephone reception is a good relationship.
Sportingly,
Franck")</f>
        <v>Motorcycle insurance that is made by bikers. With a freedom of choice in the options, with very explicit rates. The subscription is simple and the telephone reception is a good relationship.
Sportingly,
Franck</v>
      </c>
    </row>
    <row r="722" ht="15.75" customHeight="1">
      <c r="A722" s="2">
        <v>5.0</v>
      </c>
      <c r="B722" s="2" t="s">
        <v>2057</v>
      </c>
      <c r="C722" s="2" t="s">
        <v>2058</v>
      </c>
      <c r="D722" s="2" t="s">
        <v>134</v>
      </c>
      <c r="E722" s="2" t="s">
        <v>56</v>
      </c>
      <c r="F722" s="2" t="s">
        <v>15</v>
      </c>
      <c r="G722" s="2" t="s">
        <v>2059</v>
      </c>
      <c r="H722" s="2" t="s">
        <v>21</v>
      </c>
      <c r="I722" s="2" t="str">
        <f>IFERROR(__xludf.DUMMYFUNCTION("GOOGLETRANSLATE(C722,""fr"",""en"")"),"Very satisfied. Because even on Sundays we can make sure. And enjoy his vehicle immediately. They offer us several contracts and we just have to choose with one click.")</f>
        <v>Very satisfied. Because even on Sundays we can make sure. And enjoy his vehicle immediately. They offer us several contracts and we just have to choose with one click.</v>
      </c>
    </row>
    <row r="723" ht="15.75" customHeight="1">
      <c r="A723" s="2">
        <v>1.0</v>
      </c>
      <c r="B723" s="2" t="s">
        <v>2060</v>
      </c>
      <c r="C723" s="2" t="s">
        <v>2061</v>
      </c>
      <c r="D723" s="2" t="s">
        <v>809</v>
      </c>
      <c r="E723" s="2" t="s">
        <v>34</v>
      </c>
      <c r="F723" s="2" t="s">
        <v>15</v>
      </c>
      <c r="G723" s="2" t="s">
        <v>2062</v>
      </c>
      <c r="H723" s="2" t="s">
        <v>211</v>
      </c>
      <c r="I723" s="2" t="str">
        <f>IFERROR(__xludf.DUMMYFUNCTION("GOOGLETRANSLATE(C723,""fr"",""en"")"),"No one ... awaiting a significant dental reimbursement since March 26 ... After multiple telephone calls that do not lead to anything ... Customer service is completely incompetent. No follow -up of the files.
 Employers if you have consideration for you"&amp;"r employees did not take this insurance. TO FLEE.")</f>
        <v>No one ... awaiting a significant dental reimbursement since March 26 ... After multiple telephone calls that do not lead to anything ... Customer service is completely incompetent. No follow -up of the files.
 Employers if you have consideration for your employees did not take this insurance. TO FLEE.</v>
      </c>
    </row>
    <row r="724" ht="15.75" customHeight="1">
      <c r="A724" s="2">
        <v>1.0</v>
      </c>
      <c r="B724" s="2" t="s">
        <v>2063</v>
      </c>
      <c r="C724" s="2" t="s">
        <v>2064</v>
      </c>
      <c r="D724" s="2" t="s">
        <v>13</v>
      </c>
      <c r="E724" s="2" t="s">
        <v>14</v>
      </c>
      <c r="F724" s="2" t="s">
        <v>15</v>
      </c>
      <c r="G724" s="2" t="s">
        <v>2065</v>
      </c>
      <c r="H724" s="2" t="s">
        <v>434</v>
      </c>
      <c r="I724" s="2" t="str">
        <f>IFERROR(__xludf.DUMMYFUNCTION("GOOGLETRANSLATE(C724,""fr"",""en"")"),"My spouse has been at Direct Insurance for almost a little less than 10 years. He changed his vehicle in 2017. We have since noticed that the insurance price has increased each year and not just a little: 100 euros more than this new year! The reason ? Af"&amp;"ter contacting customer service (which is very good), they explain to you that this price is based on the number of problems (accidents, breakdowns etc ...) identified on this vehicle model. So result, you, loyal customer without responsible accident or n"&amp;"ot or non -failure or technical problem, you see your invoice increase every year under the pretext that other drivers who have the same car model that you have. I say Bravo Direct Insurance, because you have lost a customer! We are actively looking for a"&amp;"nother insurance.")</f>
        <v>My spouse has been at Direct Insurance for almost a little less than 10 years. He changed his vehicle in 2017. We have since noticed that the insurance price has increased each year and not just a little: 100 euros more than this new year! The reason ? After contacting customer service (which is very good), they explain to you that this price is based on the number of problems (accidents, breakdowns etc ...) identified on this vehicle model. So result, you, loyal customer without responsible accident or not or non -failure or technical problem, you see your invoice increase every year under the pretext that other drivers who have the same car model that you have. I say Bravo Direct Insurance, because you have lost a customer! We are actively looking for another insurance.</v>
      </c>
    </row>
    <row r="725" ht="15.75" customHeight="1">
      <c r="A725" s="2">
        <v>4.0</v>
      </c>
      <c r="B725" s="2" t="s">
        <v>2066</v>
      </c>
      <c r="C725" s="2" t="s">
        <v>2067</v>
      </c>
      <c r="D725" s="2" t="s">
        <v>13</v>
      </c>
      <c r="E725" s="2" t="s">
        <v>14</v>
      </c>
      <c r="F725" s="2" t="s">
        <v>15</v>
      </c>
      <c r="G725" s="2" t="s">
        <v>2068</v>
      </c>
      <c r="H725" s="2" t="s">
        <v>52</v>
      </c>
      <c r="I725" s="2" t="str">
        <f>IFERROR(__xludf.DUMMYFUNCTION("GOOGLETRANSLATE(C725,""fr"",""en"")"),"Good value for money! Simple management with the mobile application. I advise people around me to always make a quote near Direct Assurances.")</f>
        <v>Good value for money! Simple management with the mobile application. I advise people around me to always make a quote near Direct Assurances.</v>
      </c>
    </row>
    <row r="726" ht="15.75" customHeight="1">
      <c r="A726" s="2">
        <v>4.0</v>
      </c>
      <c r="B726" s="2" t="s">
        <v>2069</v>
      </c>
      <c r="C726" s="2" t="s">
        <v>2070</v>
      </c>
      <c r="D726" s="2" t="s">
        <v>13</v>
      </c>
      <c r="E726" s="2" t="s">
        <v>14</v>
      </c>
      <c r="F726" s="2" t="s">
        <v>15</v>
      </c>
      <c r="G726" s="2" t="s">
        <v>127</v>
      </c>
      <c r="H726" s="2" t="s">
        <v>128</v>
      </c>
      <c r="I726" s="2" t="str">
        <f>IFERROR(__xludf.DUMMYFUNCTION("GOOGLETRANSLATE(C726,""fr"",""en"")"),"I am very satisfied too much that there are no offers for professional vehicles.
I pray to you as approved the expression of my distinguished greetings
Best regards")</f>
        <v>I am very satisfied too much that there are no offers for professional vehicles.
I pray to you as approved the expression of my distinguished greetings
Best regards</v>
      </c>
    </row>
    <row r="727" ht="15.75" customHeight="1">
      <c r="A727" s="2">
        <v>4.0</v>
      </c>
      <c r="B727" s="2" t="s">
        <v>2071</v>
      </c>
      <c r="C727" s="2" t="s">
        <v>2072</v>
      </c>
      <c r="D727" s="2" t="s">
        <v>24</v>
      </c>
      <c r="E727" s="2" t="s">
        <v>14</v>
      </c>
      <c r="F727" s="2" t="s">
        <v>15</v>
      </c>
      <c r="G727" s="2" t="s">
        <v>1584</v>
      </c>
      <c r="H727" s="2" t="s">
        <v>17</v>
      </c>
      <c r="I727" s="2" t="str">
        <f>IFERROR(__xludf.DUMMYFUNCTION("GOOGLETRANSLATE(C727,""fr"",""en"")"),"I am very satisfied with the olive assurances, really very responsive and present as soon as it is necessary.
I highly recommend this insurance. Really great value for money.")</f>
        <v>I am very satisfied with the olive assurances, really very responsive and present as soon as it is necessary.
I highly recommend this insurance. Really great value for money.</v>
      </c>
    </row>
    <row r="728" ht="15.75" customHeight="1">
      <c r="A728" s="2">
        <v>4.0</v>
      </c>
      <c r="B728" s="2" t="s">
        <v>2073</v>
      </c>
      <c r="C728" s="2" t="s">
        <v>2074</v>
      </c>
      <c r="D728" s="2" t="s">
        <v>24</v>
      </c>
      <c r="E728" s="2" t="s">
        <v>14</v>
      </c>
      <c r="F728" s="2" t="s">
        <v>15</v>
      </c>
      <c r="G728" s="2" t="s">
        <v>309</v>
      </c>
      <c r="H728" s="2" t="s">
        <v>52</v>
      </c>
      <c r="I728" s="2" t="str">
        <f>IFERROR(__xludf.DUMMYFUNCTION("GOOGLETRANSLATE(C728,""fr"",""en"")"),"It is a shame that no quote corresponds to the price of the final contract, always a difference of 50 euros. Two different quotes, for two cars and each time 50 euros difference on the final price, it remains a mystery.")</f>
        <v>It is a shame that no quote corresponds to the price of the final contract, always a difference of 50 euros. Two different quotes, for two cars and each time 50 euros difference on the final price, it remains a mystery.</v>
      </c>
    </row>
    <row r="729" ht="15.75" customHeight="1">
      <c r="A729" s="2">
        <v>3.0</v>
      </c>
      <c r="B729" s="2" t="s">
        <v>2075</v>
      </c>
      <c r="C729" s="2" t="s">
        <v>2076</v>
      </c>
      <c r="D729" s="2" t="s">
        <v>231</v>
      </c>
      <c r="E729" s="2" t="s">
        <v>34</v>
      </c>
      <c r="F729" s="2" t="s">
        <v>15</v>
      </c>
      <c r="G729" s="2" t="s">
        <v>2077</v>
      </c>
      <c r="H729" s="2" t="s">
        <v>536</v>
      </c>
      <c r="I729" s="2" t="str">
        <f>IFERROR(__xludf.DUMMYFUNCTION("GOOGLETRANSLATE(C729,""fr"",""en"")"),"Listening customer advisor, kind and explains well. Advisor on behalf of Kalid")</f>
        <v>Listening customer advisor, kind and explains well. Advisor on behalf of Kalid</v>
      </c>
    </row>
    <row r="730" ht="15.75" customHeight="1">
      <c r="A730" s="2">
        <v>5.0</v>
      </c>
      <c r="B730" s="2" t="s">
        <v>2078</v>
      </c>
      <c r="C730" s="2" t="s">
        <v>2079</v>
      </c>
      <c r="D730" s="2" t="s">
        <v>24</v>
      </c>
      <c r="E730" s="2" t="s">
        <v>14</v>
      </c>
      <c r="F730" s="2" t="s">
        <v>15</v>
      </c>
      <c r="G730" s="2" t="s">
        <v>2080</v>
      </c>
      <c r="H730" s="2" t="s">
        <v>814</v>
      </c>
      <c r="I730" s="2" t="str">
        <f>IFERROR(__xludf.DUMMYFUNCTION("GOOGLETRANSLATE(C730,""fr"",""en"")"),"My two vehicles are now covered by this company which therefore made me benefit from a multi -vehicle discount.")</f>
        <v>My two vehicles are now covered by this company which therefore made me benefit from a multi -vehicle discount.</v>
      </c>
    </row>
    <row r="731" ht="15.75" customHeight="1">
      <c r="A731" s="2">
        <v>2.0</v>
      </c>
      <c r="B731" s="2" t="s">
        <v>2081</v>
      </c>
      <c r="C731" s="2" t="s">
        <v>2082</v>
      </c>
      <c r="D731" s="2" t="s">
        <v>257</v>
      </c>
      <c r="E731" s="2" t="s">
        <v>34</v>
      </c>
      <c r="F731" s="2" t="s">
        <v>15</v>
      </c>
      <c r="G731" s="2" t="s">
        <v>2083</v>
      </c>
      <c r="H731" s="2" t="s">
        <v>144</v>
      </c>
      <c r="I731" s="2" t="str">
        <f>IFERROR(__xludf.DUMMYFUNCTION("GOOGLETRANSLATE(C731,""fr"",""en"")"),"I contacted them to have a reminder of my care and coverage because I wanted to know if I had to stay on the basic formula or improve it.
Response after a week: ""Address yourself to your employer"" ...
Incredible (my employer can only send me back to t"&amp;"hem!), This level of I was scary for the day I need something!")</f>
        <v>I contacted them to have a reminder of my care and coverage because I wanted to know if I had to stay on the basic formula or improve it.
Response after a week: "Address yourself to your employer" ...
Incredible (my employer can only send me back to them!), This level of I was scary for the day I need something!</v>
      </c>
    </row>
    <row r="732" ht="15.75" customHeight="1">
      <c r="A732" s="2">
        <v>5.0</v>
      </c>
      <c r="B732" s="2" t="s">
        <v>2084</v>
      </c>
      <c r="C732" s="2" t="s">
        <v>2085</v>
      </c>
      <c r="D732" s="2" t="s">
        <v>55</v>
      </c>
      <c r="E732" s="2" t="s">
        <v>56</v>
      </c>
      <c r="F732" s="2" t="s">
        <v>15</v>
      </c>
      <c r="G732" s="2" t="s">
        <v>1052</v>
      </c>
      <c r="H732" s="2" t="s">
        <v>140</v>
      </c>
      <c r="I732" s="2" t="str">
        <f>IFERROR(__xludf.DUMMYFUNCTION("GOOGLETRANSLATE(C732,""fr"",""en"")"),"I am very satisfied with insurance conditions at AMV and especially prices. In addition, I called on them for the troubleshooting service and was very well taken care of. I recommend !")</f>
        <v>I am very satisfied with insurance conditions at AMV and especially prices. In addition, I called on them for the troubleshooting service and was very well taken care of. I recommend !</v>
      </c>
    </row>
    <row r="733" ht="15.75" customHeight="1">
      <c r="A733" s="2">
        <v>5.0</v>
      </c>
      <c r="B733" s="2" t="s">
        <v>2086</v>
      </c>
      <c r="C733" s="2" t="s">
        <v>2087</v>
      </c>
      <c r="D733" s="2" t="s">
        <v>24</v>
      </c>
      <c r="E733" s="2" t="s">
        <v>14</v>
      </c>
      <c r="F733" s="2" t="s">
        <v>15</v>
      </c>
      <c r="G733" s="2" t="s">
        <v>2088</v>
      </c>
      <c r="H733" s="2" t="s">
        <v>798</v>
      </c>
      <c r="I733" s="2" t="str">
        <f>IFERROR(__xludf.DUMMYFUNCTION("GOOGLETRANSLATE(C733,""fr"",""en"")"),"I now have 3 contracts at the olive tree. For each subscription, I obtained excellent service, whether on the phone, by email or through the customer area.")</f>
        <v>I now have 3 contracts at the olive tree. For each subscription, I obtained excellent service, whether on the phone, by email or through the customer area.</v>
      </c>
    </row>
    <row r="734" ht="15.75" customHeight="1">
      <c r="A734" s="2">
        <v>3.0</v>
      </c>
      <c r="B734" s="2" t="s">
        <v>2089</v>
      </c>
      <c r="C734" s="2" t="s">
        <v>2090</v>
      </c>
      <c r="D734" s="2" t="s">
        <v>106</v>
      </c>
      <c r="E734" s="2" t="s">
        <v>14</v>
      </c>
      <c r="F734" s="2" t="s">
        <v>15</v>
      </c>
      <c r="G734" s="2" t="s">
        <v>2091</v>
      </c>
      <c r="H734" s="2" t="s">
        <v>335</v>
      </c>
      <c r="I734" s="2" t="str">
        <f>IFERROR(__xludf.DUMMYFUNCTION("GOOGLETRANSLATE(C734,""fr"",""en"")"),"Very bad assurance know how to take the money but does not accept repairs on a vehicle knowing that the insurance of the person who caused us' damage want to do the repairs but refusal of the really pitiful Macif as insurance")</f>
        <v>Very bad assurance know how to take the money but does not accept repairs on a vehicle knowing that the insurance of the person who caused us' damage want to do the repairs but refusal of the really pitiful Macif as insurance</v>
      </c>
    </row>
    <row r="735" ht="15.75" customHeight="1">
      <c r="A735" s="2">
        <v>4.0</v>
      </c>
      <c r="B735" s="2" t="s">
        <v>2092</v>
      </c>
      <c r="C735" s="2" t="s">
        <v>2093</v>
      </c>
      <c r="D735" s="2" t="s">
        <v>24</v>
      </c>
      <c r="E735" s="2" t="s">
        <v>14</v>
      </c>
      <c r="F735" s="2" t="s">
        <v>15</v>
      </c>
      <c r="G735" s="2" t="s">
        <v>2094</v>
      </c>
      <c r="H735" s="2" t="s">
        <v>68</v>
      </c>
      <c r="I735" s="2" t="str">
        <f>IFERROR(__xludf.DUMMYFUNCTION("GOOGLETRANSLATE(C735,""fr"",""en"")"),"The suitable price.
Very clear advisor in the explanations.
Local waiting time for connecting.
To see over time thereafter.")</f>
        <v>The suitable price.
Very clear advisor in the explanations.
Local waiting time for connecting.
To see over time thereafter.</v>
      </c>
    </row>
    <row r="736" ht="15.75" customHeight="1">
      <c r="A736" s="2">
        <v>4.0</v>
      </c>
      <c r="B736" s="2" t="s">
        <v>2095</v>
      </c>
      <c r="C736" s="2" t="s">
        <v>2096</v>
      </c>
      <c r="D736" s="2" t="s">
        <v>1507</v>
      </c>
      <c r="E736" s="2" t="s">
        <v>268</v>
      </c>
      <c r="F736" s="2" t="s">
        <v>15</v>
      </c>
      <c r="G736" s="2" t="s">
        <v>2097</v>
      </c>
      <c r="H736" s="2" t="s">
        <v>140</v>
      </c>
      <c r="I736" s="2" t="str">
        <f>IFERROR(__xludf.DUMMYFUNCTION("GOOGLETRANSLATE(C736,""fr"",""en"")"),"What a negative opinion I am surprised ..... my labrador who left there is 2 years ago next month was insured for years and until his death at home, and Murphy was a doggie Of problems often at the veto and the last years do not talk about it, but I have "&amp;"never had any reimbursement problems, nor surprises, they can be attached to a fixed number not surcharged and also correspond by the net ... . Here frankly I would like to take out an old dog from the shelters and I must find out to see if at their age t"&amp;"hey assure, but if I have to resume it will be with them, but it is true that when Murphy was 13 years old In increased then to stay in the same levy I lowered its repayment rate instead of 80% I went to 60% but until the end I had the reimbursements even"&amp;" the bite ?? At her 15 years to put him to sleep because very sick ..... This is my experience with them only positive and that she tranquility to know that we can treat her animal .....")</f>
        <v>What a negative opinion I am surprised ..... my labrador who left there is 2 years ago next month was insured for years and until his death at home, and Murphy was a doggie Of problems often at the veto and the last years do not talk about it, but I have never had any reimbursement problems, nor surprises, they can be attached to a fixed number not surcharged and also correspond by the net ... . Here frankly I would like to take out an old dog from the shelters and I must find out to see if at their age they assure, but if I have to resume it will be with them, but it is true that when Murphy was 13 years old In increased then to stay in the same levy I lowered its repayment rate instead of 80% I went to 60% but until the end I had the reimbursements even the bite ?? At her 15 years to put him to sleep because very sick ..... This is my experience with them only positive and that she tranquility to know that we can treat her animal .....</v>
      </c>
    </row>
    <row r="737" ht="15.75" customHeight="1">
      <c r="A737" s="2">
        <v>5.0</v>
      </c>
      <c r="B737" s="2" t="s">
        <v>2098</v>
      </c>
      <c r="C737" s="2" t="s">
        <v>2099</v>
      </c>
      <c r="D737" s="2" t="s">
        <v>24</v>
      </c>
      <c r="E737" s="2" t="s">
        <v>14</v>
      </c>
      <c r="F737" s="2" t="s">
        <v>15</v>
      </c>
      <c r="G737" s="2" t="s">
        <v>447</v>
      </c>
      <c r="H737" s="2" t="s">
        <v>84</v>
      </c>
      <c r="I737" s="2" t="str">
        <f>IFERROR(__xludf.DUMMYFUNCTION("GOOGLETRANSLATE(C737,""fr"",""en"")"),"I am satisfied with the service, it was fast and efficient.
I recommend.
Reliable, simple, it sucks to have to move and it is very well explained")</f>
        <v>I am satisfied with the service, it was fast and efficient.
I recommend.
Reliable, simple, it sucks to have to move and it is very well explained</v>
      </c>
    </row>
    <row r="738" ht="15.75" customHeight="1">
      <c r="A738" s="2">
        <v>1.0</v>
      </c>
      <c r="B738" s="2" t="s">
        <v>2100</v>
      </c>
      <c r="C738" s="2" t="s">
        <v>2101</v>
      </c>
      <c r="D738" s="2" t="s">
        <v>231</v>
      </c>
      <c r="E738" s="2" t="s">
        <v>34</v>
      </c>
      <c r="F738" s="2" t="s">
        <v>15</v>
      </c>
      <c r="G738" s="2" t="s">
        <v>2102</v>
      </c>
      <c r="H738" s="2" t="s">
        <v>814</v>
      </c>
      <c r="I738" s="2" t="str">
        <f>IFERROR(__xludf.DUMMYFUNCTION("GOOGLETRANSLATE(C738,""fr"",""en"")"),"I am looking for a good health mutual insurance company and I am surprised to find favorable opinions of customers quoting the first name of their telephone interlocutor. Gwendal being a first name that comes up often and for different companies. I find i"&amp;"t strange, even suspect. Would the opinions be bidden?")</f>
        <v>I am looking for a good health mutual insurance company and I am surprised to find favorable opinions of customers quoting the first name of their telephone interlocutor. Gwendal being a first name that comes up often and for different companies. I find it strange, even suspect. Would the opinions be bidden?</v>
      </c>
    </row>
    <row r="739" ht="15.75" customHeight="1">
      <c r="A739" s="2">
        <v>4.0</v>
      </c>
      <c r="B739" s="2" t="s">
        <v>2103</v>
      </c>
      <c r="C739" s="2" t="s">
        <v>2104</v>
      </c>
      <c r="D739" s="2" t="s">
        <v>13</v>
      </c>
      <c r="E739" s="2" t="s">
        <v>14</v>
      </c>
      <c r="F739" s="2" t="s">
        <v>15</v>
      </c>
      <c r="G739" s="2" t="s">
        <v>1638</v>
      </c>
      <c r="H739" s="2" t="s">
        <v>128</v>
      </c>
      <c r="I739" s="2" t="str">
        <f>IFERROR(__xludf.DUMMYFUNCTION("GOOGLETRANSLATE(C739,""fr"",""en"")"),"Youdrive client then Direct Insurance since obtaining my B license. I have nothing to blame my insurance except perhaps, the price of the subscription? A few euros less per month would be very appreciable.")</f>
        <v>Youdrive client then Direct Insurance since obtaining my B license. I have nothing to blame my insurance except perhaps, the price of the subscription? A few euros less per month would be very appreciable.</v>
      </c>
    </row>
    <row r="740" ht="15.75" customHeight="1">
      <c r="A740" s="2">
        <v>4.0</v>
      </c>
      <c r="B740" s="2" t="s">
        <v>2105</v>
      </c>
      <c r="C740" s="2" t="s">
        <v>2106</v>
      </c>
      <c r="D740" s="2" t="s">
        <v>65</v>
      </c>
      <c r="E740" s="2" t="s">
        <v>34</v>
      </c>
      <c r="F740" s="2" t="s">
        <v>15</v>
      </c>
      <c r="G740" s="2" t="s">
        <v>626</v>
      </c>
      <c r="H740" s="2" t="s">
        <v>52</v>
      </c>
      <c r="I740" s="2" t="str">
        <f>IFERROR(__xludf.DUMMYFUNCTION("GOOGLETRANSLATE(C740,""fr"",""en"")"),"The welcome from my interlocutor was very pleasant and professional.
The answer to my problem was appropriate and very clear.
Great efficiency
")</f>
        <v>The welcome from my interlocutor was very pleasant and professional.
The answer to my problem was appropriate and very clear.
Great efficiency
</v>
      </c>
    </row>
    <row r="741" ht="15.75" customHeight="1">
      <c r="A741" s="2">
        <v>4.0</v>
      </c>
      <c r="B741" s="2" t="s">
        <v>2107</v>
      </c>
      <c r="C741" s="2" t="s">
        <v>2108</v>
      </c>
      <c r="D741" s="2" t="s">
        <v>13</v>
      </c>
      <c r="E741" s="2" t="s">
        <v>14</v>
      </c>
      <c r="F741" s="2" t="s">
        <v>15</v>
      </c>
      <c r="G741" s="2" t="s">
        <v>1768</v>
      </c>
      <c r="H741" s="2" t="s">
        <v>52</v>
      </c>
      <c r="I741" s="2" t="str">
        <f>IFERROR(__xludf.DUMMYFUNCTION("GOOGLETRANSLATE(C741,""fr"",""en"")"),"The prices suit me I am satisfied with the services not too complicated for a new contract until now never on a problem with Direct Insurance")</f>
        <v>The prices suit me I am satisfied with the services not too complicated for a new contract until now never on a problem with Direct Insurance</v>
      </c>
    </row>
    <row r="742" ht="15.75" customHeight="1">
      <c r="A742" s="2">
        <v>1.0</v>
      </c>
      <c r="B742" s="2" t="s">
        <v>2109</v>
      </c>
      <c r="C742" s="2" t="s">
        <v>2110</v>
      </c>
      <c r="D742" s="2" t="s">
        <v>257</v>
      </c>
      <c r="E742" s="2" t="s">
        <v>34</v>
      </c>
      <c r="F742" s="2" t="s">
        <v>15</v>
      </c>
      <c r="G742" s="2" t="s">
        <v>2111</v>
      </c>
      <c r="H742" s="2" t="s">
        <v>367</v>
      </c>
      <c r="I742" s="2" t="str">
        <f>IFERROR(__xludf.DUMMYFUNCTION("GOOGLETRANSLATE(C742,""fr"",""en"")"),"Null, 1 month and a half to have a refund
Please note, Generation is Coverlife, insurance that changes its permanent name and which has several mutuals but under the same incapable manager generation
Mutual Cocoon is generation coverlife
Good luck th"&amp;"e new members, be patient for your reimbursements this is the case to say!")</f>
        <v>Null, 1 month and a half to have a refund
Please note, Generation is Coverlife, insurance that changes its permanent name and which has several mutuals but under the same incapable manager generation
Mutual Cocoon is generation coverlife
Good luck the new members, be patient for your reimbursements this is the case to say!</v>
      </c>
    </row>
    <row r="743" ht="15.75" customHeight="1">
      <c r="A743" s="2">
        <v>4.0</v>
      </c>
      <c r="B743" s="2" t="s">
        <v>2112</v>
      </c>
      <c r="C743" s="2" t="s">
        <v>2113</v>
      </c>
      <c r="D743" s="2" t="s">
        <v>246</v>
      </c>
      <c r="E743" s="2" t="s">
        <v>34</v>
      </c>
      <c r="F743" s="2" t="s">
        <v>15</v>
      </c>
      <c r="G743" s="2" t="s">
        <v>2114</v>
      </c>
      <c r="H743" s="2" t="s">
        <v>403</v>
      </c>
      <c r="I743" s="2" t="str">
        <f>IFERROR(__xludf.DUMMYFUNCTION("GOOGLETRANSLATE(C743,""fr"",""en"")"),"Khalid took the time to explain me and send me a document corresponding to my approach")</f>
        <v>Khalid took the time to explain me and send me a document corresponding to my approach</v>
      </c>
    </row>
    <row r="744" ht="15.75" customHeight="1">
      <c r="A744" s="2">
        <v>1.0</v>
      </c>
      <c r="B744" s="2" t="s">
        <v>2115</v>
      </c>
      <c r="C744" s="2" t="s">
        <v>2116</v>
      </c>
      <c r="D744" s="2" t="s">
        <v>267</v>
      </c>
      <c r="E744" s="2" t="s">
        <v>268</v>
      </c>
      <c r="F744" s="2" t="s">
        <v>15</v>
      </c>
      <c r="G744" s="2" t="s">
        <v>2117</v>
      </c>
      <c r="H744" s="2" t="s">
        <v>42</v>
      </c>
      <c r="I744" s="2" t="str">
        <f>IFERROR(__xludf.DUMMYFUNCTION("GOOGLETRANSLATE(C744,""fr"",""en"")"),"I took the insurance for my animal and in view of the negative comments I made a request for termination which is possible before 14 days. the dead as if nothing. And my derived from my account. shameful. And all opinions are true to flee")</f>
        <v>I took the insurance for my animal and in view of the negative comments I made a request for termination which is possible before 14 days. the dead as if nothing. And my derived from my account. shameful. And all opinions are true to flee</v>
      </c>
    </row>
    <row r="745" ht="15.75" customHeight="1">
      <c r="A745" s="2">
        <v>5.0</v>
      </c>
      <c r="B745" s="2" t="s">
        <v>2118</v>
      </c>
      <c r="C745" s="2" t="s">
        <v>2119</v>
      </c>
      <c r="D745" s="2" t="s">
        <v>13</v>
      </c>
      <c r="E745" s="2" t="s">
        <v>14</v>
      </c>
      <c r="F745" s="2" t="s">
        <v>15</v>
      </c>
      <c r="G745" s="2" t="s">
        <v>1584</v>
      </c>
      <c r="H745" s="2" t="s">
        <v>17</v>
      </c>
      <c r="I745" s="2" t="str">
        <f>IFERROR(__xludf.DUMMYFUNCTION("GOOGLETRANSLATE(C745,""fr"",""en"")"),"Cheaper insurance
Ease of registration and speed
Whole satisfaction for the moment
I would recommend this insurance without problem to everyone")</f>
        <v>Cheaper insurance
Ease of registration and speed
Whole satisfaction for the moment
I would recommend this insurance without problem to everyone</v>
      </c>
    </row>
    <row r="746" ht="15.75" customHeight="1">
      <c r="A746" s="2">
        <v>3.0</v>
      </c>
      <c r="B746" s="2" t="s">
        <v>2120</v>
      </c>
      <c r="C746" s="2" t="s">
        <v>2121</v>
      </c>
      <c r="D746" s="2" t="s">
        <v>731</v>
      </c>
      <c r="E746" s="2" t="s">
        <v>34</v>
      </c>
      <c r="F746" s="2" t="s">
        <v>15</v>
      </c>
      <c r="G746" s="2" t="s">
        <v>190</v>
      </c>
      <c r="H746" s="2" t="s">
        <v>68</v>
      </c>
      <c r="I746" s="2" t="str">
        <f>IFERROR(__xludf.DUMMYFUNCTION("GOOGLETRANSLATE(C746,""fr"",""en"")"),"Reasonable prices without too much conditions.
Simple and quick membership
If it is necessary to recommend to a loved one I will do it without hesitation. Thank you for all April Health.")</f>
        <v>Reasonable prices without too much conditions.
Simple and quick membership
If it is necessary to recommend to a loved one I will do it without hesitation. Thank you for all April Health.</v>
      </c>
    </row>
    <row r="747" ht="15.75" customHeight="1">
      <c r="A747" s="2">
        <v>2.0</v>
      </c>
      <c r="B747" s="2" t="s">
        <v>2122</v>
      </c>
      <c r="C747" s="2" t="s">
        <v>2123</v>
      </c>
      <c r="D747" s="2" t="s">
        <v>24</v>
      </c>
      <c r="E747" s="2" t="s">
        <v>14</v>
      </c>
      <c r="F747" s="2" t="s">
        <v>15</v>
      </c>
      <c r="G747" s="2" t="s">
        <v>2124</v>
      </c>
      <c r="H747" s="2" t="s">
        <v>969</v>
      </c>
      <c r="I747" s="2" t="str">
        <f>IFERROR(__xludf.DUMMYFUNCTION("GOOGLETRANSLATE(C747,""fr"",""en"")"),"Having been the victim of a non -responsible disaster there are almost more than 3 months ago I have still not been reimbursed. I call them every week to get news from my file but they always answer me the same thing. It has been 3 months that I have no m"&amp;"ore cars, no news and no refund, yet after having given me the insurance there is a period of 3 months for a reimbursement of a claim. Nice to leave their customers while waiting without any information.")</f>
        <v>Having been the victim of a non -responsible disaster there are almost more than 3 months ago I have still not been reimbursed. I call them every week to get news from my file but they always answer me the same thing. It has been 3 months that I have no more cars, no news and no refund, yet after having given me the insurance there is a period of 3 months for a reimbursement of a claim. Nice to leave their customers while waiting without any information.</v>
      </c>
    </row>
    <row r="748" ht="15.75" customHeight="1">
      <c r="A748" s="2">
        <v>5.0</v>
      </c>
      <c r="B748" s="2" t="s">
        <v>2125</v>
      </c>
      <c r="C748" s="2" t="s">
        <v>2126</v>
      </c>
      <c r="D748" s="2" t="s">
        <v>24</v>
      </c>
      <c r="E748" s="2" t="s">
        <v>14</v>
      </c>
      <c r="F748" s="2" t="s">
        <v>15</v>
      </c>
      <c r="G748" s="2" t="s">
        <v>2127</v>
      </c>
      <c r="H748" s="2" t="s">
        <v>21</v>
      </c>
      <c r="I748" s="2" t="str">
        <f>IFERROR(__xludf.DUMMYFUNCTION("GOOGLETRANSLATE(C748,""fr"",""en"")"),"I’m very happy with this service, the interlocutor was top on the phone nothing to say. The prices are good and the service is great! I recommend !.")</f>
        <v>I’m very happy with this service, the interlocutor was top on the phone nothing to say. The prices are good and the service is great! I recommend !.</v>
      </c>
    </row>
    <row r="749" ht="15.75" customHeight="1">
      <c r="A749" s="2">
        <v>4.0</v>
      </c>
      <c r="B749" s="2" t="s">
        <v>2128</v>
      </c>
      <c r="C749" s="2" t="s">
        <v>2129</v>
      </c>
      <c r="D749" s="2" t="s">
        <v>24</v>
      </c>
      <c r="E749" s="2" t="s">
        <v>14</v>
      </c>
      <c r="F749" s="2" t="s">
        <v>15</v>
      </c>
      <c r="G749" s="2" t="s">
        <v>2130</v>
      </c>
      <c r="H749" s="2" t="s">
        <v>84</v>
      </c>
      <c r="I749" s="2" t="str">
        <f>IFERROR(__xludf.DUMMYFUNCTION("GOOGLETRANSLATE(C749,""fr"",""en"")"),"I am satisfied with your service with all the information provides by phone and on your website on Olivier Assurances and I thank you cordially.")</f>
        <v>I am satisfied with your service with all the information provides by phone and on your website on Olivier Assurances and I thank you cordially.</v>
      </c>
    </row>
    <row r="750" ht="15.75" customHeight="1">
      <c r="A750" s="2">
        <v>1.0</v>
      </c>
      <c r="B750" s="2" t="s">
        <v>2131</v>
      </c>
      <c r="C750" s="2" t="s">
        <v>2132</v>
      </c>
      <c r="D750" s="2" t="s">
        <v>625</v>
      </c>
      <c r="E750" s="2" t="s">
        <v>34</v>
      </c>
      <c r="F750" s="2" t="s">
        <v>15</v>
      </c>
      <c r="G750" s="2" t="s">
        <v>2133</v>
      </c>
      <c r="H750" s="2" t="s">
        <v>221</v>
      </c>
      <c r="I750" s="2" t="str">
        <f>IFERROR(__xludf.DUMMYFUNCTION("GOOGLETRANSLATE(C750,""fr"",""en"")"),"Difficulties in terminating their contract.
But we get there .. they must remind them of the articles of the Mutuality and Insurance Code, articles from which they cannot get rid of.")</f>
        <v>Difficulties in terminating their contract.
But we get there .. they must remind them of the articles of the Mutuality and Insurance Code, articles from which they cannot get rid of.</v>
      </c>
    </row>
    <row r="751" ht="15.75" customHeight="1">
      <c r="A751" s="2">
        <v>4.0</v>
      </c>
      <c r="B751" s="2" t="s">
        <v>2134</v>
      </c>
      <c r="C751" s="2" t="s">
        <v>2135</v>
      </c>
      <c r="D751" s="2" t="s">
        <v>24</v>
      </c>
      <c r="E751" s="2" t="s">
        <v>14</v>
      </c>
      <c r="F751" s="2" t="s">
        <v>15</v>
      </c>
      <c r="G751" s="2" t="s">
        <v>25</v>
      </c>
      <c r="H751" s="2" t="s">
        <v>52</v>
      </c>
      <c r="I751" s="2" t="str">
        <f>IFERROR(__xludf.DUMMYFUNCTION("GOOGLETRANSLATE(C751,""fr"",""en"")"),"Correct rates. Quick intervention on troubleshooting and towing after establishing telephone contact. Ditto for the provision of a taxi to pick up the rental vehicle available.")</f>
        <v>Correct rates. Quick intervention on troubleshooting and towing after establishing telephone contact. Ditto for the provision of a taxi to pick up the rental vehicle available.</v>
      </c>
    </row>
    <row r="752" ht="15.75" customHeight="1">
      <c r="A752" s="2">
        <v>1.0</v>
      </c>
      <c r="B752" s="2" t="s">
        <v>2136</v>
      </c>
      <c r="C752" s="2" t="s">
        <v>2137</v>
      </c>
      <c r="D752" s="2" t="s">
        <v>45</v>
      </c>
      <c r="E752" s="2" t="s">
        <v>14</v>
      </c>
      <c r="F752" s="2" t="s">
        <v>15</v>
      </c>
      <c r="G752" s="2" t="s">
        <v>2056</v>
      </c>
      <c r="H752" s="2" t="s">
        <v>84</v>
      </c>
      <c r="I752" s="2" t="str">
        <f>IFERROR(__xludf.DUMMYFUNCTION("GOOGLETRANSLATE(C752,""fr"",""en"")"),"To flee I had a disaster or I am not in wrong it offers me 30% of the price of the argus of my car
Advice do not take insurance from them
")</f>
        <v>To flee I had a disaster or I am not in wrong it offers me 30% of the price of the argus of my car
Advice do not take insurance from them
</v>
      </c>
    </row>
    <row r="753" ht="15.75" customHeight="1">
      <c r="A753" s="2">
        <v>4.0</v>
      </c>
      <c r="B753" s="2" t="s">
        <v>2138</v>
      </c>
      <c r="C753" s="2" t="s">
        <v>2139</v>
      </c>
      <c r="D753" s="2" t="s">
        <v>246</v>
      </c>
      <c r="E753" s="2" t="s">
        <v>34</v>
      </c>
      <c r="F753" s="2" t="s">
        <v>15</v>
      </c>
      <c r="G753" s="2" t="s">
        <v>2077</v>
      </c>
      <c r="H753" s="2" t="s">
        <v>536</v>
      </c>
      <c r="I753" s="2" t="str">
        <f>IFERROR(__xludf.DUMMYFUNCTION("GOOGLETRANSLATE(C753,""fr"",""en"")"),"Home and service very good professional interlocutor
Listen to the customer very good explanation
Details of the treatments offered Apprusted")</f>
        <v>Home and service very good professional interlocutor
Listen to the customer very good explanation
Details of the treatments offered Apprusted</v>
      </c>
    </row>
    <row r="754" ht="15.75" customHeight="1">
      <c r="A754" s="2">
        <v>1.0</v>
      </c>
      <c r="B754" s="2" t="s">
        <v>2140</v>
      </c>
      <c r="C754" s="2" t="s">
        <v>2141</v>
      </c>
      <c r="D754" s="2" t="s">
        <v>13</v>
      </c>
      <c r="E754" s="2" t="s">
        <v>14</v>
      </c>
      <c r="F754" s="2" t="s">
        <v>15</v>
      </c>
      <c r="G754" s="2" t="s">
        <v>2142</v>
      </c>
      <c r="H754" s="2" t="s">
        <v>363</v>
      </c>
      <c r="I754" s="2" t="str">
        <f>IFERROR(__xludf.DUMMYFUNCTION("GOOGLETRANSLATE(C754,""fr"",""en"")"),"Direct Insurance deserves to appear in the record book. My Mégane GT's insurance has just increased from 400 euros in 2019 to 1325 euros in 2020. Is an increase of more than 230 %.
This with a 50 % bonus, I can say being a model driver with 12 points and"&amp;" 50 years of driving without accident. (I am 70 years old)
Excellent insurer for quotes and disastrous for everything else. Flee.
Their proof: each year they eliminate the least profitable cars for them.
")</f>
        <v>Direct Insurance deserves to appear in the record book. My Mégane GT's insurance has just increased from 400 euros in 2019 to 1325 euros in 2020. Is an increase of more than 230 %.
This with a 50 % bonus, I can say being a model driver with 12 points and 50 years of driving without accident. (I am 70 years old)
Excellent insurer for quotes and disastrous for everything else. Flee.
Their proof: each year they eliminate the least profitable cars for them.
</v>
      </c>
    </row>
    <row r="755" ht="15.75" customHeight="1">
      <c r="A755" s="2">
        <v>4.0</v>
      </c>
      <c r="B755" s="2" t="s">
        <v>2143</v>
      </c>
      <c r="C755" s="2" t="s">
        <v>2144</v>
      </c>
      <c r="D755" s="2" t="s">
        <v>24</v>
      </c>
      <c r="E755" s="2" t="s">
        <v>14</v>
      </c>
      <c r="F755" s="2" t="s">
        <v>15</v>
      </c>
      <c r="G755" s="2" t="s">
        <v>1027</v>
      </c>
      <c r="H755" s="2" t="s">
        <v>84</v>
      </c>
      <c r="I755" s="2" t="str">
        <f>IFERROR(__xludf.DUMMYFUNCTION("GOOGLETRANSLATE(C755,""fr"",""en"")"),"I am satisfied with the prices for a first car insurance.
The subscription is simple and quick and the advisers are available and attentive.")</f>
        <v>I am satisfied with the prices for a first car insurance.
The subscription is simple and quick and the advisers are available and attentive.</v>
      </c>
    </row>
    <row r="756" ht="15.75" customHeight="1">
      <c r="A756" s="2">
        <v>3.0</v>
      </c>
      <c r="B756" s="2" t="s">
        <v>2145</v>
      </c>
      <c r="C756" s="2" t="s">
        <v>2146</v>
      </c>
      <c r="D756" s="2" t="s">
        <v>809</v>
      </c>
      <c r="E756" s="2" t="s">
        <v>34</v>
      </c>
      <c r="F756" s="2" t="s">
        <v>15</v>
      </c>
      <c r="G756" s="2" t="s">
        <v>2147</v>
      </c>
      <c r="H756" s="2" t="s">
        <v>335</v>
      </c>
      <c r="I756" s="2" t="str">
        <f>IFERROR(__xludf.DUMMYFUNCTION("GOOGLETRANSLATE(C756,""fr"",""en"")"),"Shameful I am 6 months pregnant and stopped since February and my file has still not been dealt with despite the more than multiple reminders of my employer because of CA I must manage the financial problems caused because of CA and cannot Buy anything fo"&amp;"r the birth of my baby I hope that as soon as he will have the opportunity my employer will leave this mutual which openly crashes the face of the world")</f>
        <v>Shameful I am 6 months pregnant and stopped since February and my file has still not been dealt with despite the more than multiple reminders of my employer because of CA I must manage the financial problems caused because of CA and cannot Buy anything for the birth of my baby I hope that as soon as he will have the opportunity my employer will leave this mutual which openly crashes the face of the world</v>
      </c>
    </row>
    <row r="757" ht="15.75" customHeight="1">
      <c r="A757" s="2">
        <v>3.0</v>
      </c>
      <c r="B757" s="2" t="s">
        <v>2148</v>
      </c>
      <c r="C757" s="2" t="s">
        <v>2149</v>
      </c>
      <c r="D757" s="2" t="s">
        <v>13</v>
      </c>
      <c r="E757" s="2" t="s">
        <v>14</v>
      </c>
      <c r="F757" s="2" t="s">
        <v>15</v>
      </c>
      <c r="G757" s="2" t="s">
        <v>2150</v>
      </c>
      <c r="H757" s="2" t="s">
        <v>108</v>
      </c>
      <c r="I757" s="2" t="str">
        <f>IFERROR(__xludf.DUMMYFUNCTION("GOOGLETRANSLATE(C757,""fr"",""en"")"),"If you fit Precisely in to to the box that is their perception of what an insurance customer is, I am sure it works fine. However, if you have any special considers that might cause them extra work (e.g. you misunderstand something because it is the first"&amp;" time you are buying/registering and insuring a car and or you don it speak french too) just forget it . In My Case this lead to them Wrongfully Cancelling my Insurance the day after i subscribed. The Misunderstanding was initially 100% my fault, but when"&amp;" i apologized and tried to explain to their that it was in fact a misunderstanding, and that i had the references to back it up, they simplely refuse to list. I UNDERSTAND The Confusion, but refusing to accept the facts due to previous misunderstanding is"&amp;" simply bad customer service. I Prefer Paying A Few Extra Euros Per Month to Be Met With Flexibility and Understanding.")</f>
        <v>If you fit Precisely in to to the box that is their perception of what an insurance customer is, I am sure it works fine. However, if you have any special considers that might cause them extra work (e.g. you misunderstand something because it is the first time you are buying/registering and insuring a car and or you don it speak french too) just forget it . In My Case this lead to them Wrongfully Cancelling my Insurance the day after i subscribed. The Misunderstanding was initially 100% my fault, but when i apologized and tried to explain to their that it was in fact a misunderstanding, and that i had the references to back it up, they simplely refuse to list. I UNDERSTAND The Confusion, but refusing to accept the facts due to previous misunderstanding is simply bad customer service. I Prefer Paying A Few Extra Euros Per Month to Be Met With Flexibility and Understanding.</v>
      </c>
    </row>
    <row r="758" ht="15.75" customHeight="1">
      <c r="A758" s="2">
        <v>3.0</v>
      </c>
      <c r="B758" s="2" t="s">
        <v>2151</v>
      </c>
      <c r="C758" s="2" t="s">
        <v>2152</v>
      </c>
      <c r="D758" s="2" t="s">
        <v>39</v>
      </c>
      <c r="E758" s="2" t="s">
        <v>14</v>
      </c>
      <c r="F758" s="2" t="s">
        <v>15</v>
      </c>
      <c r="G758" s="2" t="s">
        <v>921</v>
      </c>
      <c r="H758" s="2" t="s">
        <v>84</v>
      </c>
      <c r="I758" s="2" t="str">
        <f>IFERROR(__xludf.DUMMYFUNCTION("GOOGLETRANSLATE(C758,""fr"",""en"")"),"Price in the average competition.
Contact with a difficult to take advisor
The questions asked about GMF messaging remains for a long time or definitely unanswered.
The slots offered for appointments in agency are not compatible with the timetable of a"&amp;" worker.
Customer defense not always up to par.
 ")</f>
        <v>Price in the average competition.
Contact with a difficult to take advisor
The questions asked about GMF messaging remains for a long time or definitely unanswered.
The slots offered for appointments in agency are not compatible with the timetable of a worker.
Customer defense not always up to par.
 </v>
      </c>
    </row>
    <row r="759" ht="15.75" customHeight="1">
      <c r="A759" s="2">
        <v>3.0</v>
      </c>
      <c r="B759" s="2" t="s">
        <v>2153</v>
      </c>
      <c r="C759" s="2" t="s">
        <v>2154</v>
      </c>
      <c r="D759" s="2" t="s">
        <v>13</v>
      </c>
      <c r="E759" s="2" t="s">
        <v>14</v>
      </c>
      <c r="F759" s="2" t="s">
        <v>15</v>
      </c>
      <c r="G759" s="2" t="s">
        <v>358</v>
      </c>
      <c r="H759" s="2" t="s">
        <v>84</v>
      </c>
      <c r="I759" s="2" t="str">
        <f>IFERROR(__xludf.DUMMYFUNCTION("GOOGLETRANSLATE(C759,""fr"",""en"")"),"Good insurance I think (customer service), I'm waiting to see following a glitch with the vehicle what will happen. To subscribe, nothing easier, however when you have to delete the insurance of a vehicle is much more tedious, you must improve on this sub"&amp;"ject.")</f>
        <v>Good insurance I think (customer service), I'm waiting to see following a glitch with the vehicle what will happen. To subscribe, nothing easier, however when you have to delete the insurance of a vehicle is much more tedious, you must improve on this subject.</v>
      </c>
    </row>
    <row r="760" ht="15.75" customHeight="1">
      <c r="A760" s="2">
        <v>1.0</v>
      </c>
      <c r="B760" s="2" t="s">
        <v>2155</v>
      </c>
      <c r="C760" s="2" t="s">
        <v>2156</v>
      </c>
      <c r="D760" s="2" t="s">
        <v>617</v>
      </c>
      <c r="E760" s="2" t="s">
        <v>97</v>
      </c>
      <c r="F760" s="2" t="s">
        <v>15</v>
      </c>
      <c r="G760" s="2" t="s">
        <v>2157</v>
      </c>
      <c r="H760" s="2" t="s">
        <v>73</v>
      </c>
      <c r="I760" s="2" t="str">
        <f>IFERROR(__xludf.DUMMYFUNCTION("GOOGLETRANSLATE(C760,""fr"",""en"")"),"We have been a customer for over 30 years, loss of employment and wage guarantee, always finds something not to compensate their customers. To flee. Never signed a contract with them. Please note no guarantee even if Subscription at a substantial price. I"&amp;" can't put 0 damage even even negative review")</f>
        <v>We have been a customer for over 30 years, loss of employment and wage guarantee, always finds something not to compensate their customers. To flee. Never signed a contract with them. Please note no guarantee even if Subscription at a substantial price. I can't put 0 damage even even negative review</v>
      </c>
    </row>
    <row r="761" ht="15.75" customHeight="1">
      <c r="A761" s="2">
        <v>3.0</v>
      </c>
      <c r="B761" s="2" t="s">
        <v>2158</v>
      </c>
      <c r="C761" s="2" t="s">
        <v>2159</v>
      </c>
      <c r="D761" s="2" t="s">
        <v>24</v>
      </c>
      <c r="E761" s="2" t="s">
        <v>14</v>
      </c>
      <c r="F761" s="2" t="s">
        <v>15</v>
      </c>
      <c r="G761" s="2" t="s">
        <v>87</v>
      </c>
      <c r="H761" s="2" t="s">
        <v>17</v>
      </c>
      <c r="I761" s="2" t="str">
        <f>IFERROR(__xludf.DUMMYFUNCTION("GOOGLETRANSLATE(C761,""fr"",""en"")"),"To see in time if the Olivier Insurance is a good or Moise assurance
A return from my part will be made after some self -insurance at home positive or negative")</f>
        <v>To see in time if the Olivier Insurance is a good or Moise assurance
A return from my part will be made after some self -insurance at home positive or negative</v>
      </c>
    </row>
    <row r="762" ht="15.75" customHeight="1">
      <c r="A762" s="2">
        <v>1.0</v>
      </c>
      <c r="B762" s="2" t="s">
        <v>2160</v>
      </c>
      <c r="C762" s="2" t="s">
        <v>2161</v>
      </c>
      <c r="D762" s="2" t="s">
        <v>1737</v>
      </c>
      <c r="E762" s="2" t="s">
        <v>97</v>
      </c>
      <c r="F762" s="2" t="s">
        <v>15</v>
      </c>
      <c r="G762" s="2" t="s">
        <v>738</v>
      </c>
      <c r="H762" s="2" t="s">
        <v>128</v>
      </c>
      <c r="I762" s="2" t="str">
        <f>IFERROR(__xludf.DUMMYFUNCTION("GOOGLETRANSLATE(C762,""fr"",""en"")"),"Hello,
Since my membership in their CACI service, the processing time for a new schedule following early reimbursements are super long and sometimes incorrect.
Many reminders made by phone or via the LCL advisor, it skates in sauerkraut. (which I al"&amp;"so love). To avoid. Jean Marie
")</f>
        <v>Hello,
Since my membership in their CACI service, the processing time for a new schedule following early reimbursements are super long and sometimes incorrect.
Many reminders made by phone or via the LCL advisor, it skates in sauerkraut. (which I also love). To avoid. Jean Marie
</v>
      </c>
    </row>
    <row r="763" ht="15.75" customHeight="1">
      <c r="A763" s="2">
        <v>1.0</v>
      </c>
      <c r="B763" s="2" t="s">
        <v>2162</v>
      </c>
      <c r="C763" s="2" t="s">
        <v>2163</v>
      </c>
      <c r="D763" s="2" t="s">
        <v>209</v>
      </c>
      <c r="E763" s="2" t="s">
        <v>14</v>
      </c>
      <c r="F763" s="2" t="s">
        <v>15</v>
      </c>
      <c r="G763" s="2" t="s">
        <v>2164</v>
      </c>
      <c r="H763" s="2" t="s">
        <v>788</v>
      </c>
      <c r="I763" s="2" t="str">
        <f>IFERROR(__xludf.DUMMYFUNCTION("GOOGLETRANSLATE(C763,""fr"",""en"")"),"It was I believed good insurance, but after 11 years with them and after only 1 payment incident, they have struck me off.
I wanted to solve the problem by paying LMMA Note and despite that they refused ???
You should know that I have a ceiling bonus fo"&amp;"r over 8 years.
So I say bravo!
I find it incredible, that's my opinion.")</f>
        <v>It was I believed good insurance, but after 11 years with them and after only 1 payment incident, they have struck me off.
I wanted to solve the problem by paying LMMA Note and despite that they refused ???
You should know that I have a ceiling bonus for over 8 years.
So I say bravo!
I find it incredible, that's my opinion.</v>
      </c>
    </row>
    <row r="764" ht="15.75" customHeight="1">
      <c r="A764" s="2">
        <v>4.0</v>
      </c>
      <c r="B764" s="2" t="s">
        <v>2165</v>
      </c>
      <c r="C764" s="2" t="s">
        <v>2166</v>
      </c>
      <c r="D764" s="2" t="s">
        <v>13</v>
      </c>
      <c r="E764" s="2" t="s">
        <v>14</v>
      </c>
      <c r="F764" s="2" t="s">
        <v>15</v>
      </c>
      <c r="G764" s="2" t="s">
        <v>52</v>
      </c>
      <c r="H764" s="2" t="s">
        <v>52</v>
      </c>
      <c r="I764" s="2" t="str">
        <f>IFERROR(__xludf.DUMMYFUNCTION("GOOGLETRANSLATE(C764,""fr"",""en"")"),"Satisfied with services. Interesting prices. Advisers always listening and always available.
Response to our very fast expectations and advisers to listen to us")</f>
        <v>Satisfied with services. Interesting prices. Advisers always listening and always available.
Response to our very fast expectations and advisers to listen to us</v>
      </c>
    </row>
    <row r="765" ht="15.75" customHeight="1">
      <c r="A765" s="2">
        <v>1.0</v>
      </c>
      <c r="B765" s="2" t="s">
        <v>2167</v>
      </c>
      <c r="C765" s="2" t="s">
        <v>2168</v>
      </c>
      <c r="D765" s="2" t="s">
        <v>71</v>
      </c>
      <c r="E765" s="2" t="s">
        <v>14</v>
      </c>
      <c r="F765" s="2" t="s">
        <v>15</v>
      </c>
      <c r="G765" s="2" t="s">
        <v>2169</v>
      </c>
      <c r="H765" s="2" t="s">
        <v>636</v>
      </c>
      <c r="I765" s="2" t="str">
        <f>IFERROR(__xludf.DUMMYFUNCTION("GOOGLETRANSLATE(C765,""fr"",""en"")"),"Insurance that has become the shadow of itself and which should reread the definition of the word probity.
Militant insurer ... overcharging.
If you hesitate to choose them, take the competitor to which you hesitate.
If you hesitate to leave them"&amp;", don't hesitate any more")</f>
        <v>Insurance that has become the shadow of itself and which should reread the definition of the word probity.
Militant insurer ... overcharging.
If you hesitate to choose them, take the competitor to which you hesitate.
If you hesitate to leave them, don't hesitate any more</v>
      </c>
    </row>
    <row r="766" ht="15.75" customHeight="1">
      <c r="A766" s="2">
        <v>1.0</v>
      </c>
      <c r="B766" s="2" t="s">
        <v>2170</v>
      </c>
      <c r="C766" s="2" t="s">
        <v>2171</v>
      </c>
      <c r="D766" s="2" t="s">
        <v>731</v>
      </c>
      <c r="E766" s="2" t="s">
        <v>34</v>
      </c>
      <c r="F766" s="2" t="s">
        <v>15</v>
      </c>
      <c r="G766" s="2" t="s">
        <v>2172</v>
      </c>
      <c r="H766" s="2" t="s">
        <v>915</v>
      </c>
      <c r="I766" s="2" t="str">
        <f>IFERROR(__xludf.DUMMYFUNCTION("GOOGLETRANSLATE(C766,""fr"",""en"")"),"Insurance to flee. Mediocre monitoring. Having the file last for more than a year. Do not want to reimburse after 3 years with them. Too bad I am not reading the negative comments of this site before mining at home ....")</f>
        <v>Insurance to flee. Mediocre monitoring. Having the file last for more than a year. Do not want to reimburse after 3 years with them. Too bad I am not reading the negative comments of this site before mining at home ....</v>
      </c>
    </row>
    <row r="767" ht="15.75" customHeight="1">
      <c r="A767" s="2">
        <v>3.0</v>
      </c>
      <c r="B767" s="2" t="s">
        <v>2173</v>
      </c>
      <c r="C767" s="2" t="s">
        <v>2174</v>
      </c>
      <c r="D767" s="2" t="s">
        <v>231</v>
      </c>
      <c r="E767" s="2" t="s">
        <v>34</v>
      </c>
      <c r="F767" s="2" t="s">
        <v>15</v>
      </c>
      <c r="G767" s="2" t="s">
        <v>2175</v>
      </c>
      <c r="H767" s="2" t="s">
        <v>243</v>
      </c>
      <c r="I767" s="2" t="str">
        <f>IFERROR(__xludf.DUMMYFUNCTION("GOOGLETRANSLATE(C767,""fr"",""en"")"),"I called this day to receive my card and it was Gwendal who responded with efficiency and clarity. And more with kindness. Thanks to him for the management of my request.")</f>
        <v>I called this day to receive my card and it was Gwendal who responded with efficiency and clarity. And more with kindness. Thanks to him for the management of my request.</v>
      </c>
    </row>
    <row r="768" ht="15.75" customHeight="1">
      <c r="A768" s="2">
        <v>3.0</v>
      </c>
      <c r="B768" s="2" t="s">
        <v>2176</v>
      </c>
      <c r="C768" s="2" t="s">
        <v>2177</v>
      </c>
      <c r="D768" s="2" t="s">
        <v>209</v>
      </c>
      <c r="E768" s="2" t="s">
        <v>40</v>
      </c>
      <c r="F768" s="2" t="s">
        <v>15</v>
      </c>
      <c r="G768" s="2" t="s">
        <v>2178</v>
      </c>
      <c r="H768" s="2" t="s">
        <v>119</v>
      </c>
      <c r="I768" s="2" t="str">
        <f>IFERROR(__xludf.DUMMYFUNCTION("GOOGLETRANSLATE(C768,""fr"",""en"")"),"Without asking me for my opinion the maaf to change my contract following a telephone communication with my daughter. It is as if I were under supervision, and the advisor does not want to recognize an error.
The MAAF is therefore the only insurance comp"&amp;"any which puts you under the supervision of its own initiative, without a court decision.")</f>
        <v>Without asking me for my opinion the maaf to change my contract following a telephone communication with my daughter. It is as if I were under supervision, and the advisor does not want to recognize an error.
The MAAF is therefore the only insurance company which puts you under the supervision of its own initiative, without a court decision.</v>
      </c>
    </row>
    <row r="769" ht="15.75" customHeight="1">
      <c r="A769" s="2">
        <v>1.0</v>
      </c>
      <c r="B769" s="2" t="s">
        <v>2179</v>
      </c>
      <c r="C769" s="2" t="s">
        <v>2180</v>
      </c>
      <c r="D769" s="2" t="s">
        <v>79</v>
      </c>
      <c r="E769" s="2" t="s">
        <v>14</v>
      </c>
      <c r="F769" s="2" t="s">
        <v>15</v>
      </c>
      <c r="G769" s="2" t="s">
        <v>2181</v>
      </c>
      <c r="H769" s="2" t="s">
        <v>99</v>
      </c>
      <c r="I769" s="2" t="str">
        <f>IFERROR(__xludf.DUMMYFUNCTION("GOOGLETRANSLATE(C769,""fr"",""en"")"),"To flee, claim me and sends a bailiff for a year of insurance not paying for the year 2017, excluding the previous contract A was terminated in September 2016. And despite 3 call to their damn surcharged number still nothing to regularize towards this sai"&amp;"d bailiff, despite the last person on the phone who tells me that indeed I owe nothing.")</f>
        <v>To flee, claim me and sends a bailiff for a year of insurance not paying for the year 2017, excluding the previous contract A was terminated in September 2016. And despite 3 call to their damn surcharged number still nothing to regularize towards this said bailiff, despite the last person on the phone who tells me that indeed I owe nothing.</v>
      </c>
    </row>
    <row r="770" ht="15.75" customHeight="1">
      <c r="A770" s="2">
        <v>2.0</v>
      </c>
      <c r="B770" s="2" t="s">
        <v>2182</v>
      </c>
      <c r="C770" s="2" t="s">
        <v>2183</v>
      </c>
      <c r="D770" s="2" t="s">
        <v>134</v>
      </c>
      <c r="E770" s="2" t="s">
        <v>56</v>
      </c>
      <c r="F770" s="2" t="s">
        <v>15</v>
      </c>
      <c r="G770" s="2" t="s">
        <v>738</v>
      </c>
      <c r="H770" s="2" t="s">
        <v>128</v>
      </c>
      <c r="I770" s="2" t="str">
        <f>IFERROR(__xludf.DUMMYFUNCTION("GOOGLETRANSLATE(C770,""fr"",""en"")"),"I am satisfied with the prices suit me ...........
I hope that the rest will be simple for the reference of the documents and that all this will be fast")</f>
        <v>I am satisfied with the prices suit me ...........
I hope that the rest will be simple for the reference of the documents and that all this will be fast</v>
      </c>
    </row>
    <row r="771" ht="15.75" customHeight="1">
      <c r="A771" s="2">
        <v>1.0</v>
      </c>
      <c r="B771" s="2" t="s">
        <v>2184</v>
      </c>
      <c r="C771" s="2" t="s">
        <v>2185</v>
      </c>
      <c r="D771" s="2" t="s">
        <v>178</v>
      </c>
      <c r="E771" s="2" t="s">
        <v>46</v>
      </c>
      <c r="F771" s="2" t="s">
        <v>15</v>
      </c>
      <c r="G771" s="2" t="s">
        <v>2186</v>
      </c>
      <c r="H771" s="2" t="s">
        <v>594</v>
      </c>
      <c r="I771" s="2" t="str">
        <f>IFERROR(__xludf.DUMMYFUNCTION("GOOGLETRANSLATE(C771,""fr"",""en"")"),"Costly GPA Serenivia GPA, Huge capital loss. Capital death after 20 years of payment is the order of half of this sui should be. The government should one day look at this type of practice to protect customers.")</f>
        <v>Costly GPA Serenivia GPA, Huge capital loss. Capital death after 20 years of payment is the order of half of this sui should be. The government should one day look at this type of practice to protect customers.</v>
      </c>
    </row>
    <row r="772" ht="15.75" customHeight="1">
      <c r="A772" s="2">
        <v>4.0</v>
      </c>
      <c r="B772" s="2" t="s">
        <v>2187</v>
      </c>
      <c r="C772" s="2" t="s">
        <v>2188</v>
      </c>
      <c r="D772" s="2" t="s">
        <v>13</v>
      </c>
      <c r="E772" s="2" t="s">
        <v>14</v>
      </c>
      <c r="F772" s="2" t="s">
        <v>15</v>
      </c>
      <c r="G772" s="2" t="s">
        <v>1279</v>
      </c>
      <c r="H772" s="2" t="s">
        <v>167</v>
      </c>
      <c r="I772" s="2" t="str">
        <f>IFERROR(__xludf.DUMMYFUNCTION("GOOGLETRANSLATE(C772,""fr"",""en"")"),"I am satisfied with the service, the prices are suitable, the website is clear and the explanations are simple and easy to understand.
The management of my contract is simple")</f>
        <v>I am satisfied with the service, the prices are suitable, the website is clear and the explanations are simple and easy to understand.
The management of my contract is simple</v>
      </c>
    </row>
    <row r="773" ht="15.75" customHeight="1">
      <c r="A773" s="2">
        <v>1.0</v>
      </c>
      <c r="B773" s="2" t="s">
        <v>2189</v>
      </c>
      <c r="C773" s="2" t="s">
        <v>2190</v>
      </c>
      <c r="D773" s="2" t="s">
        <v>617</v>
      </c>
      <c r="E773" s="2" t="s">
        <v>46</v>
      </c>
      <c r="F773" s="2" t="s">
        <v>15</v>
      </c>
      <c r="G773" s="2" t="s">
        <v>2191</v>
      </c>
      <c r="H773" s="2" t="s">
        <v>495</v>
      </c>
      <c r="I773" s="2" t="str">
        <f>IFERROR(__xludf.DUMMYFUNCTION("GOOGLETRANSLATE(C773,""fr"",""en"")"),"Faced with so much incompetence and mediocrity incapable of processing a succession file for life insurance comprising three documents I transmit the documents with the hope that a person not having the profile of a frenzied ludion, brings an echo favorab"&amp;"le At my request three months later there is still something missing. I send by mail, by email, by fax and everything is fine. When I ask or are my regulations there are 15 to answer and no one is used for documents. They are people to flee. Laxism incomp"&amp;"etence, mediocrity, it is the qualifiers that characterize them.")</f>
        <v>Faced with so much incompetence and mediocrity incapable of processing a succession file for life insurance comprising three documents I transmit the documents with the hope that a person not having the profile of a frenzied ludion, brings an echo favorable At my request three months later there is still something missing. I send by mail, by email, by fax and everything is fine. When I ask or are my regulations there are 15 to answer and no one is used for documents. They are people to flee. Laxism incompetence, mediocrity, it is the qualifiers that characterize them.</v>
      </c>
    </row>
    <row r="774" ht="15.75" customHeight="1">
      <c r="A774" s="2">
        <v>2.0</v>
      </c>
      <c r="B774" s="2" t="s">
        <v>2192</v>
      </c>
      <c r="C774" s="2" t="s">
        <v>2193</v>
      </c>
      <c r="D774" s="2" t="s">
        <v>2194</v>
      </c>
      <c r="E774" s="2" t="s">
        <v>56</v>
      </c>
      <c r="F774" s="2" t="s">
        <v>15</v>
      </c>
      <c r="G774" s="2" t="s">
        <v>2195</v>
      </c>
      <c r="H774" s="2" t="s">
        <v>826</v>
      </c>
      <c r="I774" s="2" t="str">
        <f>IFERROR(__xludf.DUMMYFUNCTION("GOOGLETRANSLATE(C774,""fr"",""en"")"),"Have no empathy for their customers, a ghost customer service. Apparently very well, as soon as there is a problem, they are desperate and ineffective!")</f>
        <v>Have no empathy for their customers, a ghost customer service. Apparently very well, as soon as there is a problem, they are desperate and ineffective!</v>
      </c>
    </row>
    <row r="775" ht="15.75" customHeight="1">
      <c r="A775" s="2">
        <v>5.0</v>
      </c>
      <c r="B775" s="2" t="s">
        <v>2196</v>
      </c>
      <c r="C775" s="2" t="s">
        <v>2197</v>
      </c>
      <c r="D775" s="2" t="s">
        <v>79</v>
      </c>
      <c r="E775" s="2" t="s">
        <v>14</v>
      </c>
      <c r="F775" s="2" t="s">
        <v>15</v>
      </c>
      <c r="G775" s="2" t="s">
        <v>2198</v>
      </c>
      <c r="H775" s="2" t="s">
        <v>180</v>
      </c>
      <c r="I775" s="2" t="str">
        <f>IFERROR(__xludf.DUMMYFUNCTION("GOOGLETRANSLATE(C775,""fr"",""en"")"),"I wanted to ensure a car that I no longer used, all the insurances threw me except it ... Subscription made by such after a reminder request. Sending documents by email, I received my green card the following week.")</f>
        <v>I wanted to ensure a car that I no longer used, all the insurances threw me except it ... Subscription made by such after a reminder request. Sending documents by email, I received my green card the following week.</v>
      </c>
    </row>
    <row r="776" ht="15.75" customHeight="1">
      <c r="A776" s="2">
        <v>4.0</v>
      </c>
      <c r="B776" s="2" t="s">
        <v>2199</v>
      </c>
      <c r="C776" s="2" t="s">
        <v>2200</v>
      </c>
      <c r="D776" s="2" t="s">
        <v>24</v>
      </c>
      <c r="E776" s="2" t="s">
        <v>14</v>
      </c>
      <c r="F776" s="2" t="s">
        <v>15</v>
      </c>
      <c r="G776" s="2" t="s">
        <v>173</v>
      </c>
      <c r="H776" s="2" t="s">
        <v>167</v>
      </c>
      <c r="I776" s="2" t="str">
        <f>IFERROR(__xludf.DUMMYFUNCTION("GOOGLETRANSLATE(C776,""fr"",""en"")"),"Fast and efficient service, answers all questions.
Pleasant person on the phone. Take the time to well verified that the first name first name is well ortographed thank you to you")</f>
        <v>Fast and efficient service, answers all questions.
Pleasant person on the phone. Take the time to well verified that the first name first name is well ortographed thank you to you</v>
      </c>
    </row>
    <row r="777" ht="15.75" customHeight="1">
      <c r="A777" s="2">
        <v>4.0</v>
      </c>
      <c r="B777" s="2" t="s">
        <v>2201</v>
      </c>
      <c r="C777" s="2" t="s">
        <v>2202</v>
      </c>
      <c r="D777" s="2" t="s">
        <v>55</v>
      </c>
      <c r="E777" s="2" t="s">
        <v>56</v>
      </c>
      <c r="F777" s="2" t="s">
        <v>15</v>
      </c>
      <c r="G777" s="2" t="s">
        <v>1138</v>
      </c>
      <c r="H777" s="2" t="s">
        <v>42</v>
      </c>
      <c r="I777" s="2" t="str">
        <f>IFERROR(__xludf.DUMMYFUNCTION("GOOGLETRANSLATE(C777,""fr"",""en"")"),"Price suits me
The service is fast and simple
Payment is secure
I think I receive my papers quickly
However, I did not manage to pay in CB without explanation")</f>
        <v>Price suits me
The service is fast and simple
Payment is secure
I think I receive my papers quickly
However, I did not manage to pay in CB without explanation</v>
      </c>
    </row>
    <row r="778" ht="15.75" customHeight="1">
      <c r="A778" s="2">
        <v>4.0</v>
      </c>
      <c r="B778" s="2" t="s">
        <v>2203</v>
      </c>
      <c r="C778" s="2" t="s">
        <v>2204</v>
      </c>
      <c r="D778" s="2" t="s">
        <v>13</v>
      </c>
      <c r="E778" s="2" t="s">
        <v>14</v>
      </c>
      <c r="F778" s="2" t="s">
        <v>15</v>
      </c>
      <c r="G778" s="2" t="s">
        <v>2205</v>
      </c>
      <c r="H778" s="2" t="s">
        <v>167</v>
      </c>
      <c r="I778" s="2" t="str">
        <f>IFERROR(__xludf.DUMMYFUNCTION("GOOGLETRANSLATE(C778,""fr"",""en"")"),"I am dissatisfied with the service.
I take out a contract any risk and in the event of immobilization of the vehicle one cannot access a vehicle loan
Cordially")</f>
        <v>I am dissatisfied with the service.
I take out a contract any risk and in the event of immobilization of the vehicle one cannot access a vehicle loan
Cordially</v>
      </c>
    </row>
    <row r="779" ht="15.75" customHeight="1">
      <c r="A779" s="2">
        <v>2.0</v>
      </c>
      <c r="B779" s="2" t="s">
        <v>2206</v>
      </c>
      <c r="C779" s="2" t="s">
        <v>2207</v>
      </c>
      <c r="D779" s="2" t="s">
        <v>13</v>
      </c>
      <c r="E779" s="2" t="s">
        <v>14</v>
      </c>
      <c r="F779" s="2" t="s">
        <v>15</v>
      </c>
      <c r="G779" s="2" t="s">
        <v>487</v>
      </c>
      <c r="H779" s="2" t="s">
        <v>128</v>
      </c>
      <c r="I779" s="2" t="str">
        <f>IFERROR(__xludf.DUMMYFUNCTION("GOOGLETRANSLATE(C779,""fr"",""en"")"),"Hello it's been years that we have assured at home and it has increased every year! PS: we have 4 vehicles insured at home. Cordially")</f>
        <v>Hello it's been years that we have assured at home and it has increased every year! PS: we have 4 vehicles insured at home. Cordially</v>
      </c>
    </row>
    <row r="780" ht="15.75" customHeight="1">
      <c r="A780" s="2">
        <v>4.0</v>
      </c>
      <c r="B780" s="2" t="s">
        <v>2208</v>
      </c>
      <c r="C780" s="2" t="s">
        <v>2209</v>
      </c>
      <c r="D780" s="2" t="s">
        <v>24</v>
      </c>
      <c r="E780" s="2" t="s">
        <v>14</v>
      </c>
      <c r="F780" s="2" t="s">
        <v>15</v>
      </c>
      <c r="G780" s="2" t="s">
        <v>447</v>
      </c>
      <c r="H780" s="2" t="s">
        <v>84</v>
      </c>
      <c r="I780" s="2" t="str">
        <f>IFERROR(__xludf.DUMMYFUNCTION("GOOGLETRANSLATE(C780,""fr"",""en"")"),"I am very satisfied with the speed of response of your agents. The customer area is very accessible and easy to use. I really recommend the olive assurance.")</f>
        <v>I am very satisfied with the speed of response of your agents. The customer area is very accessible and easy to use. I really recommend the olive assurance.</v>
      </c>
    </row>
    <row r="781" ht="15.75" customHeight="1">
      <c r="A781" s="2">
        <v>5.0</v>
      </c>
      <c r="B781" s="2" t="s">
        <v>2210</v>
      </c>
      <c r="C781" s="2" t="s">
        <v>2211</v>
      </c>
      <c r="D781" s="2" t="s">
        <v>24</v>
      </c>
      <c r="E781" s="2" t="s">
        <v>14</v>
      </c>
      <c r="F781" s="2" t="s">
        <v>15</v>
      </c>
      <c r="G781" s="2" t="s">
        <v>1453</v>
      </c>
      <c r="H781" s="2" t="s">
        <v>167</v>
      </c>
      <c r="I781" s="2" t="str">
        <f>IFERROR(__xludf.DUMMYFUNCTION("GOOGLETRANSLATE(C781,""fr"",""en"")"),"Very warm and efficient welcome very good price I will ask my friends and family to reach you thank you for all see you soon and thank you to the whole team")</f>
        <v>Very warm and efficient welcome very good price I will ask my friends and family to reach you thank you for all see you soon and thank you to the whole team</v>
      </c>
    </row>
    <row r="782" ht="15.75" customHeight="1">
      <c r="A782" s="2">
        <v>5.0</v>
      </c>
      <c r="B782" s="2" t="s">
        <v>2212</v>
      </c>
      <c r="C782" s="2" t="s">
        <v>2213</v>
      </c>
      <c r="D782" s="2" t="s">
        <v>13</v>
      </c>
      <c r="E782" s="2" t="s">
        <v>14</v>
      </c>
      <c r="F782" s="2" t="s">
        <v>15</v>
      </c>
      <c r="G782" s="2" t="s">
        <v>475</v>
      </c>
      <c r="H782" s="2" t="s">
        <v>84</v>
      </c>
      <c r="I782" s="2" t="str">
        <f>IFERROR(__xludf.DUMMYFUNCTION("GOOGLETRANSLATE(C782,""fr"",""en"")"),"I am satisfied with the price, everything is perfect, the simplicity to subscribe to this insurance and certainly call you for other insurance.")</f>
        <v>I am satisfied with the price, everything is perfect, the simplicity to subscribe to this insurance and certainly call you for other insurance.</v>
      </c>
    </row>
    <row r="783" ht="15.75" customHeight="1">
      <c r="A783" s="2">
        <v>4.0</v>
      </c>
      <c r="B783" s="2" t="s">
        <v>2214</v>
      </c>
      <c r="C783" s="2" t="s">
        <v>2215</v>
      </c>
      <c r="D783" s="2" t="s">
        <v>238</v>
      </c>
      <c r="E783" s="2" t="s">
        <v>56</v>
      </c>
      <c r="F783" s="2" t="s">
        <v>15</v>
      </c>
      <c r="G783" s="2" t="s">
        <v>2216</v>
      </c>
      <c r="H783" s="2" t="s">
        <v>119</v>
      </c>
      <c r="I783" s="2" t="str">
        <f>IFERROR(__xludf.DUMMYFUNCTION("GOOGLETRANSLATE(C783,""fr"",""en"")"),"Insured for 20 years at home, needs to ensure a new vehicle. I write this message because I am amazed at what I read here. I too have a delay for my green cards ... But guys, do you experience anything worse today? Perhaps their crisis organization is ave"&amp;"rage, but from there to say that it is bad insurance there is something that navant in the way that we have today to give an objective opinion.
My personal opinion for 20 years: certainly the prices are higher than in a lot of competitors, but not on equ"&amp;"ivalent perimeter. For example, he has that a certain time, I took a log on track with my road motorcycle, my all -risk coverage applied 100% (€ 7,500 in repair on the motorcycle) my equipment has been reimbursed to New on purchase invoices (4 years) (lea"&amp;"ther, gloves, boots, pants, helmet). Good luck to find the equivalent with a competitor, I have never heard of it.
When I called to declare my disaster, the first question I was asked was how I was going ... it changes ""what is your member number""
Whe"&amp;"never I called to ensure a new vehicle, I was able to chat with a passionate.
When you ensure a new vehicle, you have a reduction on all other contracts in % because, I quote, you can not drive several vehicles at the same time. I assured a DR to the thi"&amp;"rd party (3rd vehicle), once the reduction has been applied, my global premium dropped ... My interlocutor looked also happy with me.
After yes, it's a little more expensive than elsewhere, everyone chooses their expenses.")</f>
        <v>Insured for 20 years at home, needs to ensure a new vehicle. I write this message because I am amazed at what I read here. I too have a delay for my green cards ... But guys, do you experience anything worse today? Perhaps their crisis organization is average, but from there to say that it is bad insurance there is something that navant in the way that we have today to give an objective opinion.
My personal opinion for 20 years: certainly the prices are higher than in a lot of competitors, but not on equivalent perimeter. For example, he has that a certain time, I took a log on track with my road motorcycle, my all -risk coverage applied 100% (€ 7,500 in repair on the motorcycle) my equipment has been reimbursed to New on purchase invoices (4 years) (leather, gloves, boots, pants, helmet). Good luck to find the equivalent with a competitor, I have never heard of it.
When I called to declare my disaster, the first question I was asked was how I was going ... it changes "what is your member number"
Whenever I called to ensure a new vehicle, I was able to chat with a passionate.
When you ensure a new vehicle, you have a reduction on all other contracts in % because, I quote, you can not drive several vehicles at the same time. I assured a DR to the third party (3rd vehicle), once the reduction has been applied, my global premium dropped ... My interlocutor looked also happy with me.
After yes, it's a little more expensive than elsewhere, everyone chooses their expenses.</v>
      </c>
    </row>
    <row r="784" ht="15.75" customHeight="1">
      <c r="A784" s="2">
        <v>5.0</v>
      </c>
      <c r="B784" s="2" t="s">
        <v>2217</v>
      </c>
      <c r="C784" s="2" t="s">
        <v>2218</v>
      </c>
      <c r="D784" s="2" t="s">
        <v>231</v>
      </c>
      <c r="E784" s="2" t="s">
        <v>34</v>
      </c>
      <c r="F784" s="2" t="s">
        <v>15</v>
      </c>
      <c r="G784" s="2" t="s">
        <v>1406</v>
      </c>
      <c r="H784" s="2" t="s">
        <v>331</v>
      </c>
      <c r="I784" s="2" t="str">
        <f>IFERROR(__xludf.DUMMYFUNCTION("GOOGLETRANSLATE(C784,""fr"",""en"")"),"I have been insured for 5 years it is the cheapest mutual insurance for the highest guarantees no problem
For the optician I don't pay anything")</f>
        <v>I have been insured for 5 years it is the cheapest mutual insurance for the highest guarantees no problem
For the optician I don't pay anything</v>
      </c>
    </row>
    <row r="785" ht="15.75" customHeight="1">
      <c r="A785" s="2">
        <v>1.0</v>
      </c>
      <c r="B785" s="2" t="s">
        <v>2219</v>
      </c>
      <c r="C785" s="2" t="s">
        <v>2220</v>
      </c>
      <c r="D785" s="2" t="s">
        <v>79</v>
      </c>
      <c r="E785" s="2" t="s">
        <v>14</v>
      </c>
      <c r="F785" s="2" t="s">
        <v>15</v>
      </c>
      <c r="G785" s="2" t="s">
        <v>2221</v>
      </c>
      <c r="H785" s="2" t="s">
        <v>128</v>
      </c>
      <c r="I785" s="2" t="str">
        <f>IFERROR(__xludf.DUMMYFUNCTION("GOOGLETRANSLATE(C785,""fr"",""en"")"),"Message to those who wish to take out insurance with them, run away !!! As soon as possible with another insurance. Active insurance hides you costs ... I will report them to UFC what to choose now")</f>
        <v>Message to those who wish to take out insurance with them, run away !!! As soon as possible with another insurance. Active insurance hides you costs ... I will report them to UFC what to choose now</v>
      </c>
    </row>
    <row r="786" ht="15.75" customHeight="1">
      <c r="A786" s="2">
        <v>5.0</v>
      </c>
      <c r="B786" s="2" t="s">
        <v>2222</v>
      </c>
      <c r="C786" s="2" t="s">
        <v>2223</v>
      </c>
      <c r="D786" s="2" t="s">
        <v>24</v>
      </c>
      <c r="E786" s="2" t="s">
        <v>14</v>
      </c>
      <c r="F786" s="2" t="s">
        <v>15</v>
      </c>
      <c r="G786" s="2" t="s">
        <v>327</v>
      </c>
      <c r="H786" s="2" t="s">
        <v>42</v>
      </c>
      <c r="I786" s="2" t="str">
        <f>IFERROR(__xludf.DUMMYFUNCTION("GOOGLETRANSLATE(C786,""fr"",""en"")"),"Simplicity for online subscription, the price is unbeatable with good guarantees and contact is easy by email with a real contact.")</f>
        <v>Simplicity for online subscription, the price is unbeatable with good guarantees and contact is easy by email with a real contact.</v>
      </c>
    </row>
    <row r="787" ht="15.75" customHeight="1">
      <c r="A787" s="2">
        <v>2.0</v>
      </c>
      <c r="B787" s="2" t="s">
        <v>2224</v>
      </c>
      <c r="C787" s="2" t="s">
        <v>2225</v>
      </c>
      <c r="D787" s="2" t="s">
        <v>39</v>
      </c>
      <c r="E787" s="2" t="s">
        <v>14</v>
      </c>
      <c r="F787" s="2" t="s">
        <v>15</v>
      </c>
      <c r="G787" s="2" t="s">
        <v>2226</v>
      </c>
      <c r="H787" s="2" t="s">
        <v>131</v>
      </c>
      <c r="I787" s="2" t="str">
        <f>IFERROR(__xludf.DUMMYFUNCTION("GOOGLETRANSLATE(C787,""fr"",""en"")"),"3 claims and you have been terminated even if you have been a customer for many years and you have everything at home. And even if you are not responsible.")</f>
        <v>3 claims and you have been terminated even if you have been a customer for many years and you have everything at home. And even if you are not responsible.</v>
      </c>
    </row>
    <row r="788" ht="15.75" customHeight="1">
      <c r="A788" s="2">
        <v>3.0</v>
      </c>
      <c r="B788" s="2" t="s">
        <v>2227</v>
      </c>
      <c r="C788" s="2" t="s">
        <v>2228</v>
      </c>
      <c r="D788" s="2" t="s">
        <v>24</v>
      </c>
      <c r="E788" s="2" t="s">
        <v>14</v>
      </c>
      <c r="F788" s="2" t="s">
        <v>15</v>
      </c>
      <c r="G788" s="2" t="s">
        <v>1584</v>
      </c>
      <c r="H788" s="2" t="s">
        <v>17</v>
      </c>
      <c r="I788" s="2" t="str">
        <f>IFERROR(__xludf.DUMMYFUNCTION("GOOGLETRANSLATE(C788,""fr"",""en"")"),"Satisfied with the service
The cheapest price on the market given our situation. A downside nevertheless, this request for an opinion comes from the first day so is not at all representative of a real opinion after several months as an assured.")</f>
        <v>Satisfied with the service
The cheapest price on the market given our situation. A downside nevertheless, this request for an opinion comes from the first day so is not at all representative of a real opinion after several months as an assured.</v>
      </c>
    </row>
    <row r="789" ht="15.75" customHeight="1">
      <c r="A789" s="2">
        <v>5.0</v>
      </c>
      <c r="B789" s="2" t="s">
        <v>2229</v>
      </c>
      <c r="C789" s="2" t="s">
        <v>2230</v>
      </c>
      <c r="D789" s="2" t="s">
        <v>24</v>
      </c>
      <c r="E789" s="2" t="s">
        <v>14</v>
      </c>
      <c r="F789" s="2" t="s">
        <v>15</v>
      </c>
      <c r="G789" s="2" t="s">
        <v>677</v>
      </c>
      <c r="H789" s="2" t="s">
        <v>21</v>
      </c>
      <c r="I789" s="2" t="str">
        <f>IFERROR(__xludf.DUMMYFUNCTION("GOOGLETRANSLATE(C789,""fr"",""en"")"),"Hello, appreciable for speed and price I recommend !! Hoping to receive the documents (green card) Thank you fairly quickly for your help, cordially M. Addassus")</f>
        <v>Hello, appreciable for speed and price I recommend !! Hoping to receive the documents (green card) Thank you fairly quickly for your help, cordially M. Addassus</v>
      </c>
    </row>
    <row r="790" ht="15.75" customHeight="1">
      <c r="A790" s="2">
        <v>4.0</v>
      </c>
      <c r="B790" s="2" t="s">
        <v>2231</v>
      </c>
      <c r="C790" s="2" t="s">
        <v>2232</v>
      </c>
      <c r="D790" s="2" t="s">
        <v>24</v>
      </c>
      <c r="E790" s="2" t="s">
        <v>14</v>
      </c>
      <c r="F790" s="2" t="s">
        <v>15</v>
      </c>
      <c r="G790" s="2" t="s">
        <v>2117</v>
      </c>
      <c r="H790" s="2" t="s">
        <v>42</v>
      </c>
      <c r="I790" s="2" t="str">
        <f>IFERROR(__xludf.DUMMYFUNCTION("GOOGLETRANSLATE(C790,""fr"",""en"")"),"Satisfied to have really looked at all my guarantees subscribed with my advisor. For once I took the time and I am reassured to have chosen in peace")</f>
        <v>Satisfied to have really looked at all my guarantees subscribed with my advisor. For once I took the time and I am reassured to have chosen in peace</v>
      </c>
    </row>
    <row r="791" ht="15.75" customHeight="1">
      <c r="A791" s="2">
        <v>1.0</v>
      </c>
      <c r="B791" s="2" t="s">
        <v>2233</v>
      </c>
      <c r="C791" s="2" t="s">
        <v>2234</v>
      </c>
      <c r="D791" s="2" t="s">
        <v>55</v>
      </c>
      <c r="E791" s="2" t="s">
        <v>56</v>
      </c>
      <c r="F791" s="2" t="s">
        <v>15</v>
      </c>
      <c r="G791" s="2" t="s">
        <v>2235</v>
      </c>
      <c r="H791" s="2" t="s">
        <v>30</v>
      </c>
      <c r="I791" s="2" t="str">
        <f>IFERROR(__xludf.DUMMYFUNCTION("GOOGLETRANSLATE(C791,""fr"",""en"")"),"AMV The worst experience of my life, if you are not paying attention when subscribing, you can find yourself without assistance. Indeed this is an option to take while the different choices that the site offers after simulation do not make this assistance"&amp;" option appear. Logically we should rather let the possibility of removing it to prevent people from thinking to be covered in the event of a breakdown, it would avoid bad experiences for customers. Why do the main one is to display yourself as a serious "&amp;"and inexpensive insurance, too bad for customers who are not careful to check the small box well.")</f>
        <v>AMV The worst experience of my life, if you are not paying attention when subscribing, you can find yourself without assistance. Indeed this is an option to take while the different choices that the site offers after simulation do not make this assistance option appear. Logically we should rather let the possibility of removing it to prevent people from thinking to be covered in the event of a breakdown, it would avoid bad experiences for customers. Why do the main one is to display yourself as a serious and inexpensive insurance, too bad for customers who are not careful to check the small box well.</v>
      </c>
    </row>
    <row r="792" ht="15.75" customHeight="1">
      <c r="A792" s="2">
        <v>1.0</v>
      </c>
      <c r="B792" s="2" t="s">
        <v>2236</v>
      </c>
      <c r="C792" s="2" t="s">
        <v>2237</v>
      </c>
      <c r="D792" s="2" t="s">
        <v>209</v>
      </c>
      <c r="E792" s="2" t="s">
        <v>56</v>
      </c>
      <c r="F792" s="2" t="s">
        <v>15</v>
      </c>
      <c r="G792" s="2" t="s">
        <v>2238</v>
      </c>
      <c r="H792" s="2" t="s">
        <v>495</v>
      </c>
      <c r="I792" s="2" t="str">
        <f>IFERROR(__xludf.DUMMYFUNCTION("GOOGLETRANSLATE(C792,""fr"",""en"")"),"Motorcycle accident, the responsibilities are not determined because in progress and pending no compensation or repair ... a shame !!!!!!!!!!
No clear and precise response, the sinister service and customer service contradict ...")</f>
        <v>Motorcycle accident, the responsibilities are not determined because in progress and pending no compensation or repair ... a shame !!!!!!!!!!
No clear and precise response, the sinister service and customer service contradict ...</v>
      </c>
    </row>
    <row r="793" ht="15.75" customHeight="1">
      <c r="A793" s="2">
        <v>1.0</v>
      </c>
      <c r="B793" s="2" t="s">
        <v>2239</v>
      </c>
      <c r="C793" s="2" t="s">
        <v>2240</v>
      </c>
      <c r="D793" s="2" t="s">
        <v>621</v>
      </c>
      <c r="E793" s="2" t="s">
        <v>66</v>
      </c>
      <c r="F793" s="2" t="s">
        <v>15</v>
      </c>
      <c r="G793" s="2" t="s">
        <v>1274</v>
      </c>
      <c r="H793" s="2" t="s">
        <v>331</v>
      </c>
      <c r="I793" s="2" t="str">
        <f>IFERROR(__xludf.DUMMYFUNCTION("GOOGLETRANSLATE(C793,""fr"",""en"")"),"Eight months to receive the Capital Provident Death / Mother, and with 2.07 EUR in late interest! Yet the savings bank had told us in November: there is no problem, you will receive capital within 3 to 4 weeks I do not recommend this insurer for the death"&amp;" warranty. On the other hand, the method is at the top to ""de-fiders"" customers.")</f>
        <v>Eight months to receive the Capital Provident Death / Mother, and with 2.07 EUR in late interest! Yet the savings bank had told us in November: there is no problem, you will receive capital within 3 to 4 weeks I do not recommend this insurer for the death warranty. On the other hand, the method is at the top to "de-fiders" customers.</v>
      </c>
    </row>
    <row r="794" ht="15.75" customHeight="1">
      <c r="A794" s="2">
        <v>3.0</v>
      </c>
      <c r="B794" s="2" t="s">
        <v>2241</v>
      </c>
      <c r="C794" s="2" t="s">
        <v>2242</v>
      </c>
      <c r="D794" s="2" t="s">
        <v>209</v>
      </c>
      <c r="E794" s="2" t="s">
        <v>14</v>
      </c>
      <c r="F794" s="2" t="s">
        <v>15</v>
      </c>
      <c r="G794" s="2" t="s">
        <v>2243</v>
      </c>
      <c r="H794" s="2" t="s">
        <v>915</v>
      </c>
      <c r="I794" s="2" t="str">
        <f>IFERROR(__xludf.DUMMYFUNCTION("GOOGLETRANSLATE(C794,""fr"",""en"")"),"I have 12 contracts at Maaf La Totale, I would like him to have a commercial gesture for loyalty, 100% contracts at home")</f>
        <v>I have 12 contracts at Maaf La Totale, I would like him to have a commercial gesture for loyalty, 100% contracts at home</v>
      </c>
    </row>
    <row r="795" ht="15.75" customHeight="1">
      <c r="A795" s="2">
        <v>1.0</v>
      </c>
      <c r="B795" s="2" t="s">
        <v>2244</v>
      </c>
      <c r="C795" s="2" t="s">
        <v>2245</v>
      </c>
      <c r="D795" s="2" t="s">
        <v>2246</v>
      </c>
      <c r="E795" s="2" t="s">
        <v>66</v>
      </c>
      <c r="F795" s="2" t="s">
        <v>15</v>
      </c>
      <c r="G795" s="2" t="s">
        <v>428</v>
      </c>
      <c r="H795" s="2" t="s">
        <v>243</v>
      </c>
      <c r="I795" s="2" t="str">
        <f>IFERROR(__xludf.DUMMYFUNCTION("GOOGLETRANSLATE(C795,""fr"",""en"")"),"This insurance is absolutely to avoid, I await the funds after a death 12 months ago. Despite many recovery by Courier recommended, I still don't have the funds. I will have to launch a judicial prosecution. It's scandalous.")</f>
        <v>This insurance is absolutely to avoid, I await the funds after a death 12 months ago. Despite many recovery by Courier recommended, I still don't have the funds. I will have to launch a judicial prosecution. It's scandalous.</v>
      </c>
    </row>
    <row r="796" ht="15.75" customHeight="1">
      <c r="A796" s="2">
        <v>5.0</v>
      </c>
      <c r="B796" s="2" t="s">
        <v>2247</v>
      </c>
      <c r="C796" s="2" t="s">
        <v>2248</v>
      </c>
      <c r="D796" s="2" t="s">
        <v>13</v>
      </c>
      <c r="E796" s="2" t="s">
        <v>14</v>
      </c>
      <c r="F796" s="2" t="s">
        <v>15</v>
      </c>
      <c r="G796" s="2" t="s">
        <v>1116</v>
      </c>
      <c r="H796" s="2" t="s">
        <v>167</v>
      </c>
      <c r="I796" s="2" t="str">
        <f>IFERROR(__xludf.DUMMYFUNCTION("GOOGLETRANSLATE(C796,""fr"",""en"")"),"Quality ratio of services /price satisfies me
meets my expectations during various telephone calls
Fully satisfied with Direct Insurance services")</f>
        <v>Quality ratio of services /price satisfies me
meets my expectations during various telephone calls
Fully satisfied with Direct Insurance services</v>
      </c>
    </row>
    <row r="797" ht="15.75" customHeight="1">
      <c r="A797" s="2">
        <v>1.0</v>
      </c>
      <c r="B797" s="2" t="s">
        <v>2249</v>
      </c>
      <c r="C797" s="2" t="s">
        <v>2250</v>
      </c>
      <c r="D797" s="2" t="s">
        <v>106</v>
      </c>
      <c r="E797" s="2" t="s">
        <v>40</v>
      </c>
      <c r="F797" s="2" t="s">
        <v>15</v>
      </c>
      <c r="G797" s="2" t="s">
        <v>636</v>
      </c>
      <c r="H797" s="2" t="s">
        <v>636</v>
      </c>
      <c r="I797" s="2" t="str">
        <f>IFERROR(__xludf.DUMMYFUNCTION("GOOGLETRANSLATE(C797,""fr"",""en"")"),"Hello, I have been insured for over 30 years at the Macif. With the bad weather in January the roof tiles stolen and the rooms of the 1st flooded floor. My electricity affected by water and the Macif refuses to recognize the state of natural disaster that"&amp;" the prefecture has decreed. I'm afraid of being outside with my children. Can a person help me find a solution with the Macif?
Email: nadobahi1@gmail.com")</f>
        <v>Hello, I have been insured for over 30 years at the Macif. With the bad weather in January the roof tiles stolen and the rooms of the 1st flooded floor. My electricity affected by water and the Macif refuses to recognize the state of natural disaster that the prefecture has decreed. I'm afraid of being outside with my children. Can a person help me find a solution with the Macif?
Email: nadobahi1@gmail.com</v>
      </c>
    </row>
    <row r="798" ht="15.75" customHeight="1">
      <c r="A798" s="2">
        <v>1.0</v>
      </c>
      <c r="B798" s="2" t="s">
        <v>2251</v>
      </c>
      <c r="C798" s="2" t="s">
        <v>2252</v>
      </c>
      <c r="D798" s="2" t="s">
        <v>246</v>
      </c>
      <c r="E798" s="2" t="s">
        <v>34</v>
      </c>
      <c r="F798" s="2" t="s">
        <v>15</v>
      </c>
      <c r="G798" s="2" t="s">
        <v>144</v>
      </c>
      <c r="H798" s="2" t="s">
        <v>144</v>
      </c>
      <c r="I798" s="2" t="str">
        <f>IFERROR(__xludf.DUMMYFUNCTION("GOOGLETRANSLATE(C798,""fr"",""en"")"),"to flee
lied to me on dental reimbursement and now that I have mutual mutual they play on words so as not
are even going to make me say that I had made a false by adding the compulsory mention when it was my employer who wrote it")</f>
        <v>to flee
lied to me on dental reimbursement and now that I have mutual mutual they play on words so as not
are even going to make me say that I had made a false by adding the compulsory mention when it was my employer who wrote it</v>
      </c>
    </row>
    <row r="799" ht="15.75" customHeight="1">
      <c r="A799" s="2">
        <v>5.0</v>
      </c>
      <c r="B799" s="2" t="s">
        <v>2253</v>
      </c>
      <c r="C799" s="2" t="s">
        <v>2254</v>
      </c>
      <c r="D799" s="2" t="s">
        <v>24</v>
      </c>
      <c r="E799" s="2" t="s">
        <v>14</v>
      </c>
      <c r="F799" s="2" t="s">
        <v>15</v>
      </c>
      <c r="G799" s="2" t="s">
        <v>2205</v>
      </c>
      <c r="H799" s="2" t="s">
        <v>167</v>
      </c>
      <c r="I799" s="2" t="str">
        <f>IFERROR(__xludf.DUMMYFUNCTION("GOOGLETRANSLATE(C799,""fr"",""en"")"),"I am very satisfied with the price as well as the guarantees, you are a little high on franchises and really a more than perfect welcome.")</f>
        <v>I am very satisfied with the price as well as the guarantees, you are a little high on franchises and really a more than perfect welcome.</v>
      </c>
    </row>
    <row r="800" ht="15.75" customHeight="1">
      <c r="A800" s="2">
        <v>1.0</v>
      </c>
      <c r="B800" s="2" t="s">
        <v>2255</v>
      </c>
      <c r="C800" s="2" t="s">
        <v>2256</v>
      </c>
      <c r="D800" s="2" t="s">
        <v>60</v>
      </c>
      <c r="E800" s="2" t="s">
        <v>14</v>
      </c>
      <c r="F800" s="2" t="s">
        <v>15</v>
      </c>
      <c r="G800" s="2" t="s">
        <v>2257</v>
      </c>
      <c r="H800" s="2" t="s">
        <v>62</v>
      </c>
      <c r="I800" s="2" t="str">
        <f>IFERROR(__xludf.DUMMYFUNCTION("GOOGLETRANSLATE(C800,""fr"",""en"")"),"At a return of a return following a lack of advice for which a registration would have been made but not provided despite my multiple requests")</f>
        <v>At a return of a return following a lack of advice for which a registration would have been made but not provided despite my multiple requests</v>
      </c>
    </row>
    <row r="801" ht="15.75" customHeight="1">
      <c r="A801" s="2">
        <v>5.0</v>
      </c>
      <c r="B801" s="2" t="s">
        <v>2258</v>
      </c>
      <c r="C801" s="2" t="s">
        <v>2259</v>
      </c>
      <c r="D801" s="2" t="s">
        <v>13</v>
      </c>
      <c r="E801" s="2" t="s">
        <v>14</v>
      </c>
      <c r="F801" s="2" t="s">
        <v>15</v>
      </c>
      <c r="G801" s="2" t="s">
        <v>582</v>
      </c>
      <c r="H801" s="2" t="s">
        <v>21</v>
      </c>
      <c r="I801" s="2" t="str">
        <f>IFERROR(__xludf.DUMMYFUNCTION("GOOGLETRANSLATE(C801,""fr"",""en"")"),"I am very satisfied and thank you.
Simple and easy to subscribe to an insurance contract with reasonable prices, I advise strongly direct insurance.")</f>
        <v>I am very satisfied and thank you.
Simple and easy to subscribe to an insurance contract with reasonable prices, I advise strongly direct insurance.</v>
      </c>
    </row>
    <row r="802" ht="15.75" customHeight="1">
      <c r="A802" s="2">
        <v>5.0</v>
      </c>
      <c r="B802" s="2" t="s">
        <v>2260</v>
      </c>
      <c r="C802" s="2" t="s">
        <v>2261</v>
      </c>
      <c r="D802" s="2" t="s">
        <v>13</v>
      </c>
      <c r="E802" s="2" t="s">
        <v>14</v>
      </c>
      <c r="F802" s="2" t="s">
        <v>15</v>
      </c>
      <c r="G802" s="2" t="s">
        <v>651</v>
      </c>
      <c r="H802" s="2" t="s">
        <v>128</v>
      </c>
      <c r="I802" s="2" t="str">
        <f>IFERROR(__xludf.DUMMYFUNCTION("GOOGLETRANSLATE(C802,""fr"",""en"")"),"I am satisfied with the quality/price ratio of direct insurance
I have already taken out an insurance contract for my new new car recently acquired with them")</f>
        <v>I am satisfied with the quality/price ratio of direct insurance
I have already taken out an insurance contract for my new new car recently acquired with them</v>
      </c>
    </row>
    <row r="803" ht="15.75" customHeight="1">
      <c r="A803" s="2">
        <v>3.0</v>
      </c>
      <c r="B803" s="2" t="s">
        <v>2262</v>
      </c>
      <c r="C803" s="2" t="s">
        <v>2263</v>
      </c>
      <c r="D803" s="2" t="s">
        <v>24</v>
      </c>
      <c r="E803" s="2" t="s">
        <v>14</v>
      </c>
      <c r="F803" s="2" t="s">
        <v>15</v>
      </c>
      <c r="G803" s="2" t="s">
        <v>147</v>
      </c>
      <c r="H803" s="2" t="s">
        <v>68</v>
      </c>
      <c r="I803" s="2" t="str">
        <f>IFERROR(__xludf.DUMMYFUNCTION("GOOGLETRANSLATE(C803,""fr"",""en"")"),"Satisfied for my subscription, to see in time. Hoping not to have a disaster, but if it was the case hope that it will not be the gallery")</f>
        <v>Satisfied for my subscription, to see in time. Hoping not to have a disaster, but if it was the case hope that it will not be the gallery</v>
      </c>
    </row>
    <row r="804" ht="15.75" customHeight="1">
      <c r="A804" s="2">
        <v>4.0</v>
      </c>
      <c r="B804" s="2" t="s">
        <v>2264</v>
      </c>
      <c r="C804" s="2" t="s">
        <v>2265</v>
      </c>
      <c r="D804" s="2" t="s">
        <v>13</v>
      </c>
      <c r="E804" s="2" t="s">
        <v>14</v>
      </c>
      <c r="F804" s="2" t="s">
        <v>15</v>
      </c>
      <c r="G804" s="2" t="s">
        <v>1129</v>
      </c>
      <c r="H804" s="2" t="s">
        <v>42</v>
      </c>
      <c r="I804" s="2" t="str">
        <f>IFERROR(__xludf.DUMMYFUNCTION("GOOGLETRANSLATE(C804,""fr"",""en"")"),"RAS for the moment I have just subscribed online I hope to be satisfied with my choice and could therefore ensure my second vehicle in the coming weeks")</f>
        <v>RAS for the moment I have just subscribed online I hope to be satisfied with my choice and could therefore ensure my second vehicle in the coming weeks</v>
      </c>
    </row>
    <row r="805" ht="15.75" customHeight="1">
      <c r="A805" s="2">
        <v>5.0</v>
      </c>
      <c r="B805" s="2" t="s">
        <v>2266</v>
      </c>
      <c r="C805" s="2" t="s">
        <v>2267</v>
      </c>
      <c r="D805" s="2" t="s">
        <v>13</v>
      </c>
      <c r="E805" s="2" t="s">
        <v>14</v>
      </c>
      <c r="F805" s="2" t="s">
        <v>15</v>
      </c>
      <c r="G805" s="2" t="s">
        <v>760</v>
      </c>
      <c r="H805" s="2" t="s">
        <v>42</v>
      </c>
      <c r="I805" s="2" t="str">
        <f>IFERROR(__xludf.DUMMYFUNCTION("GOOGLETRANSLATE(C805,""fr"",""en"")"),"I am satisfied with the service The prices are simple and inexpensive
I would have liked to pay in several times, thank you for telling me if this is possible
Thank you
Cordially")</f>
        <v>I am satisfied with the service The prices are simple and inexpensive
I would have liked to pay in several times, thank you for telling me if this is possible
Thank you
Cordially</v>
      </c>
    </row>
    <row r="806" ht="15.75" customHeight="1">
      <c r="A806" s="2">
        <v>1.0</v>
      </c>
      <c r="B806" s="2" t="s">
        <v>2268</v>
      </c>
      <c r="C806" s="2" t="s">
        <v>2269</v>
      </c>
      <c r="D806" s="2" t="s">
        <v>621</v>
      </c>
      <c r="E806" s="2" t="s">
        <v>66</v>
      </c>
      <c r="F806" s="2" t="s">
        <v>15</v>
      </c>
      <c r="G806" s="2" t="s">
        <v>2270</v>
      </c>
      <c r="H806" s="2" t="s">
        <v>225</v>
      </c>
      <c r="I806" s="2" t="str">
        <f>IFERROR(__xludf.DUMMYFUNCTION("GOOGLETRANSLATE(C806,""fr"",""en"")"),"Does not respond to the multiple emails and recommended letters sent for 8 months. Even my bank no longer knows what to do. I find myself without any help despite the emergency. To flee! Thanks to them I would soon live under the bridges. Thank you!")</f>
        <v>Does not respond to the multiple emails and recommended letters sent for 8 months. Even my bank no longer knows what to do. I find myself without any help despite the emergency. To flee! Thanks to them I would soon live under the bridges. Thank you!</v>
      </c>
    </row>
    <row r="807" ht="15.75" customHeight="1">
      <c r="A807" s="2">
        <v>1.0</v>
      </c>
      <c r="B807" s="2" t="s">
        <v>2271</v>
      </c>
      <c r="C807" s="2" t="s">
        <v>2272</v>
      </c>
      <c r="D807" s="2" t="s">
        <v>106</v>
      </c>
      <c r="E807" s="2" t="s">
        <v>14</v>
      </c>
      <c r="F807" s="2" t="s">
        <v>15</v>
      </c>
      <c r="G807" s="2" t="s">
        <v>1453</v>
      </c>
      <c r="H807" s="2" t="s">
        <v>167</v>
      </c>
      <c r="I807" s="2" t="str">
        <f>IFERROR(__xludf.DUMMYFUNCTION("GOOGLETRANSLATE(C807,""fr"",""en"")"),"I am displayed a penalty on an accident that I would have said to be committed on 02/27/2020 OR The vehicle was sold on 02/16/2020
I can't insure my new vehicle by phone, I have to go to an agency when I work on the go
In addition I am hooked on me
And"&amp;" you do not make more effort when the error is from you following your non -professionalism.
Thank you")</f>
        <v>I am displayed a penalty on an accident that I would have said to be committed on 02/27/2020 OR The vehicle was sold on 02/16/2020
I can't insure my new vehicle by phone, I have to go to an agency when I work on the go
In addition I am hooked on me
And you do not make more effort when the error is from you following your non -professionalism.
Thank you</v>
      </c>
    </row>
    <row r="808" ht="15.75" customHeight="1">
      <c r="A808" s="2">
        <v>1.0</v>
      </c>
      <c r="B808" s="2" t="s">
        <v>2273</v>
      </c>
      <c r="C808" s="2" t="s">
        <v>2274</v>
      </c>
      <c r="D808" s="2" t="s">
        <v>39</v>
      </c>
      <c r="E808" s="2" t="s">
        <v>14</v>
      </c>
      <c r="F808" s="2" t="s">
        <v>15</v>
      </c>
      <c r="G808" s="2" t="s">
        <v>2275</v>
      </c>
      <c r="H808" s="2" t="s">
        <v>969</v>
      </c>
      <c r="I808" s="2" t="str">
        <f>IFERROR(__xludf.DUMMYFUNCTION("GOOGLETRANSLATE(C808,""fr"",""en"")"),"Grande no matter in GMF what increases and reckless taxes")</f>
        <v>Grande no matter in GMF what increases and reckless taxes</v>
      </c>
    </row>
    <row r="809" ht="15.75" customHeight="1">
      <c r="A809" s="2">
        <v>3.0</v>
      </c>
      <c r="B809" s="2" t="s">
        <v>2276</v>
      </c>
      <c r="C809" s="2" t="s">
        <v>2277</v>
      </c>
      <c r="D809" s="2" t="s">
        <v>13</v>
      </c>
      <c r="E809" s="2" t="s">
        <v>14</v>
      </c>
      <c r="F809" s="2" t="s">
        <v>15</v>
      </c>
      <c r="G809" s="2" t="s">
        <v>1423</v>
      </c>
      <c r="H809" s="2" t="s">
        <v>17</v>
      </c>
      <c r="I809" s="2" t="str">
        <f>IFERROR(__xludf.DUMMYFUNCTION("GOOGLETRANSLATE(C809,""fr"",""en"")"),"I find car insurance too expensive but the rest is excellent.
Auto insurance for a third -party car with a bonus at around 50% is too expensive")</f>
        <v>I find car insurance too expensive but the rest is excellent.
Auto insurance for a third -party car with a bonus at around 50% is too expensive</v>
      </c>
    </row>
    <row r="810" ht="15.75" customHeight="1">
      <c r="A810" s="2">
        <v>3.0</v>
      </c>
      <c r="B810" s="2" t="s">
        <v>2278</v>
      </c>
      <c r="C810" s="2" t="s">
        <v>2279</v>
      </c>
      <c r="D810" s="2" t="s">
        <v>731</v>
      </c>
      <c r="E810" s="2" t="s">
        <v>34</v>
      </c>
      <c r="F810" s="2" t="s">
        <v>15</v>
      </c>
      <c r="G810" s="2" t="s">
        <v>2280</v>
      </c>
      <c r="H810" s="2" t="s">
        <v>68</v>
      </c>
      <c r="I810" s="2" t="str">
        <f>IFERROR(__xludf.DUMMYFUNCTION("GOOGLETRANSLATE(C810,""fr"",""en"")"),"To see later
Difficult to give an immediate opinion
Prices there is for everyone
I still stay happy because a lot of choices")</f>
        <v>To see later
Difficult to give an immediate opinion
Prices there is for everyone
I still stay happy because a lot of choices</v>
      </c>
    </row>
    <row r="811" ht="15.75" customHeight="1">
      <c r="A811" s="2">
        <v>5.0</v>
      </c>
      <c r="B811" s="2" t="s">
        <v>2281</v>
      </c>
      <c r="C811" s="2" t="s">
        <v>2282</v>
      </c>
      <c r="D811" s="2" t="s">
        <v>13</v>
      </c>
      <c r="E811" s="2" t="s">
        <v>14</v>
      </c>
      <c r="F811" s="2" t="s">
        <v>15</v>
      </c>
      <c r="G811" s="2" t="s">
        <v>197</v>
      </c>
      <c r="H811" s="2" t="s">
        <v>128</v>
      </c>
      <c r="I811" s="2" t="str">
        <f>IFERROR(__xludf.DUMMYFUNCTION("GOOGLETRANSLATE(C811,""fr"",""en"")"),"Thank you simple and fast. Pending now to see if the services are there.
I am waiting for my green card by hoping to receive it quickly")</f>
        <v>Thank you simple and fast. Pending now to see if the services are there.
I am waiting for my green card by hoping to receive it quickly</v>
      </c>
    </row>
    <row r="812" ht="15.75" customHeight="1">
      <c r="A812" s="2">
        <v>3.0</v>
      </c>
      <c r="B812" s="2" t="s">
        <v>2283</v>
      </c>
      <c r="C812" s="2" t="s">
        <v>2284</v>
      </c>
      <c r="D812" s="2" t="s">
        <v>231</v>
      </c>
      <c r="E812" s="2" t="s">
        <v>34</v>
      </c>
      <c r="F812" s="2" t="s">
        <v>15</v>
      </c>
      <c r="G812" s="2" t="s">
        <v>2285</v>
      </c>
      <c r="H812" s="2" t="s">
        <v>349</v>
      </c>
      <c r="I812" s="2" t="str">
        <f>IFERROR(__xludf.DUMMYFUNCTION("GOOGLETRANSLATE(C812,""fr"",""en"")"),"Satisfied with the service, I now have better coverage for a more interesting price; The person I had on the phone seems to me very cash ... To see later ............................")</f>
        <v>Satisfied with the service, I now have better coverage for a more interesting price; The person I had on the phone seems to me very cash ... To see later ............................</v>
      </c>
    </row>
    <row r="813" ht="15.75" customHeight="1">
      <c r="A813" s="2">
        <v>2.0</v>
      </c>
      <c r="B813" s="2" t="s">
        <v>2286</v>
      </c>
      <c r="C813" s="2" t="s">
        <v>2287</v>
      </c>
      <c r="D813" s="2" t="s">
        <v>28</v>
      </c>
      <c r="E813" s="2" t="s">
        <v>14</v>
      </c>
      <c r="F813" s="2" t="s">
        <v>15</v>
      </c>
      <c r="G813" s="2" t="s">
        <v>1821</v>
      </c>
      <c r="H813" s="2" t="s">
        <v>17</v>
      </c>
      <c r="I813" s="2" t="str">
        <f>IFERROR(__xludf.DUMMYFUNCTION("GOOGLETRANSLATE(C813,""fr"",""en"")"),"If you don't need anything you can ask us ...
For your homework it is immediate and not negotiable.
For your rights it is longer and non -negotiable. Wait and see !!!
Just the very unpleasant impression of insurance groups that charm you to sell you,"&amp;" create an image of perfection by advertising, and which then do what they want for their greatest profit, obviously !!!.")</f>
        <v>If you don't need anything you can ask us ...
For your homework it is immediate and not negotiable.
For your rights it is longer and non -negotiable. Wait and see !!!
Just the very unpleasant impression of insurance groups that charm you to sell you, create an image of perfection by advertising, and which then do what they want for their greatest profit, obviously !!!.</v>
      </c>
    </row>
    <row r="814" ht="15.75" customHeight="1">
      <c r="A814" s="2">
        <v>1.0</v>
      </c>
      <c r="B814" s="2" t="s">
        <v>2288</v>
      </c>
      <c r="C814" s="2" t="s">
        <v>2289</v>
      </c>
      <c r="D814" s="2" t="s">
        <v>406</v>
      </c>
      <c r="E814" s="2" t="s">
        <v>40</v>
      </c>
      <c r="F814" s="2" t="s">
        <v>15</v>
      </c>
      <c r="G814" s="2" t="s">
        <v>2290</v>
      </c>
      <c r="H814" s="2" t="s">
        <v>99</v>
      </c>
      <c r="I814" s="2" t="str">
        <f>IFERROR(__xludf.DUMMYFUNCTION("GOOGLETRANSLATE(C814,""fr"",""en"")"),"Poor surprise for a declared minor with a fully responsible third party. My gate automation exploded by a third -party car with a tight handbrake. I send by email a copy of the observation and very explicit photos! An electrician establishes me a quote fo"&amp;"r less than € 1,000. Result: I am announced a necessary expertise with 2 months of time just for the expertise appointment. Meanwhile, the portal no longer works and all the electric wires are in the open air ... Mail to the agency chief .ras. No one ... "&amp;"is the procedure! In short, I will take the time to question my entourage on their insurance ... In addition, the expertise box has misused my email ... and I still have to remind them to have the official convocation ... very annoying!")</f>
        <v>Poor surprise for a declared minor with a fully responsible third party. My gate automation exploded by a third -party car with a tight handbrake. I send by email a copy of the observation and very explicit photos! An electrician establishes me a quote for less than € 1,000. Result: I am announced a necessary expertise with 2 months of time just for the expertise appointment. Meanwhile, the portal no longer works and all the electric wires are in the open air ... Mail to the agency chief .ras. No one ... is the procedure! In short, I will take the time to question my entourage on their insurance ... In addition, the expertise box has misused my email ... and I still have to remind them to have the official convocation ... very annoying!</v>
      </c>
    </row>
    <row r="815" ht="15.75" customHeight="1">
      <c r="A815" s="2">
        <v>4.0</v>
      </c>
      <c r="B815" s="2" t="s">
        <v>2291</v>
      </c>
      <c r="C815" s="2" t="s">
        <v>2292</v>
      </c>
      <c r="D815" s="2" t="s">
        <v>24</v>
      </c>
      <c r="E815" s="2" t="s">
        <v>14</v>
      </c>
      <c r="F815" s="2" t="s">
        <v>15</v>
      </c>
      <c r="G815" s="2" t="s">
        <v>2205</v>
      </c>
      <c r="H815" s="2" t="s">
        <v>167</v>
      </c>
      <c r="I815" s="2" t="str">
        <f>IFERROR(__xludf.DUMMYFUNCTION("GOOGLETRANSLATE(C815,""fr"",""en"")"),"Satisfied with the a little high price service but this because of my former insurer, perfect departure reception, is waiting to see in use for the services")</f>
        <v>Satisfied with the a little high price service but this because of my former insurer, perfect departure reception, is waiting to see in use for the services</v>
      </c>
    </row>
    <row r="816" ht="15.75" customHeight="1">
      <c r="A816" s="2">
        <v>3.0</v>
      </c>
      <c r="B816" s="2" t="s">
        <v>2293</v>
      </c>
      <c r="C816" s="2" t="s">
        <v>2294</v>
      </c>
      <c r="D816" s="2" t="s">
        <v>13</v>
      </c>
      <c r="E816" s="2" t="s">
        <v>14</v>
      </c>
      <c r="F816" s="2" t="s">
        <v>15</v>
      </c>
      <c r="G816" s="2" t="s">
        <v>2295</v>
      </c>
      <c r="H816" s="2" t="s">
        <v>194</v>
      </c>
      <c r="I816" s="2" t="str">
        <f>IFERROR(__xludf.DUMMYFUNCTION("GOOGLETRANSLATE(C816,""fr"",""en"")"),"Competitive prices when signing the contract. During renewal the following year, the increase was extraordinary +10.2% without any element justifying this increase other than many accidents in my region with this type of vehicle (which is properly unjusti"&amp;"fied due to a Very reliable and safe vehicle C5 high -end; it should be noted that my region is the Landes with 400,000 inhabitants; that the customer must be increased in the Paris region with 11,000,000 inhabitants.)")</f>
        <v>Competitive prices when signing the contract. During renewal the following year, the increase was extraordinary +10.2% without any element justifying this increase other than many accidents in my region with this type of vehicle (which is properly unjustified due to a Very reliable and safe vehicle C5 high -end; it should be noted that my region is the Landes with 400,000 inhabitants; that the customer must be increased in the Paris region with 11,000,000 inhabitants.)</v>
      </c>
    </row>
    <row r="817" ht="15.75" customHeight="1">
      <c r="A817" s="2">
        <v>4.0</v>
      </c>
      <c r="B817" s="2" t="s">
        <v>2296</v>
      </c>
      <c r="C817" s="2" t="s">
        <v>2297</v>
      </c>
      <c r="D817" s="2" t="s">
        <v>65</v>
      </c>
      <c r="E817" s="2" t="s">
        <v>34</v>
      </c>
      <c r="F817" s="2" t="s">
        <v>15</v>
      </c>
      <c r="G817" s="2" t="s">
        <v>51</v>
      </c>
      <c r="H817" s="2" t="s">
        <v>52</v>
      </c>
      <c r="I817" s="2" t="str">
        <f>IFERROR(__xludf.DUMMYFUNCTION("GOOGLETRANSLATE(C817,""fr"",""en"")"),"The MGP mutual is expensive! The correct reimbursement level! There are undoubtedly cheaper mutuals but it is difficult to make comparisons")</f>
        <v>The MGP mutual is expensive! The correct reimbursement level! There are undoubtedly cheaper mutuals but it is difficult to make comparisons</v>
      </c>
    </row>
    <row r="818" ht="15.75" customHeight="1">
      <c r="A818" s="2">
        <v>2.0</v>
      </c>
      <c r="B818" s="2" t="s">
        <v>2298</v>
      </c>
      <c r="C818" s="2" t="s">
        <v>2299</v>
      </c>
      <c r="D818" s="2" t="s">
        <v>71</v>
      </c>
      <c r="E818" s="2" t="s">
        <v>14</v>
      </c>
      <c r="F818" s="2" t="s">
        <v>15</v>
      </c>
      <c r="G818" s="2" t="s">
        <v>2300</v>
      </c>
      <c r="H818" s="2" t="s">
        <v>349</v>
      </c>
      <c r="I818" s="2" t="str">
        <f>IFERROR(__xludf.DUMMYFUNCTION("GOOGLETRANSLATE(C818,""fr"",""en"")"),"Hi there ,
To this day, I am very surprised and disappointed with the reaction of the mayf following a break in ice.
While I was driving on the highway, I received a pebble on the windshield. The impact being important, I had to change it. The Maïf did "&amp;"not reimburse me the invoice entirely, I had to pay € 200 in my pocket ...
In fact, in the detail of the invoice were invoiced the rain sensors and the person who managed my file judged that it was not compulsory to change them so non -refundable.
I hav"&amp;"e been assured in the Maïf for thirty years and I only used their service to which I have pointed out to them when I went to see them. I was told that there had been too many abuses for some time. Very disappointed and angry, I asked to see the mediator b"&amp;"ut I think it's lost.
Please, your opinion interests me.
Cordially")</f>
        <v>Hi there ,
To this day, I am very surprised and disappointed with the reaction of the mayf following a break in ice.
While I was driving on the highway, I received a pebble on the windshield. The impact being important, I had to change it. The Maïf did not reimburse me the invoice entirely, I had to pay € 200 in my pocket ...
In fact, in the detail of the invoice were invoiced the rain sensors and the person who managed my file judged that it was not compulsory to change them so non -refundable.
I have been assured in the Maïf for thirty years and I only used their service to which I have pointed out to them when I went to see them. I was told that there had been too many abuses for some time. Very disappointed and angry, I asked to see the mediator but I think it's lost.
Please, your opinion interests me.
Cordially</v>
      </c>
    </row>
    <row r="819" ht="15.75" customHeight="1">
      <c r="A819" s="2">
        <v>1.0</v>
      </c>
      <c r="B819" s="2" t="s">
        <v>2301</v>
      </c>
      <c r="C819" s="2" t="s">
        <v>2302</v>
      </c>
      <c r="D819" s="2" t="s">
        <v>13</v>
      </c>
      <c r="E819" s="2" t="s">
        <v>14</v>
      </c>
      <c r="F819" s="2" t="s">
        <v>15</v>
      </c>
      <c r="G819" s="2" t="s">
        <v>1387</v>
      </c>
      <c r="H819" s="2" t="s">
        <v>331</v>
      </c>
      <c r="I819" s="2" t="str">
        <f>IFERROR(__xludf.DUMMYFUNCTION("GOOGLETRANSLATE(C819,""fr"",""en"")"),"We give you a good price and when the new deadline arrives the price climbs at a crazy speed and this without any claim")</f>
        <v>We give you a good price and when the new deadline arrives the price climbs at a crazy speed and this without any claim</v>
      </c>
    </row>
    <row r="820" ht="15.75" customHeight="1">
      <c r="A820" s="2">
        <v>5.0</v>
      </c>
      <c r="B820" s="2" t="s">
        <v>2303</v>
      </c>
      <c r="C820" s="2" t="s">
        <v>2304</v>
      </c>
      <c r="D820" s="2" t="s">
        <v>13</v>
      </c>
      <c r="E820" s="2" t="s">
        <v>14</v>
      </c>
      <c r="F820" s="2" t="s">
        <v>15</v>
      </c>
      <c r="G820" s="2" t="s">
        <v>552</v>
      </c>
      <c r="H820" s="2" t="s">
        <v>21</v>
      </c>
      <c r="I820" s="2" t="str">
        <f>IFERROR(__xludf.DUMMYFUNCTION("GOOGLETRANSLATE(C820,""fr"",""en"")"),"Simple and practical Tarf Very interesting the subscription is done quickly
I recommend this insurance
In all risks it remains very correct in prices")</f>
        <v>Simple and practical Tarf Very interesting the subscription is done quickly
I recommend this insurance
In all risks it remains very correct in prices</v>
      </c>
    </row>
    <row r="821" ht="15.75" customHeight="1">
      <c r="A821" s="2">
        <v>3.0</v>
      </c>
      <c r="B821" s="2" t="s">
        <v>2305</v>
      </c>
      <c r="C821" s="2" t="s">
        <v>2306</v>
      </c>
      <c r="D821" s="2" t="s">
        <v>65</v>
      </c>
      <c r="E821" s="2" t="s">
        <v>34</v>
      </c>
      <c r="F821" s="2" t="s">
        <v>15</v>
      </c>
      <c r="G821" s="2" t="s">
        <v>741</v>
      </c>
      <c r="H821" s="2" t="s">
        <v>42</v>
      </c>
      <c r="I821" s="2" t="str">
        <f>IFERROR(__xludf.DUMMYFUNCTION("GOOGLETRANSLATE(C821,""fr"",""en"")"),"Hello I have the salary guarantee but the treatment to be paid is too long. Take waiting suddenly to difgue financial but overall the service with the very effective advisers.")</f>
        <v>Hello I have the salary guarantee but the treatment to be paid is too long. Take waiting suddenly to difgue financial but overall the service with the very effective advisers.</v>
      </c>
    </row>
    <row r="822" ht="15.75" customHeight="1">
      <c r="A822" s="2">
        <v>3.0</v>
      </c>
      <c r="B822" s="2" t="s">
        <v>2307</v>
      </c>
      <c r="C822" s="2" t="s">
        <v>2308</v>
      </c>
      <c r="D822" s="2" t="s">
        <v>96</v>
      </c>
      <c r="E822" s="2" t="s">
        <v>97</v>
      </c>
      <c r="F822" s="2" t="s">
        <v>15</v>
      </c>
      <c r="G822" s="2" t="s">
        <v>2309</v>
      </c>
      <c r="H822" s="2" t="s">
        <v>339</v>
      </c>
      <c r="I822" s="2" t="str">
        <f>IFERROR(__xludf.DUMMYFUNCTION("GOOGLETRANSLATE(C822,""fr"",""en"")"),"On a work stoppage since December still not compensation contact at least 5 times the same person very vague response has been going to me as a priority for at least 2 months I think it is assurances not serious")</f>
        <v>On a work stoppage since December still not compensation contact at least 5 times the same person very vague response has been going to me as a priority for at least 2 months I think it is assurances not serious</v>
      </c>
    </row>
    <row r="823" ht="15.75" customHeight="1">
      <c r="A823" s="2">
        <v>4.0</v>
      </c>
      <c r="B823" s="2" t="s">
        <v>2310</v>
      </c>
      <c r="C823" s="2" t="s">
        <v>2311</v>
      </c>
      <c r="D823" s="2" t="s">
        <v>209</v>
      </c>
      <c r="E823" s="2" t="s">
        <v>14</v>
      </c>
      <c r="F823" s="2" t="s">
        <v>15</v>
      </c>
      <c r="G823" s="2" t="s">
        <v>2312</v>
      </c>
      <c r="H823" s="2" t="s">
        <v>99</v>
      </c>
      <c r="I823" s="2" t="str">
        <f>IFERROR(__xludf.DUMMYFUNCTION("GOOGLETRANSLATE(C823,""fr"",""en"")"),"Customer for 35 years have 3 vehicles and a large scooter Total insurance and school insurance plus the mutual we are more than delighted to have the maaf they were always present in all cases, even more in certain fields we could not We go from this insu"&amp;"rance, are very surprised by certain comments which really do not represent the MAAF.")</f>
        <v>Customer for 35 years have 3 vehicles and a large scooter Total insurance and school insurance plus the mutual we are more than delighted to have the maaf they were always present in all cases, even more in certain fields we could not We go from this insurance, are very surprised by certain comments which really do not represent the MAAF.</v>
      </c>
    </row>
    <row r="824" ht="15.75" customHeight="1">
      <c r="A824" s="2">
        <v>2.0</v>
      </c>
      <c r="B824" s="2" t="s">
        <v>2313</v>
      </c>
      <c r="C824" s="2" t="s">
        <v>2314</v>
      </c>
      <c r="D824" s="2" t="s">
        <v>24</v>
      </c>
      <c r="E824" s="2" t="s">
        <v>14</v>
      </c>
      <c r="F824" s="2" t="s">
        <v>15</v>
      </c>
      <c r="G824" s="2" t="s">
        <v>1082</v>
      </c>
      <c r="H824" s="2" t="s">
        <v>21</v>
      </c>
      <c r="I824" s="2" t="str">
        <f>IFERROR(__xludf.DUMMYFUNCTION("GOOGLETRANSLATE(C824,""fr"",""en"")"),"Too expensive especially for a person who has had his license for 12 years, even if I have not had a car for 3 years, I have always driven the car from my roommate or rental cars via yes because")</f>
        <v>Too expensive especially for a person who has had his license for 12 years, even if I have not had a car for 3 years, I have always driven the car from my roommate or rental cars via yes because</v>
      </c>
    </row>
    <row r="825" ht="15.75" customHeight="1">
      <c r="A825" s="2">
        <v>5.0</v>
      </c>
      <c r="B825" s="2" t="s">
        <v>2315</v>
      </c>
      <c r="C825" s="2" t="s">
        <v>2316</v>
      </c>
      <c r="D825" s="2" t="s">
        <v>13</v>
      </c>
      <c r="E825" s="2" t="s">
        <v>14</v>
      </c>
      <c r="F825" s="2" t="s">
        <v>15</v>
      </c>
      <c r="G825" s="2" t="s">
        <v>1702</v>
      </c>
      <c r="H825" s="2" t="s">
        <v>128</v>
      </c>
      <c r="I825" s="2" t="str">
        <f>IFERROR(__xludf.DUMMYFUNCTION("GOOGLETRANSLATE(C825,""fr"",""en"")"),"Transparent service, and easy to use. The YourDrive service is very interesting to raise awareness of driving and empowering her while giving her goals.")</f>
        <v>Transparent service, and easy to use. The YourDrive service is very interesting to raise awareness of driving and empowering her while giving her goals.</v>
      </c>
    </row>
    <row r="826" ht="15.75" customHeight="1">
      <c r="A826" s="2">
        <v>5.0</v>
      </c>
      <c r="B826" s="2" t="s">
        <v>2317</v>
      </c>
      <c r="C826" s="2" t="s">
        <v>2318</v>
      </c>
      <c r="D826" s="2" t="s">
        <v>13</v>
      </c>
      <c r="E826" s="2" t="s">
        <v>14</v>
      </c>
      <c r="F826" s="2" t="s">
        <v>15</v>
      </c>
      <c r="G826" s="2" t="s">
        <v>342</v>
      </c>
      <c r="H826" s="2" t="s">
        <v>167</v>
      </c>
      <c r="I826" s="2" t="str">
        <f>IFERROR(__xludf.DUMMYFUNCTION("GOOGLETRANSLATE(C826,""fr"",""en"")"),"Very good positioning on insurance competition.
Listening service and very professional interlocutor (Lle).
I recommend this company for its effectiveness.")</f>
        <v>Very good positioning on insurance competition.
Listening service and very professional interlocutor (Lle).
I recommend this company for its effectiveness.</v>
      </c>
    </row>
    <row r="827" ht="15.75" customHeight="1">
      <c r="A827" s="2">
        <v>5.0</v>
      </c>
      <c r="B827" s="2" t="s">
        <v>2319</v>
      </c>
      <c r="C827" s="2" t="s">
        <v>2320</v>
      </c>
      <c r="D827" s="2" t="s">
        <v>24</v>
      </c>
      <c r="E827" s="2" t="s">
        <v>14</v>
      </c>
      <c r="F827" s="2" t="s">
        <v>15</v>
      </c>
      <c r="G827" s="2" t="s">
        <v>2321</v>
      </c>
      <c r="H827" s="2" t="s">
        <v>167</v>
      </c>
      <c r="I827" s="2" t="str">
        <f>IFERROR(__xludf.DUMMYFUNCTION("GOOGLETRANSLATE(C827,""fr"",""en"")"),"Quick quote made on the internet, responsive and very friendly staff on the phone, fast subscription and good value for money. Provisional green card sent quickly")</f>
        <v>Quick quote made on the internet, responsive and very friendly staff on the phone, fast subscription and good value for money. Provisional green card sent quickly</v>
      </c>
    </row>
    <row r="828" ht="15.75" customHeight="1">
      <c r="A828" s="2">
        <v>3.0</v>
      </c>
      <c r="B828" s="2" t="s">
        <v>2322</v>
      </c>
      <c r="C828" s="2" t="s">
        <v>2323</v>
      </c>
      <c r="D828" s="2" t="s">
        <v>39</v>
      </c>
      <c r="E828" s="2" t="s">
        <v>14</v>
      </c>
      <c r="F828" s="2" t="s">
        <v>15</v>
      </c>
      <c r="G828" s="2" t="s">
        <v>760</v>
      </c>
      <c r="H828" s="2" t="s">
        <v>42</v>
      </c>
      <c r="I828" s="2" t="str">
        <f>IFERROR(__xludf.DUMMYFUNCTION("GOOGLETRANSLATE(C828,""fr"",""en"")"),"I discover the site, it takes a little time to take it in hand. Pleasant to look, the colors are a plus.
This does not replace physical contact with the advisor but it helps well on a daily basis")</f>
        <v>I discover the site, it takes a little time to take it in hand. Pleasant to look, the colors are a plus.
This does not replace physical contact with the advisor but it helps well on a daily basis</v>
      </c>
    </row>
    <row r="829" ht="15.75" customHeight="1">
      <c r="A829" s="2">
        <v>4.0</v>
      </c>
      <c r="B829" s="2" t="s">
        <v>2324</v>
      </c>
      <c r="C829" s="2" t="s">
        <v>2325</v>
      </c>
      <c r="D829" s="2" t="s">
        <v>24</v>
      </c>
      <c r="E829" s="2" t="s">
        <v>14</v>
      </c>
      <c r="F829" s="2" t="s">
        <v>15</v>
      </c>
      <c r="G829" s="2" t="s">
        <v>2326</v>
      </c>
      <c r="H829" s="2" t="s">
        <v>167</v>
      </c>
      <c r="I829" s="2" t="str">
        <f>IFERROR(__xludf.DUMMYFUNCTION("GOOGLETRANSLATE(C829,""fr"",""en"")"),"I am satisfied with the accessibility of the site, as well as the telephone welcome. The price suits me. I hope to find so much efficiency if necessary.")</f>
        <v>I am satisfied with the accessibility of the site, as well as the telephone welcome. The price suits me. I hope to find so much efficiency if necessary.</v>
      </c>
    </row>
    <row r="830" ht="15.75" customHeight="1">
      <c r="A830" s="2">
        <v>5.0</v>
      </c>
      <c r="B830" s="2" t="s">
        <v>2327</v>
      </c>
      <c r="C830" s="2" t="s">
        <v>2328</v>
      </c>
      <c r="D830" s="2" t="s">
        <v>13</v>
      </c>
      <c r="E830" s="2" t="s">
        <v>14</v>
      </c>
      <c r="F830" s="2" t="s">
        <v>15</v>
      </c>
      <c r="G830" s="2" t="s">
        <v>1199</v>
      </c>
      <c r="H830" s="2" t="s">
        <v>21</v>
      </c>
      <c r="I830" s="2" t="str">
        <f>IFERROR(__xludf.DUMMYFUNCTION("GOOGLETRANSLATE(C830,""fr"",""en"")"),"As usual very happy with the Direct Assurance service
Simple and quick to obtain a quote and subscribe to insurance.
Really great ..
I highly recommend")</f>
        <v>As usual very happy with the Direct Assurance service
Simple and quick to obtain a quote and subscribe to insurance.
Really great ..
I highly recommend</v>
      </c>
    </row>
    <row r="831" ht="15.75" customHeight="1">
      <c r="A831" s="2">
        <v>2.0</v>
      </c>
      <c r="B831" s="2" t="s">
        <v>2329</v>
      </c>
      <c r="C831" s="2" t="s">
        <v>2330</v>
      </c>
      <c r="D831" s="2" t="s">
        <v>55</v>
      </c>
      <c r="E831" s="2" t="s">
        <v>56</v>
      </c>
      <c r="F831" s="2" t="s">
        <v>15</v>
      </c>
      <c r="G831" s="2" t="s">
        <v>2331</v>
      </c>
      <c r="H831" s="2" t="s">
        <v>62</v>
      </c>
      <c r="I831" s="2" t="str">
        <f>IFERROR(__xludf.DUMMYFUNCTION("GOOGLETRANSLATE(C831,""fr"",""en"")"),"staff who have no speech, no respect for the customer, you are told that your contract has been reactivated and you no longer receive a green card fired as a clean evil")</f>
        <v>staff who have no speech, no respect for the customer, you are told that your contract has been reactivated and you no longer receive a green card fired as a clean evil</v>
      </c>
    </row>
    <row r="832" ht="15.75" customHeight="1">
      <c r="A832" s="2">
        <v>1.0</v>
      </c>
      <c r="B832" s="2" t="s">
        <v>2332</v>
      </c>
      <c r="C832" s="2" t="s">
        <v>2333</v>
      </c>
      <c r="D832" s="2" t="s">
        <v>231</v>
      </c>
      <c r="E832" s="2" t="s">
        <v>34</v>
      </c>
      <c r="F832" s="2" t="s">
        <v>15</v>
      </c>
      <c r="G832" s="2" t="s">
        <v>2334</v>
      </c>
      <c r="H832" s="2" t="s">
        <v>614</v>
      </c>
      <c r="I832" s="2" t="str">
        <f>IFERROR(__xludf.DUMMYFUNCTION("GOOGLETRANSLATE(C832,""fr"",""en"")"),"My young son was approached by phone. He did not understand who his interlocutor was but he gave his bank details thinking that it was a state organization ... He received a letter a month later. It was there that he understood what had happened but as he"&amp;" had signed nothing he did not worry. He ends up with monthly presvents for 3 months but he has no income! !!! It is I who pays his mutual insurance for another company. I am chipped in these ways of proceeding and I do not know how to terminate because n"&amp;"o information other than Neoliane. If someone has an idea, I am interested.")</f>
        <v>My young son was approached by phone. He did not understand who his interlocutor was but he gave his bank details thinking that it was a state organization ... He received a letter a month later. It was there that he understood what had happened but as he had signed nothing he did not worry. He ends up with monthly presvents for 3 months but he has no income! !!! It is I who pays his mutual insurance for another company. I am chipped in these ways of proceeding and I do not know how to terminate because no information other than Neoliane. If someone has an idea, I am interested.</v>
      </c>
    </row>
    <row r="833" ht="15.75" customHeight="1">
      <c r="A833" s="2">
        <v>1.0</v>
      </c>
      <c r="B833" s="2" t="s">
        <v>2335</v>
      </c>
      <c r="C833" s="2" t="s">
        <v>2336</v>
      </c>
      <c r="D833" s="2" t="s">
        <v>39</v>
      </c>
      <c r="E833" s="2" t="s">
        <v>40</v>
      </c>
      <c r="F833" s="2" t="s">
        <v>15</v>
      </c>
      <c r="G833" s="2" t="s">
        <v>2337</v>
      </c>
      <c r="H833" s="2" t="s">
        <v>636</v>
      </c>
      <c r="I833" s="2" t="str">
        <f>IFERROR(__xludf.DUMMYFUNCTION("GOOGLETRANSLATE(C833,""fr"",""en"")"),"Yesterday March 27 at 2:35 p.m. my husband called to declare a claim.")</f>
        <v>Yesterday March 27 at 2:35 p.m. my husband called to declare a claim.</v>
      </c>
    </row>
    <row r="834" ht="15.75" customHeight="1">
      <c r="A834" s="2">
        <v>1.0</v>
      </c>
      <c r="B834" s="2" t="s">
        <v>2338</v>
      </c>
      <c r="C834" s="2" t="s">
        <v>2339</v>
      </c>
      <c r="D834" s="2" t="s">
        <v>625</v>
      </c>
      <c r="E834" s="2" t="s">
        <v>34</v>
      </c>
      <c r="F834" s="2" t="s">
        <v>15</v>
      </c>
      <c r="G834" s="2" t="s">
        <v>291</v>
      </c>
      <c r="H834" s="2" t="s">
        <v>292</v>
      </c>
      <c r="I834" s="2" t="str">
        <f>IFERROR(__xludf.DUMMYFUNCTION("GOOGLETRANSLATE(C834,""fr"",""en"")"),"I was contacted by phone, and I blame myself terribly, because my reimbursements are ridiculous, it costs me very expensive. I will denounce this insurance, because it is impossible to have an advisor, no response to my emails? Be careful when you are tir"&amp;"ed by phone !! I tried several times to call the person who had bait me, he never answers!
 Now I have made an appointment with another insurer who is a storefront !!")</f>
        <v>I was contacted by phone, and I blame myself terribly, because my reimbursements are ridiculous, it costs me very expensive. I will denounce this insurance, because it is impossible to have an advisor, no response to my emails? Be careful when you are tired by phone !! I tried several times to call the person who had bait me, he never answers!
 Now I have made an appointment with another insurer who is a storefront !!</v>
      </c>
    </row>
    <row r="835" ht="15.75" customHeight="1">
      <c r="A835" s="2">
        <v>2.0</v>
      </c>
      <c r="B835" s="2" t="s">
        <v>2340</v>
      </c>
      <c r="C835" s="2" t="s">
        <v>2341</v>
      </c>
      <c r="D835" s="2" t="s">
        <v>13</v>
      </c>
      <c r="E835" s="2" t="s">
        <v>14</v>
      </c>
      <c r="F835" s="2" t="s">
        <v>15</v>
      </c>
      <c r="G835" s="2" t="s">
        <v>2342</v>
      </c>
      <c r="H835" s="2" t="s">
        <v>52</v>
      </c>
      <c r="I835" s="2" t="str">
        <f>IFERROR(__xludf.DUMMYFUNCTION("GOOGLETRANSLATE(C835,""fr"",""en"")"),"I was told that the contract for my Twingo was not negotiable lean a maximum of 1500km/year
I am obliged to go to competition")</f>
        <v>I was told that the contract for my Twingo was not negotiable lean a maximum of 1500km/year
I am obliged to go to competition</v>
      </c>
    </row>
    <row r="836" ht="15.75" customHeight="1">
      <c r="A836" s="2">
        <v>5.0</v>
      </c>
      <c r="B836" s="2" t="s">
        <v>2343</v>
      </c>
      <c r="C836" s="2" t="s">
        <v>2344</v>
      </c>
      <c r="D836" s="2" t="s">
        <v>13</v>
      </c>
      <c r="E836" s="2" t="s">
        <v>14</v>
      </c>
      <c r="F836" s="2" t="s">
        <v>15</v>
      </c>
      <c r="G836" s="2" t="s">
        <v>239</v>
      </c>
      <c r="H836" s="2" t="s">
        <v>167</v>
      </c>
      <c r="I836" s="2" t="str">
        <f>IFERROR(__xludf.DUMMYFUNCTION("GOOGLETRANSLATE(C836,""fr"",""en"")"),"I am very satisfied with the welcome and the advice obtained during my call for a disaster. Our personal space is very easy to use. The prices and guarantees are very interesting.")</f>
        <v>I am very satisfied with the welcome and the advice obtained during my call for a disaster. Our personal space is very easy to use. The prices and guarantees are very interesting.</v>
      </c>
    </row>
    <row r="837" ht="15.75" customHeight="1">
      <c r="A837" s="2">
        <v>5.0</v>
      </c>
      <c r="B837" s="2" t="s">
        <v>2345</v>
      </c>
      <c r="C837" s="2" t="s">
        <v>2346</v>
      </c>
      <c r="D837" s="2" t="s">
        <v>55</v>
      </c>
      <c r="E837" s="2" t="s">
        <v>56</v>
      </c>
      <c r="F837" s="2" t="s">
        <v>15</v>
      </c>
      <c r="G837" s="2" t="s">
        <v>76</v>
      </c>
      <c r="H837" s="2" t="s">
        <v>42</v>
      </c>
      <c r="I837" s="2" t="str">
        <f>IFERROR(__xludf.DUMMYFUNCTION("GOOGLETRANSLATE(C837,""fr"",""en"")"),"Satisfied with customer service. The responses provided by the advisor were not very clear.
AMV prices are very competitive compared to the various insurance companies consulted.
Thank you .")</f>
        <v>Satisfied with customer service. The responses provided by the advisor were not very clear.
AMV prices are very competitive compared to the various insurance companies consulted.
Thank you .</v>
      </c>
    </row>
    <row r="838" ht="15.75" customHeight="1">
      <c r="A838" s="2">
        <v>4.0</v>
      </c>
      <c r="B838" s="2" t="s">
        <v>2347</v>
      </c>
      <c r="C838" s="2" t="s">
        <v>2348</v>
      </c>
      <c r="D838" s="2" t="s">
        <v>13</v>
      </c>
      <c r="E838" s="2" t="s">
        <v>14</v>
      </c>
      <c r="F838" s="2" t="s">
        <v>15</v>
      </c>
      <c r="G838" s="2" t="s">
        <v>2349</v>
      </c>
      <c r="H838" s="2" t="s">
        <v>42</v>
      </c>
      <c r="I838" s="2" t="str">
        <f>IFERROR(__xludf.DUMMYFUNCTION("GOOGLETRANSLATE(C838,""fr"",""en"")"),"I am satisfied for the insurance price. I will share the insurance for all my friends who will buy a car or already with a car. I thank")</f>
        <v>I am satisfied for the insurance price. I will share the insurance for all my friends who will buy a car or already with a car. I thank</v>
      </c>
    </row>
    <row r="839" ht="15.75" customHeight="1">
      <c r="A839" s="2">
        <v>1.0</v>
      </c>
      <c r="B839" s="2" t="s">
        <v>2350</v>
      </c>
      <c r="C839" s="2" t="s">
        <v>2351</v>
      </c>
      <c r="D839" s="2" t="s">
        <v>45</v>
      </c>
      <c r="E839" s="2" t="s">
        <v>14</v>
      </c>
      <c r="F839" s="2" t="s">
        <v>15</v>
      </c>
      <c r="G839" s="2" t="s">
        <v>2352</v>
      </c>
      <c r="H839" s="2" t="s">
        <v>381</v>
      </c>
      <c r="I839" s="2" t="str">
        <f>IFERROR(__xludf.DUMMYFUNCTION("GOOGLETRANSLATE(C839,""fr"",""en"")"),"Axa Internet to avoid a real problem at all costs.
incompetent staff, I have subscribed to my insurance for their homes for 45 days, and I still haven't received the green card, I call customer service several times 0970809070, I explain the situation to"&amp;" them, they answer me that is the post that is wrong. Today even I call them to provide me with an insurance certificate because I am leaving we travel abroad, the hostess replies that she can only send me a certificate for Europe and that she will serve "&amp;"me Nothing for the foreigner. I ask her to find me a solution she said to me I have to terminate the contract and go to another agency and like what she cannot provide me with proof for my car. I no longer know what to do I am lost.")</f>
        <v>Axa Internet to avoid a real problem at all costs.
incompetent staff, I have subscribed to my insurance for their homes for 45 days, and I still haven't received the green card, I call customer service several times 0970809070, I explain the situation to them, they answer me that is the post that is wrong. Today even I call them to provide me with an insurance certificate because I am leaving we travel abroad, the hostess replies that she can only send me a certificate for Europe and that she will serve me Nothing for the foreigner. I ask her to find me a solution she said to me I have to terminate the contract and go to another agency and like what she cannot provide me with proof for my car. I no longer know what to do I am lost.</v>
      </c>
    </row>
    <row r="840" ht="15.75" customHeight="1">
      <c r="A840" s="2">
        <v>2.0</v>
      </c>
      <c r="B840" s="2" t="s">
        <v>2353</v>
      </c>
      <c r="C840" s="2" t="s">
        <v>2354</v>
      </c>
      <c r="D840" s="2" t="s">
        <v>246</v>
      </c>
      <c r="E840" s="2" t="s">
        <v>34</v>
      </c>
      <c r="F840" s="2" t="s">
        <v>15</v>
      </c>
      <c r="G840" s="2" t="s">
        <v>536</v>
      </c>
      <c r="H840" s="2" t="s">
        <v>536</v>
      </c>
      <c r="I840" s="2" t="str">
        <f>IFERROR(__xludf.DUMMYFUNCTION("GOOGLETRANSLATE(C840,""fr"",""en"")"),"The prices are attractive certainly but not to mention the very warm welcome of Rali who was more than satisfactory and who knew how to respond to my requests, I am absolutely not satisfied with the extremely long response times concerning any request mad"&amp;"e via their site! It is unacceptable to have to wait 3 weeks for an answer to an optical quote! The fact of receiving reimbursement statements every 3 months, unheard of for me! The refusal of a reimbursement (50 euros annual) for a visit to the podiatris"&amp;"t after having played on the terms registered on the prescription and sent by Social Security to do it!")</f>
        <v>The prices are attractive certainly but not to mention the very warm welcome of Rali who was more than satisfactory and who knew how to respond to my requests, I am absolutely not satisfied with the extremely long response times concerning any request made via their site! It is unacceptable to have to wait 3 weeks for an answer to an optical quote! The fact of receiving reimbursement statements every 3 months, unheard of for me! The refusal of a reimbursement (50 euros annual) for a visit to the podiatrist after having played on the terms registered on the prescription and sent by Social Security to do it!</v>
      </c>
    </row>
    <row r="841" ht="15.75" customHeight="1">
      <c r="A841" s="2">
        <v>4.0</v>
      </c>
      <c r="B841" s="2" t="s">
        <v>2355</v>
      </c>
      <c r="C841" s="2" t="s">
        <v>2356</v>
      </c>
      <c r="D841" s="2" t="s">
        <v>13</v>
      </c>
      <c r="E841" s="2" t="s">
        <v>14</v>
      </c>
      <c r="F841" s="2" t="s">
        <v>15</v>
      </c>
      <c r="G841" s="2" t="s">
        <v>677</v>
      </c>
      <c r="H841" s="2" t="s">
        <v>21</v>
      </c>
      <c r="I841" s="2" t="str">
        <f>IFERROR(__xludf.DUMMYFUNCTION("GOOGLETRANSLATE(C841,""fr"",""en"")"),"I am satisfied with the service direct insurance and the satisfactory price I think to call the service to ensure other vehicle for my home thank you")</f>
        <v>I am satisfied with the service direct insurance and the satisfactory price I think to call the service to ensure other vehicle for my home thank you</v>
      </c>
    </row>
    <row r="842" ht="15.75" customHeight="1">
      <c r="A842" s="2">
        <v>5.0</v>
      </c>
      <c r="B842" s="2" t="s">
        <v>2357</v>
      </c>
      <c r="C842" s="2" t="s">
        <v>2358</v>
      </c>
      <c r="D842" s="2" t="s">
        <v>24</v>
      </c>
      <c r="E842" s="2" t="s">
        <v>14</v>
      </c>
      <c r="F842" s="2" t="s">
        <v>15</v>
      </c>
      <c r="G842" s="2" t="s">
        <v>203</v>
      </c>
      <c r="H842" s="2" t="s">
        <v>42</v>
      </c>
      <c r="I842" s="2" t="str">
        <f>IFERROR(__xludf.DUMMYFUNCTION("GOOGLETRANSLATE(C842,""fr"",""en"")"),"The telephone operator who took care of my file was very kind and effective. I will recommend your insurance to my colleagues and friends, with sponsorship it is very interesting.
Thank you")</f>
        <v>The telephone operator who took care of my file was very kind and effective. I will recommend your insurance to my colleagues and friends, with sponsorship it is very interesting.
Thank you</v>
      </c>
    </row>
    <row r="843" ht="15.75" customHeight="1">
      <c r="A843" s="2">
        <v>3.0</v>
      </c>
      <c r="B843" s="2" t="s">
        <v>2359</v>
      </c>
      <c r="C843" s="2" t="s">
        <v>2360</v>
      </c>
      <c r="D843" s="2" t="s">
        <v>24</v>
      </c>
      <c r="E843" s="2" t="s">
        <v>14</v>
      </c>
      <c r="F843" s="2" t="s">
        <v>15</v>
      </c>
      <c r="G843" s="2" t="s">
        <v>2361</v>
      </c>
      <c r="H843" s="2" t="s">
        <v>211</v>
      </c>
      <c r="I843" s="2" t="str">
        <f>IFERROR(__xludf.DUMMYFUNCTION("GOOGLETRANSLATE(C843,""fr"",""en"")"),"Classic insurance, which seeks not to compensate its customers.")</f>
        <v>Classic insurance, which seeks not to compensate its customers.</v>
      </c>
    </row>
    <row r="844" ht="15.75" customHeight="1">
      <c r="A844" s="2">
        <v>3.0</v>
      </c>
      <c r="B844" s="2" t="s">
        <v>2362</v>
      </c>
      <c r="C844" s="2" t="s">
        <v>2363</v>
      </c>
      <c r="D844" s="2" t="s">
        <v>13</v>
      </c>
      <c r="E844" s="2" t="s">
        <v>14</v>
      </c>
      <c r="F844" s="2" t="s">
        <v>15</v>
      </c>
      <c r="G844" s="2" t="s">
        <v>51</v>
      </c>
      <c r="H844" s="2" t="s">
        <v>52</v>
      </c>
      <c r="I844" s="2" t="str">
        <f>IFERROR(__xludf.DUMMYFUNCTION("GOOGLETRANSLATE(C844,""fr"",""en"")"),"Reasonable and honest insurer, with everything you find on the market it remains affordable and above all you have a customer service, that it is explained rather quickly, I cannot decide on claims because I never had. My opinion is on the opening, termin"&amp;"ation and reopening of contract.")</f>
        <v>Reasonable and honest insurer, with everything you find on the market it remains affordable and above all you have a customer service, that it is explained rather quickly, I cannot decide on claims because I never had. My opinion is on the opening, termination and reopening of contract.</v>
      </c>
    </row>
    <row r="845" ht="15.75" customHeight="1">
      <c r="A845" s="2">
        <v>4.0</v>
      </c>
      <c r="B845" s="2" t="s">
        <v>2364</v>
      </c>
      <c r="C845" s="2" t="s">
        <v>2365</v>
      </c>
      <c r="D845" s="2" t="s">
        <v>24</v>
      </c>
      <c r="E845" s="2" t="s">
        <v>14</v>
      </c>
      <c r="F845" s="2" t="s">
        <v>15</v>
      </c>
      <c r="G845" s="2" t="s">
        <v>2366</v>
      </c>
      <c r="H845" s="2" t="s">
        <v>128</v>
      </c>
      <c r="I845" s="2" t="str">
        <f>IFERROR(__xludf.DUMMYFUNCTION("GOOGLETRANSLATE(C845,""fr"",""en"")"),"I'M SATISFIED
Prices suit me
Simple and practical
I recommend this insurance to everyone
A customer service very
THANK YOU")</f>
        <v>I'M SATISFIED
Prices suit me
Simple and practical
I recommend this insurance to everyone
A customer service very
THANK YOU</v>
      </c>
    </row>
    <row r="846" ht="15.75" customHeight="1">
      <c r="A846" s="2">
        <v>5.0</v>
      </c>
      <c r="B846" s="2" t="s">
        <v>2367</v>
      </c>
      <c r="C846" s="2" t="s">
        <v>2368</v>
      </c>
      <c r="D846" s="2" t="s">
        <v>24</v>
      </c>
      <c r="E846" s="2" t="s">
        <v>14</v>
      </c>
      <c r="F846" s="2" t="s">
        <v>15</v>
      </c>
      <c r="G846" s="2" t="s">
        <v>158</v>
      </c>
      <c r="H846" s="2" t="s">
        <v>84</v>
      </c>
      <c r="I846" s="2" t="str">
        <f>IFERROR(__xludf.DUMMYFUNCTION("GOOGLETRANSLATE(C846,""fr"",""en"")"),"For the moment, I can only judge the quality of the website and the price. The site is intuitive, it is appreciable. The electronic signature is easy, it is appreciable. The price, a little high given the value of the vehicle but hey, I have already seen "&amp;"worse.")</f>
        <v>For the moment, I can only judge the quality of the website and the price. The site is intuitive, it is appreciable. The electronic signature is easy, it is appreciable. The price, a little high given the value of the vehicle but hey, I have already seen worse.</v>
      </c>
    </row>
    <row r="847" ht="15.75" customHeight="1">
      <c r="A847" s="2">
        <v>5.0</v>
      </c>
      <c r="B847" s="2" t="s">
        <v>2369</v>
      </c>
      <c r="C847" s="2" t="s">
        <v>2370</v>
      </c>
      <c r="D847" s="2" t="s">
        <v>13</v>
      </c>
      <c r="E847" s="2" t="s">
        <v>14</v>
      </c>
      <c r="F847" s="2" t="s">
        <v>15</v>
      </c>
      <c r="G847" s="2" t="s">
        <v>846</v>
      </c>
      <c r="H847" s="2" t="s">
        <v>52</v>
      </c>
      <c r="I847" s="2" t="str">
        <f>IFERROR(__xludf.DUMMYFUNCTION("GOOGLETRANSLATE(C847,""fr"",""en"")"),"For more than 10 years, I have always had rapid and explained answers, the contract changes are without problem, they are listening, the very competitive prices in addition.")</f>
        <v>For more than 10 years, I have always had rapid and explained answers, the contract changes are without problem, they are listening, the very competitive prices in addition.</v>
      </c>
    </row>
    <row r="848" ht="15.75" customHeight="1">
      <c r="A848" s="2">
        <v>4.0</v>
      </c>
      <c r="B848" s="2" t="s">
        <v>2371</v>
      </c>
      <c r="C848" s="2" t="s">
        <v>2372</v>
      </c>
      <c r="D848" s="2" t="s">
        <v>13</v>
      </c>
      <c r="E848" s="2" t="s">
        <v>14</v>
      </c>
      <c r="F848" s="2" t="s">
        <v>15</v>
      </c>
      <c r="G848" s="2" t="s">
        <v>170</v>
      </c>
      <c r="H848" s="2" t="s">
        <v>84</v>
      </c>
      <c r="I848" s="2" t="str">
        <f>IFERROR(__xludf.DUMMYFUNCTION("GOOGLETRANSLATE(C848,""fr"",""en"")"),"I am very satisfied with the DA customer service.
I had Samah on the phone for a technical problem that I had for a few days. She was attentive and patient throughout our exchange and above all solved my problem.")</f>
        <v>I am very satisfied with the DA customer service.
I had Samah on the phone for a technical problem that I had for a few days. She was attentive and patient throughout our exchange and above all solved my problem.</v>
      </c>
    </row>
    <row r="849" ht="15.75" customHeight="1">
      <c r="A849" s="2">
        <v>1.0</v>
      </c>
      <c r="B849" s="2" t="s">
        <v>2373</v>
      </c>
      <c r="C849" s="2" t="s">
        <v>2374</v>
      </c>
      <c r="D849" s="2" t="s">
        <v>117</v>
      </c>
      <c r="E849" s="2" t="s">
        <v>46</v>
      </c>
      <c r="F849" s="2" t="s">
        <v>15</v>
      </c>
      <c r="G849" s="2" t="s">
        <v>2375</v>
      </c>
      <c r="H849" s="2" t="s">
        <v>331</v>
      </c>
      <c r="I849" s="2" t="str">
        <f>IFERROR(__xludf.DUMMYFUNCTION("GOOGLETRANSLATE(C849,""fr"",""en"")"),"Hello
I have a life insurance,
The file is complete and the person who takes care of it tells me that it will be long (2-3 months), but on the public service.fr site I read that the insurer has a maximum month ...
here is the link
https://www.service-"&amp;"public.fr/particuliers/vosdroits/f15269
")</f>
        <v>Hello
I have a life insurance,
The file is complete and the person who takes care of it tells me that it will be long (2-3 months), but on the public service.fr site I read that the insurer has a maximum month ...
here is the link
https://www.service-public.fr/particuliers/vosdroits/f15269
</v>
      </c>
    </row>
    <row r="850" ht="15.75" customHeight="1">
      <c r="A850" s="2">
        <v>2.0</v>
      </c>
      <c r="B850" s="2" t="s">
        <v>2376</v>
      </c>
      <c r="C850" s="2" t="s">
        <v>2377</v>
      </c>
      <c r="D850" s="2" t="s">
        <v>13</v>
      </c>
      <c r="E850" s="2" t="s">
        <v>14</v>
      </c>
      <c r="F850" s="2" t="s">
        <v>15</v>
      </c>
      <c r="G850" s="2" t="s">
        <v>2378</v>
      </c>
      <c r="H850" s="2" t="s">
        <v>21</v>
      </c>
      <c r="I850" s="2" t="str">
        <f>IFERROR(__xludf.DUMMYFUNCTION("GOOGLETRANSLATE(C850,""fr"",""en"")"),"Am. Satisfied with the service and the attractive prices and hope that in the event of a problem I would be as satisfied and that the prices do not increase and the bonus 50 remains for life I hope good continuation to you thank you")</f>
        <v>Am. Satisfied with the service and the attractive prices and hope that in the event of a problem I would be as satisfied and that the prices do not increase and the bonus 50 remains for life I hope good continuation to you thank you</v>
      </c>
    </row>
    <row r="851" ht="15.75" customHeight="1">
      <c r="A851" s="2">
        <v>1.0</v>
      </c>
      <c r="B851" s="2" t="s">
        <v>2379</v>
      </c>
      <c r="C851" s="2" t="s">
        <v>2380</v>
      </c>
      <c r="D851" s="2" t="s">
        <v>13</v>
      </c>
      <c r="E851" s="2" t="s">
        <v>14</v>
      </c>
      <c r="F851" s="2" t="s">
        <v>15</v>
      </c>
      <c r="G851" s="2" t="s">
        <v>2381</v>
      </c>
      <c r="H851" s="2" t="s">
        <v>381</v>
      </c>
      <c r="I851" s="2" t="str">
        <f>IFERROR(__xludf.DUMMYFUNCTION("GOOGLETRANSLATE(C851,""fr"",""en"")"),"TO FLEE ! Very low entry prices and rifle increases from one year to the next at the level of the annual timetable. In 3 years, my contract has thus increased by ... 65 % when I had no claim to deplore. This is how this company rewards good drivers.")</f>
        <v>TO FLEE ! Very low entry prices and rifle increases from one year to the next at the level of the annual timetable. In 3 years, my contract has thus increased by ... 65 % when I had no claim to deplore. This is how this company rewards good drivers.</v>
      </c>
    </row>
    <row r="852" ht="15.75" customHeight="1">
      <c r="A852" s="2">
        <v>1.0</v>
      </c>
      <c r="B852" s="2" t="s">
        <v>2382</v>
      </c>
      <c r="C852" s="2" t="s">
        <v>2383</v>
      </c>
      <c r="D852" s="2" t="s">
        <v>238</v>
      </c>
      <c r="E852" s="2" t="s">
        <v>56</v>
      </c>
      <c r="F852" s="2" t="s">
        <v>15</v>
      </c>
      <c r="G852" s="2" t="s">
        <v>437</v>
      </c>
      <c r="H852" s="2" t="s">
        <v>52</v>
      </c>
      <c r="I852" s="2" t="str">
        <f>IFERROR(__xludf.DUMMYFUNCTION("GOOGLETRANSLATE(C852,""fr"",""en"")"),"very expensive insurance (20% increase this year, unjustifiable and unjustified)
Low -effective and archaic claims management: the written manager and wait! During this time, you are invited to make the lead in the franchise when you are not responsible."&amp;"
Furthermore, the site does not allow info on the progress of a disaster")</f>
        <v>very expensive insurance (20% increase this year, unjustifiable and unjustified)
Low -effective and archaic claims management: the written manager and wait! During this time, you are invited to make the lead in the franchise when you are not responsible.
Furthermore, the site does not allow info on the progress of a disaster</v>
      </c>
    </row>
    <row r="853" ht="15.75" customHeight="1">
      <c r="A853" s="2">
        <v>2.0</v>
      </c>
      <c r="B853" s="2" t="s">
        <v>2384</v>
      </c>
      <c r="C853" s="2" t="s">
        <v>2385</v>
      </c>
      <c r="D853" s="2" t="s">
        <v>246</v>
      </c>
      <c r="E853" s="2" t="s">
        <v>34</v>
      </c>
      <c r="F853" s="2" t="s">
        <v>15</v>
      </c>
      <c r="G853" s="2" t="s">
        <v>2386</v>
      </c>
      <c r="H853" s="2" t="s">
        <v>225</v>
      </c>
      <c r="I853" s="2" t="str">
        <f>IFERROR(__xludf.DUMMYFUNCTION("GOOGLETRANSLATE(C853,""fr"",""en"")"),"I have been contacted by this mutual broker for two years, and each time the relationship is very unpleasant. I have made several requests for mutuals quotes, not all insist if you decline their offer except the Santiane advisers who explain to you that t"&amp;"hey alone know what is best for you, that you know nothing about, each once you have to set the tone so that the advisor lets you go and what the advisor is obviously a canvassing strategy in this company. In addition, they do not hesitate to give you fal"&amp;"se arguments on other mutuals.
This broker is hidden behind mutual comparators who ask you for your contact details and reminds you very quickly, this year I had put a bad phone number and very strangely they reminded me, although I was never a customer "&amp;"at the customer at Santiane, which I have never signed anything for him to keep my contact details, they kept them for a year following the request of a comparator, RGPD they should not know.
Their aggressive commercial approaches act on me as a repellen"&amp;"t.
")</f>
        <v>I have been contacted by this mutual broker for two years, and each time the relationship is very unpleasant. I have made several requests for mutuals quotes, not all insist if you decline their offer except the Santiane advisers who explain to you that they alone know what is best for you, that you know nothing about, each once you have to set the tone so that the advisor lets you go and what the advisor is obviously a canvassing strategy in this company. In addition, they do not hesitate to give you false arguments on other mutuals.
This broker is hidden behind mutual comparators who ask you for your contact details and reminds you very quickly, this year I had put a bad phone number and very strangely they reminded me, although I was never a customer at the customer at Santiane, which I have never signed anything for him to keep my contact details, they kept them for a year following the request of a comparator, RGPD they should not know.
Their aggressive commercial approaches act on me as a repellent.
</v>
      </c>
    </row>
    <row r="854" ht="15.75" customHeight="1">
      <c r="A854" s="2">
        <v>2.0</v>
      </c>
      <c r="B854" s="2" t="s">
        <v>2387</v>
      </c>
      <c r="C854" s="2" t="s">
        <v>2388</v>
      </c>
      <c r="D854" s="2" t="s">
        <v>493</v>
      </c>
      <c r="E854" s="2" t="s">
        <v>14</v>
      </c>
      <c r="F854" s="2" t="s">
        <v>15</v>
      </c>
      <c r="G854" s="2" t="s">
        <v>2389</v>
      </c>
      <c r="H854" s="2" t="s">
        <v>594</v>
      </c>
      <c r="I854" s="2" t="str">
        <f>IFERROR(__xludf.DUMMYFUNCTION("GOOGLETRANSLATE(C854,""fr"",""en"")"),"Insured for about 15 years at Eurofil (Housing and Auto) I received at the end of December a letter meaning me the non -renewal of my contract. This year 2017, I experienced an ice cream (pebble having struck the front windshield) and I also crossed a mar"&amp;"cassin at night ... This does not explain the very impersonal mail and not specifying the reasons for This radiation ... I am currently in contact with ACAM in order to obtain the information that Eurofil has obligation to communicate to me and especially"&amp;" to no longer have to do to them !!!")</f>
        <v>Insured for about 15 years at Eurofil (Housing and Auto) I received at the end of December a letter meaning me the non -renewal of my contract. This year 2017, I experienced an ice cream (pebble having struck the front windshield) and I also crossed a marcassin at night ... This does not explain the very impersonal mail and not specifying the reasons for This radiation ... I am currently in contact with ACAM in order to obtain the information that Eurofil has obligation to communicate to me and especially to no longer have to do to them !!!</v>
      </c>
    </row>
    <row r="855" ht="15.75" customHeight="1">
      <c r="A855" s="2">
        <v>1.0</v>
      </c>
      <c r="B855" s="2" t="s">
        <v>2390</v>
      </c>
      <c r="C855" s="2" t="s">
        <v>2391</v>
      </c>
      <c r="D855" s="2" t="s">
        <v>13</v>
      </c>
      <c r="E855" s="2" t="s">
        <v>14</v>
      </c>
      <c r="F855" s="2" t="s">
        <v>15</v>
      </c>
      <c r="G855" s="2" t="s">
        <v>2392</v>
      </c>
      <c r="H855" s="2" t="s">
        <v>52</v>
      </c>
      <c r="I855" s="2" t="str">
        <f>IFERROR(__xludf.DUMMYFUNCTION("GOOGLETRANSLATE(C855,""fr"",""en"")"),"very unhappy with the service of everything !! Too long delays Incorrect management too much telephone exchanges too many interlocutors too much time lost on simple and fast things")</f>
        <v>very unhappy with the service of everything !! Too long delays Incorrect management too much telephone exchanges too many interlocutors too much time lost on simple and fast things</v>
      </c>
    </row>
    <row r="856" ht="15.75" customHeight="1">
      <c r="A856" s="2">
        <v>1.0</v>
      </c>
      <c r="B856" s="2" t="s">
        <v>2393</v>
      </c>
      <c r="C856" s="2" t="s">
        <v>2394</v>
      </c>
      <c r="D856" s="2" t="s">
        <v>79</v>
      </c>
      <c r="E856" s="2" t="s">
        <v>14</v>
      </c>
      <c r="F856" s="2" t="s">
        <v>15</v>
      </c>
      <c r="G856" s="2" t="s">
        <v>2395</v>
      </c>
      <c r="H856" s="2" t="s">
        <v>108</v>
      </c>
      <c r="I856" s="2" t="str">
        <f>IFERROR(__xludf.DUMMYFUNCTION("GOOGLETRANSLATE(C856,""fr"",""en"")"),"To flee absolutely. This insurance attracts its customers with competitive prices, but then flies them with additional costs due to documents. They have very bad management and incompetent staff. In addition, these complications are very difficult to solv"&amp;"e and they are accentuated by a telephone number at 80 cts per minute.
They terminated me without notice 2 times. The first because I lacked an information statement over 36 months, when I only had the car for 24 months. The second time because I did n"&amp;"ot send any proof of the second driver, while my partner does not have a driving license. Truthful.
Nothing positive at all, it is even incredible that such a company can act freely in this way, without stricter regulations in terms of the customer's r"&amp;"espect. I specify that I have never had a single accident and has always been a good customer for insurance.")</f>
        <v>To flee absolutely. This insurance attracts its customers with competitive prices, but then flies them with additional costs due to documents. They have very bad management and incompetent staff. In addition, these complications are very difficult to solve and they are accentuated by a telephone number at 80 cts per minute.
They terminated me without notice 2 times. The first because I lacked an information statement over 36 months, when I only had the car for 24 months. The second time because I did not send any proof of the second driver, while my partner does not have a driving license. Truthful.
Nothing positive at all, it is even incredible that such a company can act freely in this way, without stricter regulations in terms of the customer's respect. I specify that I have never had a single accident and has always been a good customer for insurance.</v>
      </c>
    </row>
    <row r="857" ht="15.75" customHeight="1">
      <c r="A857" s="2">
        <v>4.0</v>
      </c>
      <c r="B857" s="2" t="s">
        <v>2396</v>
      </c>
      <c r="C857" s="2" t="s">
        <v>2397</v>
      </c>
      <c r="D857" s="2" t="s">
        <v>106</v>
      </c>
      <c r="E857" s="2" t="s">
        <v>40</v>
      </c>
      <c r="F857" s="2" t="s">
        <v>15</v>
      </c>
      <c r="G857" s="2" t="s">
        <v>540</v>
      </c>
      <c r="H857" s="2" t="s">
        <v>540</v>
      </c>
      <c r="I857" s="2" t="str">
        <f>IFERROR(__xludf.DUMMYFUNCTION("GOOGLETRANSLATE(C857,""fr"",""en"")"),"We have only been in Macif since April 2016, but that has changed our previous home insurance. Customer service is very responsive and seems to be listening to us.")</f>
        <v>We have only been in Macif since April 2016, but that has changed our previous home insurance. Customer service is very responsive and seems to be listening to us.</v>
      </c>
    </row>
    <row r="858" ht="15.75" customHeight="1">
      <c r="A858" s="2">
        <v>1.0</v>
      </c>
      <c r="B858" s="2" t="s">
        <v>2398</v>
      </c>
      <c r="C858" s="2" t="s">
        <v>2399</v>
      </c>
      <c r="D858" s="2" t="s">
        <v>106</v>
      </c>
      <c r="E858" s="2" t="s">
        <v>14</v>
      </c>
      <c r="F858" s="2" t="s">
        <v>15</v>
      </c>
      <c r="G858" s="2" t="s">
        <v>2181</v>
      </c>
      <c r="H858" s="2" t="s">
        <v>99</v>
      </c>
      <c r="I858" s="2" t="str">
        <f>IFERROR(__xludf.DUMMYFUNCTION("GOOGLETRANSLATE(C858,""fr"",""en"")"),"disputes the electronic break -in of vehicles")</f>
        <v>disputes the electronic break -in of vehicles</v>
      </c>
    </row>
    <row r="859" ht="15.75" customHeight="1">
      <c r="A859" s="2">
        <v>3.0</v>
      </c>
      <c r="B859" s="2" t="s">
        <v>2400</v>
      </c>
      <c r="C859" s="2" t="s">
        <v>2401</v>
      </c>
      <c r="D859" s="2" t="s">
        <v>639</v>
      </c>
      <c r="E859" s="2" t="s">
        <v>46</v>
      </c>
      <c r="F859" s="2" t="s">
        <v>15</v>
      </c>
      <c r="G859" s="2" t="s">
        <v>2402</v>
      </c>
      <c r="H859" s="2" t="s">
        <v>194</v>
      </c>
      <c r="I859" s="2" t="str">
        <f>IFERROR(__xludf.DUMMYFUNCTION("GOOGLETRANSLATE(C859,""fr"",""en"")"),"In my sister's life insurance there is an error on your part. In late December 2017 and there were € 35,996 on his life insurance so at the end of 2019 we cannot be at 36000 and some €. Where are the 2018 results ET2019? Contract number: 16732950 Jean-Bar"&amp;"t Marguerite Contract AFER")</f>
        <v>In my sister's life insurance there is an error on your part. In late December 2017 and there were € 35,996 on his life insurance so at the end of 2019 we cannot be at 36000 and some €. Where are the 2018 results ET2019? Contract number: 16732950 Jean-Bart Marguerite Contract AFER</v>
      </c>
    </row>
    <row r="860" ht="15.75" customHeight="1">
      <c r="A860" s="2">
        <v>1.0</v>
      </c>
      <c r="B860" s="2" t="s">
        <v>2403</v>
      </c>
      <c r="C860" s="2" t="s">
        <v>2404</v>
      </c>
      <c r="D860" s="2" t="s">
        <v>13</v>
      </c>
      <c r="E860" s="2" t="s">
        <v>14</v>
      </c>
      <c r="F860" s="2" t="s">
        <v>15</v>
      </c>
      <c r="G860" s="2" t="s">
        <v>1659</v>
      </c>
      <c r="H860" s="2" t="s">
        <v>728</v>
      </c>
      <c r="I860" s="2" t="str">
        <f>IFERROR(__xludf.DUMMYFUNCTION("GOOGLETRANSLATE(C860,""fr"",""en"")"),"This insurance is to be avoided. I am not the difficult type, I rarely have claims (1 hanging in 12 years) and I have a lot of vehicles ... I am what we could say a good customer. So you can believe me, you have to go your way. If you want to break a cont"&amp;"ract because your vehicle is in long -term repair (catering for example), you will not be able to. They force you to do a traffic withdrawal procedure that will cancel your gray card ... stronger, when you sell your vehicle, it does not reimburse you the "&amp;"rest of the subscription, they break your insurance and ask you for a postal mail with AR. Unfair practices! Their after-sales service is formed to respond with a honeyed tone, the objective of which is to prevent you from leaving. Having had other grieva"&amp;"nces against them I made the decision to terminate everything with them, my contracts and those of my whole family ... And you know what I found much better elsewhere, cheaper and with guarantees Much superior that will not let you go when you need it ...")</f>
        <v>This insurance is to be avoided. I am not the difficult type, I rarely have claims (1 hanging in 12 years) and I have a lot of vehicles ... I am what we could say a good customer. So you can believe me, you have to go your way. If you want to break a contract because your vehicle is in long -term repair (catering for example), you will not be able to. They force you to do a traffic withdrawal procedure that will cancel your gray card ... stronger, when you sell your vehicle, it does not reimburse you the rest of the subscription, they break your insurance and ask you for a postal mail with AR. Unfair practices! Their after-sales service is formed to respond with a honeyed tone, the objective of which is to prevent you from leaving. Having had other grievances against them I made the decision to terminate everything with them, my contracts and those of my whole family ... And you know what I found much better elsewhere, cheaper and with guarantees Much superior that will not let you go when you need it ...</v>
      </c>
    </row>
    <row r="861" ht="15.75" customHeight="1">
      <c r="A861" s="2">
        <v>3.0</v>
      </c>
      <c r="B861" s="2" t="s">
        <v>2405</v>
      </c>
      <c r="C861" s="2" t="s">
        <v>2406</v>
      </c>
      <c r="D861" s="2" t="s">
        <v>13</v>
      </c>
      <c r="E861" s="2" t="s">
        <v>14</v>
      </c>
      <c r="F861" s="2" t="s">
        <v>15</v>
      </c>
      <c r="G861" s="2" t="s">
        <v>420</v>
      </c>
      <c r="H861" s="2" t="s">
        <v>42</v>
      </c>
      <c r="I861" s="2" t="str">
        <f>IFERROR(__xludf.DUMMYFUNCTION("GOOGLETRANSLATE(C861,""fr"",""en"")"),"It’s not bad but it’s a shame that you have to pay in advance 3 months because I find it a lot at once. Hoping that it changes a day")</f>
        <v>It’s not bad but it’s a shame that you have to pay in advance 3 months because I find it a lot at once. Hoping that it changes a day</v>
      </c>
    </row>
    <row r="862" ht="15.75" customHeight="1">
      <c r="A862" s="2">
        <v>2.0</v>
      </c>
      <c r="B862" s="2" t="s">
        <v>2407</v>
      </c>
      <c r="C862" s="2" t="s">
        <v>2408</v>
      </c>
      <c r="D862" s="2" t="s">
        <v>2409</v>
      </c>
      <c r="E862" s="2" t="s">
        <v>97</v>
      </c>
      <c r="F862" s="2" t="s">
        <v>15</v>
      </c>
      <c r="G862" s="2" t="s">
        <v>1564</v>
      </c>
      <c r="H862" s="2" t="s">
        <v>119</v>
      </c>
      <c r="I862" s="2" t="str">
        <f>IFERROR(__xludf.DUMMYFUNCTION("GOOGLETRANSLATE(C862,""fr"",""en"")"),"I have been at Metlife for years and I sent 2 emails at dip@metlife.fr without any response since April 10, 2020 to an answer? Especially since I have 4 samples that have been made for the same house since 2013")</f>
        <v>I have been at Metlife for years and I sent 2 emails at dip@metlife.fr without any response since April 10, 2020 to an answer? Especially since I have 4 samples that have been made for the same house since 2013</v>
      </c>
    </row>
    <row r="863" ht="15.75" customHeight="1">
      <c r="A863" s="2">
        <v>4.0</v>
      </c>
      <c r="B863" s="2" t="s">
        <v>2410</v>
      </c>
      <c r="C863" s="2" t="s">
        <v>2411</v>
      </c>
      <c r="D863" s="2" t="s">
        <v>24</v>
      </c>
      <c r="E863" s="2" t="s">
        <v>14</v>
      </c>
      <c r="F863" s="2" t="s">
        <v>15</v>
      </c>
      <c r="G863" s="2" t="s">
        <v>203</v>
      </c>
      <c r="H863" s="2" t="s">
        <v>42</v>
      </c>
      <c r="I863" s="2" t="str">
        <f>IFERROR(__xludf.DUMMYFUNCTION("GOOGLETRANSLATE(C863,""fr"",""en"")"),"I am satisfied with the management of my request
Small downside the case costs at thirty six euros which seems a bit high
The telephone contact is very good")</f>
        <v>I am satisfied with the management of my request
Small downside the case costs at thirty six euros which seems a bit high
The telephone contact is very good</v>
      </c>
    </row>
    <row r="864" ht="15.75" customHeight="1">
      <c r="A864" s="2">
        <v>5.0</v>
      </c>
      <c r="B864" s="2" t="s">
        <v>2412</v>
      </c>
      <c r="C864" s="2" t="s">
        <v>2413</v>
      </c>
      <c r="D864" s="2" t="s">
        <v>24</v>
      </c>
      <c r="E864" s="2" t="s">
        <v>14</v>
      </c>
      <c r="F864" s="2" t="s">
        <v>15</v>
      </c>
      <c r="G864" s="2" t="s">
        <v>1194</v>
      </c>
      <c r="H864" s="2" t="s">
        <v>167</v>
      </c>
      <c r="I864" s="2" t="str">
        <f>IFERROR(__xludf.DUMMYFUNCTION("GOOGLETRANSLATE(C864,""fr"",""en"")"),"I am very satisfied.
The person I had on the phone was very kind and professional.
The prices are more than correct, I save more than € 700 compared to my old insurance.")</f>
        <v>I am very satisfied.
The person I had on the phone was very kind and professional.
The prices are more than correct, I save more than € 700 compared to my old insurance.</v>
      </c>
    </row>
    <row r="865" ht="15.75" customHeight="1">
      <c r="A865" s="2">
        <v>2.0</v>
      </c>
      <c r="B865" s="2" t="s">
        <v>2414</v>
      </c>
      <c r="C865" s="2" t="s">
        <v>2415</v>
      </c>
      <c r="D865" s="2" t="s">
        <v>71</v>
      </c>
      <c r="E865" s="2" t="s">
        <v>40</v>
      </c>
      <c r="F865" s="2" t="s">
        <v>15</v>
      </c>
      <c r="G865" s="2" t="s">
        <v>2416</v>
      </c>
      <c r="H865" s="2" t="s">
        <v>144</v>
      </c>
      <c r="I865" s="2" t="str">
        <f>IFERROR(__xludf.DUMMYFUNCTION("GOOGLETRANSLATE(C865,""fr"",""en"")"),"Excellent price side
Lamentable on the satisfaction side when there is a disaster home ...
Completely glued placo water damage.
Quote of € 1,800 not deflying.
The expert has 250 € to change everything is a foutage of mouth ... (not to mention the valu"&amp;"es ​​on the expert side)")</f>
        <v>Excellent price side
Lamentable on the satisfaction side when there is a disaster home ...
Completely glued placo water damage.
Quote of € 1,800 not deflying.
The expert has 250 € to change everything is a foutage of mouth ... (not to mention the values ​​on the expert side)</v>
      </c>
    </row>
    <row r="866" ht="15.75" customHeight="1">
      <c r="A866" s="2">
        <v>5.0</v>
      </c>
      <c r="B866" s="2" t="s">
        <v>2417</v>
      </c>
      <c r="C866" s="2" t="s">
        <v>2418</v>
      </c>
      <c r="D866" s="2" t="s">
        <v>39</v>
      </c>
      <c r="E866" s="2" t="s">
        <v>14</v>
      </c>
      <c r="F866" s="2" t="s">
        <v>15</v>
      </c>
      <c r="G866" s="2" t="s">
        <v>373</v>
      </c>
      <c r="H866" s="2" t="s">
        <v>84</v>
      </c>
      <c r="I866" s="2" t="str">
        <f>IFERROR(__xludf.DUMMYFUNCTION("GOOGLETRANSLATE(C866,""fr"",""en"")"),"I am satisfied with the speed of response of what I asked you. I hope I will receive the certificate I asked for soon. very satisfied.")</f>
        <v>I am satisfied with the speed of response of what I asked you. I hope I will receive the certificate I asked for soon. very satisfied.</v>
      </c>
    </row>
    <row r="867" ht="15.75" customHeight="1">
      <c r="A867" s="2">
        <v>5.0</v>
      </c>
      <c r="B867" s="2" t="s">
        <v>2419</v>
      </c>
      <c r="C867" s="2" t="s">
        <v>2420</v>
      </c>
      <c r="D867" s="2" t="s">
        <v>24</v>
      </c>
      <c r="E867" s="2" t="s">
        <v>14</v>
      </c>
      <c r="F867" s="2" t="s">
        <v>15</v>
      </c>
      <c r="G867" s="2" t="s">
        <v>128</v>
      </c>
      <c r="H867" s="2" t="s">
        <v>128</v>
      </c>
      <c r="I867" s="2" t="str">
        <f>IFERROR(__xludf.DUMMYFUNCTION("GOOGLETRANSLATE(C867,""fr"",""en"")"),"I am satisfied with your services but I would like the monthly direct debit to be made on 10 of each month as I had specified on the phone with your advisor and not on 4 as marked in the contract thank you")</f>
        <v>I am satisfied with your services but I would like the monthly direct debit to be made on 10 of each month as I had specified on the phone with your advisor and not on 4 as marked in the contract thank you</v>
      </c>
    </row>
    <row r="868" ht="15.75" customHeight="1">
      <c r="A868" s="2">
        <v>1.0</v>
      </c>
      <c r="B868" s="2" t="s">
        <v>2421</v>
      </c>
      <c r="C868" s="2" t="s">
        <v>2422</v>
      </c>
      <c r="D868" s="2" t="s">
        <v>416</v>
      </c>
      <c r="E868" s="2" t="s">
        <v>34</v>
      </c>
      <c r="F868" s="2" t="s">
        <v>15</v>
      </c>
      <c r="G868" s="2" t="s">
        <v>2423</v>
      </c>
      <c r="H868" s="2" t="s">
        <v>339</v>
      </c>
      <c r="I868" s="2" t="str">
        <f>IFERROR(__xludf.DUMMYFUNCTION("GOOGLETRANSLATE(C868,""fr"",""en"")"),"Mutelle imposed by the Ile de France region provided since - 6 months I have tired more than € 400 in the depowment of fees, however, I chose the highest tafif proposed to flee !!!!!!!")</f>
        <v>Mutelle imposed by the Ile de France region provided since - 6 months I have tired more than € 400 in the depowment of fees, however, I chose the highest tafif proposed to flee !!!!!!!</v>
      </c>
    </row>
    <row r="869" ht="15.75" customHeight="1">
      <c r="A869" s="2">
        <v>5.0</v>
      </c>
      <c r="B869" s="2" t="s">
        <v>2424</v>
      </c>
      <c r="C869" s="2" t="s">
        <v>2425</v>
      </c>
      <c r="D869" s="2" t="s">
        <v>24</v>
      </c>
      <c r="E869" s="2" t="s">
        <v>14</v>
      </c>
      <c r="F869" s="2" t="s">
        <v>15</v>
      </c>
      <c r="G869" s="2" t="s">
        <v>2426</v>
      </c>
      <c r="H869" s="2" t="s">
        <v>84</v>
      </c>
      <c r="I869" s="2" t="str">
        <f>IFERROR(__xludf.DUMMYFUNCTION("GOOGLETRANSLATE(C869,""fr"",""en"")"),"I am particularly satisfied with your service. The type of offer you offer suits me perfectly. I hope this contract will extend over a long term.")</f>
        <v>I am particularly satisfied with your service. The type of offer you offer suits me perfectly. I hope this contract will extend over a long term.</v>
      </c>
    </row>
    <row r="870" ht="15.75" customHeight="1">
      <c r="A870" s="2">
        <v>3.0</v>
      </c>
      <c r="B870" s="2" t="s">
        <v>2427</v>
      </c>
      <c r="C870" s="2" t="s">
        <v>2428</v>
      </c>
      <c r="D870" s="2" t="s">
        <v>55</v>
      </c>
      <c r="E870" s="2" t="s">
        <v>56</v>
      </c>
      <c r="F870" s="2" t="s">
        <v>15</v>
      </c>
      <c r="G870" s="2" t="s">
        <v>2429</v>
      </c>
      <c r="H870" s="2" t="s">
        <v>131</v>
      </c>
      <c r="I870" s="2" t="str">
        <f>IFERROR(__xludf.DUMMYFUNCTION("GOOGLETRANSLATE(C870,""fr"",""en"")"),"in a word when everything is fine
After at the slightest glitch it becomes very complicated a real fight begins even when you are not responsible !! and at all risk
experience for me leaves me
Biker or scooter friends A advice go your way
")</f>
        <v>in a word when everything is fine
After at the slightest glitch it becomes very complicated a real fight begins even when you are not responsible !! and at all risk
experience for me leaves me
Biker or scooter friends A advice go your way
</v>
      </c>
    </row>
    <row r="871" ht="15.75" customHeight="1">
      <c r="A871" s="2">
        <v>1.0</v>
      </c>
      <c r="B871" s="2" t="s">
        <v>2430</v>
      </c>
      <c r="C871" s="2" t="s">
        <v>2431</v>
      </c>
      <c r="D871" s="2" t="s">
        <v>13</v>
      </c>
      <c r="E871" s="2" t="s">
        <v>14</v>
      </c>
      <c r="F871" s="2" t="s">
        <v>15</v>
      </c>
      <c r="G871" s="2" t="s">
        <v>618</v>
      </c>
      <c r="H871" s="2" t="s">
        <v>163</v>
      </c>
      <c r="I871" s="2" t="str">
        <f>IFERROR(__xludf.DUMMYFUNCTION("GOOGLETRANSLATE(C871,""fr"",""en"")"),"Need to contact insurance easily? Impossible ... by phone, it's minimum one hour of vocal box before falling on someone ... so if you have little time to manage the problems that require being in relation to a real person, you can forget. Contact them by "&amp;"email? You can also forget ... it's the big hassle. I took this insurance because its value for money seemed to be enticing. For routine procedures, it goes, online, it is actually done quite easily. For the rest, prepare to tear your hair.")</f>
        <v>Need to contact insurance easily? Impossible ... by phone, it's minimum one hour of vocal box before falling on someone ... so if you have little time to manage the problems that require being in relation to a real person, you can forget. Contact them by email? You can also forget ... it's the big hassle. I took this insurance because its value for money seemed to be enticing. For routine procedures, it goes, online, it is actually done quite easily. For the rest, prepare to tear your hair.</v>
      </c>
    </row>
    <row r="872" ht="15.75" customHeight="1">
      <c r="A872" s="2">
        <v>4.0</v>
      </c>
      <c r="B872" s="2" t="s">
        <v>2432</v>
      </c>
      <c r="C872" s="2" t="s">
        <v>2433</v>
      </c>
      <c r="D872" s="2" t="s">
        <v>13</v>
      </c>
      <c r="E872" s="2" t="s">
        <v>14</v>
      </c>
      <c r="F872" s="2" t="s">
        <v>15</v>
      </c>
      <c r="G872" s="2" t="s">
        <v>247</v>
      </c>
      <c r="H872" s="2" t="s">
        <v>42</v>
      </c>
      <c r="I872" s="2" t="str">
        <f>IFERROR(__xludf.DUMMYFUNCTION("GOOGLETRANSLATE(C872,""fr"",""en"")"),"Satisfied with the service, taken any basic risk very well but option a little expensive for -50km and car loan, I will have preferred not to take a pack to accede to only one of the options ( + choice of loan periods in case of worries ))")</f>
        <v>Satisfied with the service, taken any basic risk very well but option a little expensive for -50km and car loan, I will have preferred not to take a pack to accede to only one of the options ( + choice of loan periods in case of worries ))</v>
      </c>
    </row>
    <row r="873" ht="15.75" customHeight="1">
      <c r="A873" s="2">
        <v>2.0</v>
      </c>
      <c r="B873" s="2" t="s">
        <v>2434</v>
      </c>
      <c r="C873" s="2" t="s">
        <v>2435</v>
      </c>
      <c r="D873" s="2" t="s">
        <v>55</v>
      </c>
      <c r="E873" s="2" t="s">
        <v>56</v>
      </c>
      <c r="F873" s="2" t="s">
        <v>15</v>
      </c>
      <c r="G873" s="2" t="s">
        <v>2436</v>
      </c>
      <c r="H873" s="2" t="s">
        <v>826</v>
      </c>
      <c r="I873" s="2" t="str">
        <f>IFERROR(__xludf.DUMMYFUNCTION("GOOGLETRANSLATE(C873,""fr"",""en"")"),"I found my scooter lying on the right side. AMV is explaining to me that it is a traffic accident and that so I made a false statement. Well, the front bumper, the handle have no impact because during this traffic accident, I was very careful by falling n"&amp;"ot too much to shock !!! I finally managed to reach them on the phone - and it's not easy - and they tell me don't have a photo for their judgment. Help !!!! What is this insurer? To avoid ......")</f>
        <v>I found my scooter lying on the right side. AMV is explaining to me that it is a traffic accident and that so I made a false statement. Well, the front bumper, the handle have no impact because during this traffic accident, I was very careful by falling not too much to shock !!! I finally managed to reach them on the phone - and it's not easy - and they tell me don't have a photo for their judgment. Help !!!! What is this insurer? To avoid ......</v>
      </c>
    </row>
    <row r="874" ht="15.75" customHeight="1">
      <c r="A874" s="2">
        <v>4.0</v>
      </c>
      <c r="B874" s="2" t="s">
        <v>2437</v>
      </c>
      <c r="C874" s="2" t="s">
        <v>2438</v>
      </c>
      <c r="D874" s="2" t="s">
        <v>13</v>
      </c>
      <c r="E874" s="2" t="s">
        <v>14</v>
      </c>
      <c r="F874" s="2" t="s">
        <v>15</v>
      </c>
      <c r="G874" s="2" t="s">
        <v>158</v>
      </c>
      <c r="H874" s="2" t="s">
        <v>84</v>
      </c>
      <c r="I874" s="2" t="str">
        <f>IFERROR(__xludf.DUMMYFUNCTION("GOOGLETRANSLATE(C874,""fr"",""en"")"),"I am a success of this automotive insurance contract of me
I will recommend this establishment for my friends still of the characteristics of not possible")</f>
        <v>I am a success of this automotive insurance contract of me
I will recommend this establishment for my friends still of the characteristics of not possible</v>
      </c>
    </row>
    <row r="875" ht="15.75" customHeight="1">
      <c r="A875" s="2">
        <v>1.0</v>
      </c>
      <c r="B875" s="2" t="s">
        <v>2439</v>
      </c>
      <c r="C875" s="2" t="s">
        <v>2440</v>
      </c>
      <c r="D875" s="2" t="s">
        <v>393</v>
      </c>
      <c r="E875" s="2" t="s">
        <v>46</v>
      </c>
      <c r="F875" s="2" t="s">
        <v>15</v>
      </c>
      <c r="G875" s="2" t="s">
        <v>2441</v>
      </c>
      <c r="H875" s="2" t="s">
        <v>728</v>
      </c>
      <c r="I875" s="2" t="str">
        <f>IFERROR(__xludf.DUMMYFUNCTION("GOOGLETRANSLATE(C875,""fr"",""en"")"),"I strongly advise against this organization, following the death of an insured person almost three months ago and after a quantity of paperwork to provide, which for my part is far too complex for an elderly person and moreover having lost a to be expensi"&amp;"ve. No communication from them concerning the payment of capital after several telephone calls, completely divergent returns between each customer advisor. No written return in order not to have to justify. Each of the interlocutors gives incoherent respo"&amp;"nses. Supporting complete file for almost 1 month, as the law allows them they have a period of one month to settle the funds spent this period of additional interest may be requested. If this must happen, there will be no hesitation in bringing the compe"&amp;"tent service to.")</f>
        <v>I strongly advise against this organization, following the death of an insured person almost three months ago and after a quantity of paperwork to provide, which for my part is far too complex for an elderly person and moreover having lost a to be expensive. No communication from them concerning the payment of capital after several telephone calls, completely divergent returns between each customer advisor. No written return in order not to have to justify. Each of the interlocutors gives incoherent responses. Supporting complete file for almost 1 month, as the law allows them they have a period of one month to settle the funds spent this period of additional interest may be requested. If this must happen, there will be no hesitation in bringing the competent service to.</v>
      </c>
    </row>
    <row r="876" ht="15.75" customHeight="1">
      <c r="A876" s="2">
        <v>4.0</v>
      </c>
      <c r="B876" s="2" t="s">
        <v>2442</v>
      </c>
      <c r="C876" s="2" t="s">
        <v>2443</v>
      </c>
      <c r="D876" s="2" t="s">
        <v>238</v>
      </c>
      <c r="E876" s="2" t="s">
        <v>56</v>
      </c>
      <c r="F876" s="2" t="s">
        <v>15</v>
      </c>
      <c r="G876" s="2" t="s">
        <v>521</v>
      </c>
      <c r="H876" s="2" t="s">
        <v>292</v>
      </c>
      <c r="I876" s="2" t="str">
        <f>IFERROR(__xludf.DUMMYFUNCTION("GOOGLETRANSLATE(C876,""fr"",""en"")"),"For a long time guaranteed for my motorcycles to this mutual. I had clashes with motorists, I broke down, I had troubles with an unscrupulous and not very respectful dealer. Each time they answered 'present' and did the necessary with professionalism.
I "&amp;"advise bikers to move and avoid web simulations which are far from being the reality concerning them!
I therefore recommend this mutual insurance company without hesitation! Ha yes, by the way I have my A3 license since 1982!
V")</f>
        <v>For a long time guaranteed for my motorcycles to this mutual. I had clashes with motorists, I broke down, I had troubles with an unscrupulous and not very respectful dealer. Each time they answered 'present' and did the necessary with professionalism.
I advise bikers to move and avoid web simulations which are far from being the reality concerning them!
I therefore recommend this mutual insurance company without hesitation! Ha yes, by the way I have my A3 license since 1982!
V</v>
      </c>
    </row>
    <row r="877" ht="15.75" customHeight="1">
      <c r="A877" s="2">
        <v>1.0</v>
      </c>
      <c r="B877" s="2" t="s">
        <v>2444</v>
      </c>
      <c r="C877" s="2" t="s">
        <v>2445</v>
      </c>
      <c r="D877" s="2" t="s">
        <v>209</v>
      </c>
      <c r="E877" s="2" t="s">
        <v>40</v>
      </c>
      <c r="F877" s="2" t="s">
        <v>15</v>
      </c>
      <c r="G877" s="2" t="s">
        <v>593</v>
      </c>
      <c r="H877" s="2" t="s">
        <v>594</v>
      </c>
      <c r="I877" s="2" t="str">
        <f>IFERROR(__xludf.DUMMYFUNCTION("GOOGLETRANSLATE(C877,""fr"",""en"")"),"I had a disaster at home. A neighbor smashed part of my property by doing his work. The MAAF refused that my neighbor's business repairs the causes causes. They then refused to take care of his work .... I found myself '' the beak in the water ''. For 6 m"&amp;"onths now with holes has been able to pass.
I wanted to terminate and in addition they did not subscribe to my request.")</f>
        <v>I had a disaster at home. A neighbor smashed part of my property by doing his work. The MAAF refused that my neighbor's business repairs the causes causes. They then refused to take care of his work .... I found myself '' the beak in the water ''. For 6 months now with holes has been able to pass.
I wanted to terminate and in addition they did not subscribe to my request.</v>
      </c>
    </row>
    <row r="878" ht="15.75" customHeight="1">
      <c r="A878" s="2">
        <v>1.0</v>
      </c>
      <c r="B878" s="2" t="s">
        <v>2446</v>
      </c>
      <c r="C878" s="2" t="s">
        <v>2447</v>
      </c>
      <c r="D878" s="2" t="s">
        <v>28</v>
      </c>
      <c r="E878" s="2" t="s">
        <v>14</v>
      </c>
      <c r="F878" s="2" t="s">
        <v>15</v>
      </c>
      <c r="G878" s="2" t="s">
        <v>2448</v>
      </c>
      <c r="H878" s="2" t="s">
        <v>764</v>
      </c>
      <c r="I878" s="2" t="str">
        <f>IFERROR(__xludf.DUMMYFUNCTION("GOOGLETRANSLATE(C878,""fr"",""en"")"),"The Matmut is an insurance that always finds apologies when we need them only to not compensate us I find it shameful! When it comes to invoice us you can believe me that he does not forget you on the other hand")</f>
        <v>The Matmut is an insurance that always finds apologies when we need them only to not compensate us I find it shameful! When it comes to invoice us you can believe me that he does not forget you on the other hand</v>
      </c>
    </row>
    <row r="879" ht="15.75" customHeight="1">
      <c r="A879" s="2">
        <v>5.0</v>
      </c>
      <c r="B879" s="2" t="s">
        <v>2449</v>
      </c>
      <c r="C879" s="2" t="s">
        <v>2450</v>
      </c>
      <c r="D879" s="2" t="s">
        <v>134</v>
      </c>
      <c r="E879" s="2" t="s">
        <v>56</v>
      </c>
      <c r="F879" s="2" t="s">
        <v>15</v>
      </c>
      <c r="G879" s="2" t="s">
        <v>2205</v>
      </c>
      <c r="H879" s="2" t="s">
        <v>167</v>
      </c>
      <c r="I879" s="2" t="str">
        <f>IFERROR(__xludf.DUMMYFUNCTION("GOOGLETRANSLATE(C879,""fr"",""en"")"),"I am satisfied and quick
Very interesting price very easy to follow very functional bravo for your professionalism
Regards Lino Geraci")</f>
        <v>I am satisfied and quick
Very interesting price very easy to follow very functional bravo for your professionalism
Regards Lino Geraci</v>
      </c>
    </row>
    <row r="880" ht="15.75" customHeight="1">
      <c r="A880" s="2">
        <v>4.0</v>
      </c>
      <c r="B880" s="2" t="s">
        <v>2451</v>
      </c>
      <c r="C880" s="2" t="s">
        <v>2452</v>
      </c>
      <c r="D880" s="2" t="s">
        <v>13</v>
      </c>
      <c r="E880" s="2" t="s">
        <v>14</v>
      </c>
      <c r="F880" s="2" t="s">
        <v>15</v>
      </c>
      <c r="G880" s="2" t="s">
        <v>166</v>
      </c>
      <c r="H880" s="2" t="s">
        <v>167</v>
      </c>
      <c r="I880" s="2" t="str">
        <f>IFERROR(__xludf.DUMMYFUNCTION("GOOGLETRANSLATE(C880,""fr"",""en"")"),"I am satisfied with the service
how to know the garage owners of our insurance
How to claim my sponsorship from my second car seen with the advice for an offer of 40 euros")</f>
        <v>I am satisfied with the service
how to know the garage owners of our insurance
How to claim my sponsorship from my second car seen with the advice for an offer of 40 euros</v>
      </c>
    </row>
    <row r="881" ht="15.75" customHeight="1">
      <c r="A881" s="2">
        <v>3.0</v>
      </c>
      <c r="B881" s="2" t="s">
        <v>2453</v>
      </c>
      <c r="C881" s="2" t="s">
        <v>2454</v>
      </c>
      <c r="D881" s="2" t="s">
        <v>13</v>
      </c>
      <c r="E881" s="2" t="s">
        <v>14</v>
      </c>
      <c r="F881" s="2" t="s">
        <v>15</v>
      </c>
      <c r="G881" s="2" t="s">
        <v>490</v>
      </c>
      <c r="H881" s="2" t="s">
        <v>52</v>
      </c>
      <c r="I881" s="2" t="str">
        <f>IFERROR(__xludf.DUMMYFUNCTION("GOOGLETRANSLATE(C881,""fr"",""en"")"),"I left Direct Insurance because of higher rates than elsewhere, despite the fact that I had been insured at home for a long time. I found insurance almost 300 € cheaper
")</f>
        <v>I left Direct Insurance because of higher rates than elsewhere, despite the fact that I had been insured at home for a long time. I found insurance almost 300 € cheaper
</v>
      </c>
    </row>
    <row r="882" ht="15.75" customHeight="1">
      <c r="A882" s="2">
        <v>4.0</v>
      </c>
      <c r="B882" s="2" t="s">
        <v>2455</v>
      </c>
      <c r="C882" s="2" t="s">
        <v>2456</v>
      </c>
      <c r="D882" s="2" t="s">
        <v>134</v>
      </c>
      <c r="E882" s="2" t="s">
        <v>56</v>
      </c>
      <c r="F882" s="2" t="s">
        <v>15</v>
      </c>
      <c r="G882" s="2" t="s">
        <v>173</v>
      </c>
      <c r="H882" s="2" t="s">
        <v>167</v>
      </c>
      <c r="I882" s="2" t="str">
        <f>IFERROR(__xludf.DUMMYFUNCTION("GOOGLETRANSLATE(C882,""fr"",""en"")"),"I am satisfied with the interlocutor service on the phone, as well as your prices and the fluidity to accept the quote.
Thank you for your service.")</f>
        <v>I am satisfied with the interlocutor service on the phone, as well as your prices and the fluidity to accept the quote.
Thank you for your service.</v>
      </c>
    </row>
    <row r="883" ht="15.75" customHeight="1">
      <c r="A883" s="2">
        <v>5.0</v>
      </c>
      <c r="B883" s="2" t="s">
        <v>2457</v>
      </c>
      <c r="C883" s="2" t="s">
        <v>2458</v>
      </c>
      <c r="D883" s="2" t="s">
        <v>65</v>
      </c>
      <c r="E883" s="2" t="s">
        <v>34</v>
      </c>
      <c r="F883" s="2" t="s">
        <v>15</v>
      </c>
      <c r="G883" s="2" t="s">
        <v>2068</v>
      </c>
      <c r="H883" s="2" t="s">
        <v>52</v>
      </c>
      <c r="I883" s="2" t="str">
        <f>IFERROR(__xludf.DUMMYFUNCTION("GOOGLETRANSLATE(C883,""fr"",""en"")"),"For more than thirty years I have been a member of the M.G.P, I have not criticized for this organization, on the contrary. I am very satisfied with the services and telephone reception of the mutual, as well as the information given interlocutors, during"&amp;" the various telephone conversations. Continue to act this way! - Thank you for reading! -")</f>
        <v>For more than thirty years I have been a member of the M.G.P, I have not criticized for this organization, on the contrary. I am very satisfied with the services and telephone reception of the mutual, as well as the information given interlocutors, during the various telephone conversations. Continue to act this way! - Thank you for reading! -</v>
      </c>
    </row>
    <row r="884" ht="15.75" customHeight="1">
      <c r="A884" s="2">
        <v>4.0</v>
      </c>
      <c r="B884" s="2" t="s">
        <v>2459</v>
      </c>
      <c r="C884" s="2" t="s">
        <v>2460</v>
      </c>
      <c r="D884" s="2" t="s">
        <v>231</v>
      </c>
      <c r="E884" s="2" t="s">
        <v>34</v>
      </c>
      <c r="F884" s="2" t="s">
        <v>15</v>
      </c>
      <c r="G884" s="2" t="s">
        <v>124</v>
      </c>
      <c r="H884" s="2" t="s">
        <v>764</v>
      </c>
      <c r="I884" s="2" t="str">
        <f>IFERROR(__xludf.DUMMYFUNCTION("GOOGLETRANSLATE(C884,""fr"",""en"")"),"Very well received and informed by Emeline.
professional response with seriousness and politeness
Very correct waiting time.
I am a new member.
Cordially")</f>
        <v>Very well received and informed by Emeline.
professional response with seriousness and politeness
Very correct waiting time.
I am a new member.
Cordially</v>
      </c>
    </row>
    <row r="885" ht="15.75" customHeight="1">
      <c r="A885" s="2">
        <v>1.0</v>
      </c>
      <c r="B885" s="2" t="s">
        <v>2461</v>
      </c>
      <c r="C885" s="2" t="s">
        <v>2462</v>
      </c>
      <c r="D885" s="2" t="s">
        <v>1217</v>
      </c>
      <c r="E885" s="2" t="s">
        <v>66</v>
      </c>
      <c r="F885" s="2" t="s">
        <v>15</v>
      </c>
      <c r="G885" s="2" t="s">
        <v>2463</v>
      </c>
      <c r="H885" s="2" t="s">
        <v>30</v>
      </c>
      <c r="I885" s="2" t="str">
        <f>IFERROR(__xludf.DUMMYFUNCTION("GOOGLETRANSLATE(C885,""fr"",""en"")"),"too long, too long reimbursement time, bordering on bad faith")</f>
        <v>too long, too long reimbursement time, bordering on bad faith</v>
      </c>
    </row>
    <row r="886" ht="15.75" customHeight="1">
      <c r="A886" s="2">
        <v>1.0</v>
      </c>
      <c r="B886" s="2" t="s">
        <v>2464</v>
      </c>
      <c r="C886" s="2" t="s">
        <v>2465</v>
      </c>
      <c r="D886" s="2" t="s">
        <v>106</v>
      </c>
      <c r="E886" s="2" t="s">
        <v>14</v>
      </c>
      <c r="F886" s="2" t="s">
        <v>15</v>
      </c>
      <c r="G886" s="2" t="s">
        <v>1392</v>
      </c>
      <c r="H886" s="2" t="s">
        <v>434</v>
      </c>
      <c r="I886" s="2" t="str">
        <f>IFERROR(__xludf.DUMMYFUNCTION("GOOGLETRANSLATE(C886,""fr"",""en"")"),"To flee!!!!!!")</f>
        <v>To flee!!!!!!</v>
      </c>
    </row>
    <row r="887" ht="15.75" customHeight="1">
      <c r="A887" s="2">
        <v>3.0</v>
      </c>
      <c r="B887" s="2" t="s">
        <v>2466</v>
      </c>
      <c r="C887" s="2" t="s">
        <v>2467</v>
      </c>
      <c r="D887" s="2" t="s">
        <v>13</v>
      </c>
      <c r="E887" s="2" t="s">
        <v>14</v>
      </c>
      <c r="F887" s="2" t="s">
        <v>15</v>
      </c>
      <c r="G887" s="2" t="s">
        <v>2468</v>
      </c>
      <c r="H887" s="2" t="s">
        <v>21</v>
      </c>
      <c r="I887" s="2" t="str">
        <f>IFERROR(__xludf.DUMMYFUNCTION("GOOGLETRANSLATE(C887,""fr"",""en"")"),"I am satisfied with the service and the prices suit me and it's simple and effective.
I recommend this insurance to all drivers who have a small budget")</f>
        <v>I am satisfied with the service and the prices suit me and it's simple and effective.
I recommend this insurance to all drivers who have a small budget</v>
      </c>
    </row>
    <row r="888" ht="15.75" customHeight="1">
      <c r="A888" s="2">
        <v>2.0</v>
      </c>
      <c r="B888" s="2" t="s">
        <v>2469</v>
      </c>
      <c r="C888" s="2" t="s">
        <v>2470</v>
      </c>
      <c r="D888" s="2" t="s">
        <v>267</v>
      </c>
      <c r="E888" s="2" t="s">
        <v>268</v>
      </c>
      <c r="F888" s="2" t="s">
        <v>15</v>
      </c>
      <c r="G888" s="2" t="s">
        <v>2471</v>
      </c>
      <c r="H888" s="2" t="s">
        <v>969</v>
      </c>
      <c r="I888" s="2" t="str">
        <f>IFERROR(__xludf.DUMMYFUNCTION("GOOGLETRANSLATE(C888,""fr"",""en"")"),"I was very satisfied with the first contact but unfortunately it did not last
I took a premium formula which is not the lowest formula when subscribing to the contract I asked a lot of questions
I had to take my dog ​​to the veterinarian following an ac"&amp;"cident because I call it like that by playing with another dog my dog ​​it is hurt the paw and well not for having it is big n 'Import what then that has the subscription of the contract the person listed several cases which are similar to my case suddenl"&amp;"y he does not wish to reimburse me because in addition I cannot provide them with proof this damage that I did not given the other negative comments before subscribing
")</f>
        <v>I was very satisfied with the first contact but unfortunately it did not last
I took a premium formula which is not the lowest formula when subscribing to the contract I asked a lot of questions
I had to take my dog ​​to the veterinarian following an accident because I call it like that by playing with another dog my dog ​​it is hurt the paw and well not for having it is big n 'Import what then that has the subscription of the contract the person listed several cases which are similar to my case suddenly he does not wish to reimburse me because in addition I cannot provide them with proof this damage that I did not given the other negative comments before subscribing
</v>
      </c>
    </row>
    <row r="889" ht="15.75" customHeight="1">
      <c r="A889" s="2">
        <v>1.0</v>
      </c>
      <c r="B889" s="2" t="s">
        <v>2472</v>
      </c>
      <c r="C889" s="2" t="s">
        <v>2473</v>
      </c>
      <c r="D889" s="2" t="s">
        <v>106</v>
      </c>
      <c r="E889" s="2" t="s">
        <v>40</v>
      </c>
      <c r="F889" s="2" t="s">
        <v>15</v>
      </c>
      <c r="G889" s="2" t="s">
        <v>269</v>
      </c>
      <c r="H889" s="2" t="s">
        <v>211</v>
      </c>
      <c r="I889" s="2" t="str">
        <f>IFERROR(__xludf.DUMMYFUNCTION("GOOGLETRANSLATE(C889,""fr"",""en"")"),"Customer for fifty years I discover that the guarantees subscribed are not applied to my disaster disaster. No response to my complaint gender contempt for the customer. The real caricature of the bad insurer")</f>
        <v>Customer for fifty years I discover that the guarantees subscribed are not applied to my disaster disaster. No response to my complaint gender contempt for the customer. The real caricature of the bad insurer</v>
      </c>
    </row>
    <row r="890" ht="15.75" customHeight="1">
      <c r="A890" s="2">
        <v>4.0</v>
      </c>
      <c r="B890" s="2" t="s">
        <v>2474</v>
      </c>
      <c r="C890" s="2" t="s">
        <v>2475</v>
      </c>
      <c r="D890" s="2" t="s">
        <v>13</v>
      </c>
      <c r="E890" s="2" t="s">
        <v>14</v>
      </c>
      <c r="F890" s="2" t="s">
        <v>15</v>
      </c>
      <c r="G890" s="2" t="s">
        <v>373</v>
      </c>
      <c r="H890" s="2" t="s">
        <v>84</v>
      </c>
      <c r="I890" s="2" t="str">
        <f>IFERROR(__xludf.DUMMYFUNCTION("GOOGLETRANSLATE(C890,""fr"",""en"")"),"I am satisfied with the service, I am satisfied with the price, I hope everything is going well, I live in 45, to provide, what do you want me to tell you more")</f>
        <v>I am satisfied with the service, I am satisfied with the price, I hope everything is going well, I live in 45, to provide, what do you want me to tell you more</v>
      </c>
    </row>
    <row r="891" ht="15.75" customHeight="1">
      <c r="A891" s="2">
        <v>1.0</v>
      </c>
      <c r="B891" s="2" t="s">
        <v>2476</v>
      </c>
      <c r="C891" s="2" t="s">
        <v>2477</v>
      </c>
      <c r="D891" s="2" t="s">
        <v>45</v>
      </c>
      <c r="E891" s="2" t="s">
        <v>66</v>
      </c>
      <c r="F891" s="2" t="s">
        <v>15</v>
      </c>
      <c r="G891" s="2" t="s">
        <v>2478</v>
      </c>
      <c r="H891" s="2" t="s">
        <v>73</v>
      </c>
      <c r="I891" s="2" t="str">
        <f>IFERROR(__xludf.DUMMYFUNCTION("GOOGLETRANSLATE(C891,""fr"",""en"")"),"In the event of an unidentified problem on contract, they do not respond to RARs, and take some time to respond to emails, do not take the time to read the contracts, it is never the same people who answer on the phone Whatever contracts, no advice in the"&amp;" event of problems.")</f>
        <v>In the event of an unidentified problem on contract, they do not respond to RARs, and take some time to respond to emails, do not take the time to read the contracts, it is never the same people who answer on the phone Whatever contracts, no advice in the event of problems.</v>
      </c>
    </row>
    <row r="892" ht="15.75" customHeight="1">
      <c r="A892" s="2">
        <v>1.0</v>
      </c>
      <c r="B892" s="2" t="s">
        <v>2479</v>
      </c>
      <c r="C892" s="2" t="s">
        <v>2480</v>
      </c>
      <c r="D892" s="2" t="s">
        <v>106</v>
      </c>
      <c r="E892" s="2" t="s">
        <v>56</v>
      </c>
      <c r="F892" s="2" t="s">
        <v>15</v>
      </c>
      <c r="G892" s="2" t="s">
        <v>2481</v>
      </c>
      <c r="H892" s="2" t="s">
        <v>349</v>
      </c>
      <c r="I892" s="2" t="str">
        <f>IFERROR(__xludf.DUMMYFUNCTION("GOOGLETRANSLATE(C892,""fr"",""en"")"),"When buying a new motorcycle, I went to the Macif offices. The motorcycle being new, I wanted all risks insurance. The maximum guarantees of Macif contracts do not allow it, I have been offered classic insurance + life accident insurance, including driver"&amp;"'s body insurance, presented as compulsory. It also included family protection covering each member of my home (I live alone).
At the end of the first anniversary of the contract, I re -examined it and realized that it was not very economical and that "&amp;"I could find significantly better elsewhere. So I terminated.
A year and a half later, I received a letter from the Macif informing me of the renewal of my life accident contract. By consulting my accounts, I discovered with surprise that I continued t"&amp;"o be taken from just over 8 euros every month.
After investigation, I realized that the Macif had dissociated the two contracts. It also arranges so that they do not end at the same time (one is modeled in the calendar year and ends at 12/31, the other"&amp;" is established for a period of one year and cannot be terminated that at the end of each annual deadline after the first year (unlike motorcycle insurance which can be terminated at any time after a year). This allows insurance, in the worst case (for he"&amp;"r) to win a few months of contributions. In the best of cases, she can continue to take for years the accounts of the insured who like me are not attentive enough.
Indeed, when I terminated my insurance, I did not think that I had two dissociated contr"&amp;"acts and that I should also have terminated the accident accident guarantee, the annual period of which was completed a few months later , at the due date. Not having received any advice reminding me of the renewal of the contract a year ago, I did not re"&amp;"alize anything. It was only upon receipt of this year, a little over a month ago, that I continued that I was continuing to pay.
The story does not stop there: the weekend following receipt of the mail, on March 3, I sent a registered macif to explain "&amp;"the situation to it and request the cancellation of the contract and the reimbursement of have been perceived for a year. By consulting the articles mentioned on the maturity notice, I realized that I could terminate until the last day of February, or, if"&amp;" I did not want to renew the contract, that I had 20 days following 'Shipping (and not the reception) of the opinion, mail of the postal post, which is not dated, to do it! In practice, the opinion was filed in my mailbox on February 27 or 28. Having thre"&amp;"w the envelope immediately, I do not know if they are the slowness of the post office or a late shipment of the Macif.
In addition, by taking up my contract, I was able to verify that it was referenced as ""option 6 - essential"". How can an option las"&amp;"t when the basic contract has been terminated?
The registered mail that I sent on March 3 to the Macif to request the cancellation of the contract and the refund of the sums deducted for the previous year did not seem to hold its attention, since I rec"&amp;"eived no Response to date April 8. By consulting my account, I could see that the deadline for April had been deducted on the 5th.
So I left for a year of contributions. Simple letters having no legal value and the Macif being at least vague in its way"&amp;" of proceeding, I should not however have too much difficulty in being reimbursed and to obtain the cancellation of the renewal of the contract. I will just have to be patience and perseverance if I have to exhaust all the usual appeals (assistance by the"&amp;" UFC, conciliator / mediator, administrative court).
I have already filed a detailed report with the DGCCRF. Anyway, the Macif does not show great intelligence by definitively depriving itself of the possible return of a customer whose bonus has been 5"&amp;"0% for 3 years. It is clearly more lucrative to consider his members as a whole as milk cows. Or perhaps her contracts are not as interesting as the satisfaction that she attributes to the introduction of the opinion that I have received.")</f>
        <v>When buying a new motorcycle, I went to the Macif offices. The motorcycle being new, I wanted all risks insurance. The maximum guarantees of Macif contracts do not allow it, I have been offered classic insurance + life accident insurance, including driver's body insurance, presented as compulsory. It also included family protection covering each member of my home (I live alone).
At the end of the first anniversary of the contract, I re -examined it and realized that it was not very economical and that I could find significantly better elsewhere. So I terminated.
A year and a half later, I received a letter from the Macif informing me of the renewal of my life accident contract. By consulting my accounts, I discovered with surprise that I continued to be taken from just over 8 euros every month.
After investigation, I realized that the Macif had dissociated the two contracts. It also arranges so that they do not end at the same time (one is modeled in the calendar year and ends at 12/31, the other is established for a period of one year and cannot be terminated that at the end of each annual deadline after the first year (unlike motorcycle insurance which can be terminated at any time after a year). This allows insurance, in the worst case (for her) to win a few months of contributions. In the best of cases, she can continue to take for years the accounts of the insured who like me are not attentive enough.
Indeed, when I terminated my insurance, I did not think that I had two dissociated contracts and that I should also have terminated the accident accident guarantee, the annual period of which was completed a few months later , at the due date. Not having received any advice reminding me of the renewal of the contract a year ago, I did not realize anything. It was only upon receipt of this year, a little over a month ago, that I continued that I was continuing to pay.
The story does not stop there: the weekend following receipt of the mail, on March 3, I sent a registered macif to explain the situation to it and request the cancellation of the contract and the reimbursement of have been perceived for a year. By consulting the articles mentioned on the maturity notice, I realized that I could terminate until the last day of February, or, if I did not want to renew the contract, that I had 20 days following 'Shipping (and not the reception) of the opinion, mail of the postal post, which is not dated, to do it! In practice, the opinion was filed in my mailbox on February 27 or 28. Having threw the envelope immediately, I do not know if they are the slowness of the post office or a late shipment of the Macif.
In addition, by taking up my contract, I was able to verify that it was referenced as "option 6 - essential". How can an option last when the basic contract has been terminated?
The registered mail that I sent on March 3 to the Macif to request the cancellation of the contract and the refund of the sums deducted for the previous year did not seem to hold its attention, since I received no Response to date April 8. By consulting my account, I could see that the deadline for April had been deducted on the 5th.
So I left for a year of contributions. Simple letters having no legal value and the Macif being at least vague in its way of proceeding, I should not however have too much difficulty in being reimbursed and to obtain the cancellation of the renewal of the contract. I will just have to be patience and perseverance if I have to exhaust all the usual appeals (assistance by the UFC, conciliator / mediator, administrative court).
I have already filed a detailed report with the DGCCRF. Anyway, the Macif does not show great intelligence by definitively depriving itself of the possible return of a customer whose bonus has been 50% for 3 years. It is clearly more lucrative to consider his members as a whole as milk cows. Or perhaps her contracts are not as interesting as the satisfaction that she attributes to the introduction of the opinion that I have received.</v>
      </c>
    </row>
    <row r="893" ht="15.75" customHeight="1">
      <c r="A893" s="2">
        <v>2.0</v>
      </c>
      <c r="B893" s="2" t="s">
        <v>2482</v>
      </c>
      <c r="C893" s="2" t="s">
        <v>2483</v>
      </c>
      <c r="D893" s="2" t="s">
        <v>79</v>
      </c>
      <c r="E893" s="2" t="s">
        <v>14</v>
      </c>
      <c r="F893" s="2" t="s">
        <v>15</v>
      </c>
      <c r="G893" s="2" t="s">
        <v>2484</v>
      </c>
      <c r="H893" s="2" t="s">
        <v>1007</v>
      </c>
      <c r="I893" s="2" t="str">
        <f>IFERROR(__xludf.DUMMYFUNCTION("GOOGLETRANSLATE(C893,""fr"",""en"")"),"Active insurance ...... where to start ?? Completely incompetent. I strongly advise you not to subscribe to them! I receive emails that are not sent to me with all the personal information of their customers, my C3 has been provided for more than a month "&amp;"with another insurer but Active Insurance blocks everything, despite recommended by citing the Hamon law (therefore despite the law) and in addition I am taken !!!!
 I had two claims for which I was not responsible, on the contrary, well it may be better"&amp;" to be because they do not take care of because they do not have enough evidence ... .. Yes Yes ! (Despite a complaint, two witnesses and photos, they dare to tell me that they have no evidence, so be careful if you have an accident and you are not twisti"&amp;"ng to anticipate your accident and Film the scene .... that's a bit what they are trying to make us understand, it becomes funny limits so it is huge!)
The emails I receive are filled with spelling mistakes and very bizarre symbols, perhaps they want to "&amp;"say something but I have not yet managed to decode ... In short, inadmissible run away from this insurance!")</f>
        <v>Active insurance ...... where to start ?? Completely incompetent. I strongly advise you not to subscribe to them! I receive emails that are not sent to me with all the personal information of their customers, my C3 has been provided for more than a month with another insurer but Active Insurance blocks everything, despite recommended by citing the Hamon law (therefore despite the law) and in addition I am taken !!!!
 I had two claims for which I was not responsible, on the contrary, well it may be better to be because they do not take care of because they do not have enough evidence ... .. Yes Yes ! (Despite a complaint, two witnesses and photos, they dare to tell me that they have no evidence, so be careful if you have an accident and you are not twisting to anticipate your accident and Film the scene .... that's a bit what they are trying to make us understand, it becomes funny limits so it is huge!)
The emails I receive are filled with spelling mistakes and very bizarre symbols, perhaps they want to say something but I have not yet managed to decode ... In short, inadmissible run away from this insurance!</v>
      </c>
    </row>
    <row r="894" ht="15.75" customHeight="1">
      <c r="A894" s="2">
        <v>4.0</v>
      </c>
      <c r="B894" s="2" t="s">
        <v>2485</v>
      </c>
      <c r="C894" s="2" t="s">
        <v>2486</v>
      </c>
      <c r="D894" s="2" t="s">
        <v>24</v>
      </c>
      <c r="E894" s="2" t="s">
        <v>14</v>
      </c>
      <c r="F894" s="2" t="s">
        <v>15</v>
      </c>
      <c r="G894" s="2" t="s">
        <v>274</v>
      </c>
      <c r="H894" s="2" t="s">
        <v>128</v>
      </c>
      <c r="I894" s="2" t="str">
        <f>IFERROR(__xludf.DUMMYFUNCTION("GOOGLETRANSLATE(C894,""fr"",""en"")"),"Simple and practical service. Affordable price and in the lower market for the market. Telephone advisers are very friendly and competent")</f>
        <v>Simple and practical service. Affordable price and in the lower market for the market. Telephone advisers are very friendly and competent</v>
      </c>
    </row>
    <row r="895" ht="15.75" customHeight="1">
      <c r="A895" s="2">
        <v>2.0</v>
      </c>
      <c r="B895" s="2" t="s">
        <v>2487</v>
      </c>
      <c r="C895" s="2" t="s">
        <v>2488</v>
      </c>
      <c r="D895" s="2" t="s">
        <v>45</v>
      </c>
      <c r="E895" s="2" t="s">
        <v>14</v>
      </c>
      <c r="F895" s="2" t="s">
        <v>15</v>
      </c>
      <c r="G895" s="2" t="s">
        <v>564</v>
      </c>
      <c r="H895" s="2" t="s">
        <v>259</v>
      </c>
      <c r="I895" s="2" t="str">
        <f>IFERROR(__xludf.DUMMYFUNCTION("GOOGLETRANSLATE(C895,""fr"",""en"")"),"You always have to try to remain objective, but sometimes it is complicated.
Even if I can understand a lot, the pill has trouble passing!
My wife was struck by a vehicle coming out of the parking lot of a bar (shock on the right front door of a Fiat 50"&amp;"0) which had the effect of moving the car.
The driver went back and fled.
We made a statement, with an observation and the number of the third party vehicle.
AXA is well taken care of (we are all risk) except that we must advance the costs which we wil"&amp;"l reimburse if the driver is found and that he recognizes the facts.
So let's make it simple, let's be a dulling it costs less.
Another insurer who looks at his wallet and not his customers (who make him live)")</f>
        <v>You always have to try to remain objective, but sometimes it is complicated.
Even if I can understand a lot, the pill has trouble passing!
My wife was struck by a vehicle coming out of the parking lot of a bar (shock on the right front door of a Fiat 500) which had the effect of moving the car.
The driver went back and fled.
We made a statement, with an observation and the number of the third party vehicle.
AXA is well taken care of (we are all risk) except that we must advance the costs which we will reimburse if the driver is found and that he recognizes the facts.
So let's make it simple, let's be a dulling it costs less.
Another insurer who looks at his wallet and not his customers (who make him live)</v>
      </c>
    </row>
    <row r="896" ht="15.75" customHeight="1">
      <c r="A896" s="2">
        <v>5.0</v>
      </c>
      <c r="B896" s="2" t="s">
        <v>2489</v>
      </c>
      <c r="C896" s="2" t="s">
        <v>2490</v>
      </c>
      <c r="D896" s="2" t="s">
        <v>24</v>
      </c>
      <c r="E896" s="2" t="s">
        <v>14</v>
      </c>
      <c r="F896" s="2" t="s">
        <v>15</v>
      </c>
      <c r="G896" s="2" t="s">
        <v>1027</v>
      </c>
      <c r="H896" s="2" t="s">
        <v>84</v>
      </c>
      <c r="I896" s="2" t="str">
        <f>IFERROR(__xludf.DUMMYFUNCTION("GOOGLETRANSLATE(C896,""fr"",""en"")"),"Very satisfied with the quality of telephone care during my procedures. Interlocutor Claire, precise and available to answer all my questions. It's a good start, hope that the quality of the relationship continues over time.")</f>
        <v>Very satisfied with the quality of telephone care during my procedures. Interlocutor Claire, precise and available to answer all my questions. It's a good start, hope that the quality of the relationship continues over time.</v>
      </c>
    </row>
    <row r="897" ht="15.75" customHeight="1">
      <c r="A897" s="2">
        <v>5.0</v>
      </c>
      <c r="B897" s="2" t="s">
        <v>2491</v>
      </c>
      <c r="C897" s="2" t="s">
        <v>2492</v>
      </c>
      <c r="D897" s="2" t="s">
        <v>24</v>
      </c>
      <c r="E897" s="2" t="s">
        <v>14</v>
      </c>
      <c r="F897" s="2" t="s">
        <v>15</v>
      </c>
      <c r="G897" s="2" t="s">
        <v>1584</v>
      </c>
      <c r="H897" s="2" t="s">
        <v>17</v>
      </c>
      <c r="I897" s="2" t="str">
        <f>IFERROR(__xludf.DUMMYFUNCTION("GOOGLETRANSLATE(C897,""fr"",""en"")"),"I am very satisfied with prices and telephone reception.
Very rapid quote and membership. Sending the very fast green card too.
I think I subscribe to home insurance.")</f>
        <v>I am very satisfied with prices and telephone reception.
Very rapid quote and membership. Sending the very fast green card too.
I think I subscribe to home insurance.</v>
      </c>
    </row>
    <row r="898" ht="15.75" customHeight="1">
      <c r="A898" s="2">
        <v>5.0</v>
      </c>
      <c r="B898" s="2" t="s">
        <v>2493</v>
      </c>
      <c r="C898" s="2" t="s">
        <v>2494</v>
      </c>
      <c r="D898" s="2" t="s">
        <v>231</v>
      </c>
      <c r="E898" s="2" t="s">
        <v>34</v>
      </c>
      <c r="F898" s="2" t="s">
        <v>15</v>
      </c>
      <c r="G898" s="2" t="s">
        <v>571</v>
      </c>
      <c r="H898" s="2" t="s">
        <v>42</v>
      </c>
      <c r="I898" s="2" t="str">
        <f>IFERROR(__xludf.DUMMYFUNCTION("GOOGLETRANSLATE(C898,""fr"",""en"")"),"L; Perfect telephone reception. Very pleasant customer advisor who responded to my requests very clearly.
I also recommend for prices.")</f>
        <v>L; Perfect telephone reception. Very pleasant customer advisor who responded to my requests very clearly.
I also recommend for prices.</v>
      </c>
    </row>
    <row r="899" ht="15.75" customHeight="1">
      <c r="A899" s="2">
        <v>3.0</v>
      </c>
      <c r="B899" s="2" t="s">
        <v>2495</v>
      </c>
      <c r="C899" s="2" t="s">
        <v>2496</v>
      </c>
      <c r="D899" s="2" t="s">
        <v>60</v>
      </c>
      <c r="E899" s="2" t="s">
        <v>14</v>
      </c>
      <c r="F899" s="2" t="s">
        <v>15</v>
      </c>
      <c r="G899" s="2" t="s">
        <v>2497</v>
      </c>
      <c r="H899" s="2" t="s">
        <v>659</v>
      </c>
      <c r="I899" s="2" t="str">
        <f>IFERROR(__xludf.DUMMYFUNCTION("GOOGLETRANSLATE(C899,""fr"",""en"")"),"Current customer for the car and housing, I went through a provider for a break in ice. There was no problem all was taken care of without intervening.")</f>
        <v>Current customer for the car and housing, I went through a provider for a break in ice. There was no problem all was taken care of without intervening.</v>
      </c>
    </row>
    <row r="900" ht="15.75" customHeight="1">
      <c r="A900" s="2">
        <v>4.0</v>
      </c>
      <c r="B900" s="2" t="s">
        <v>2498</v>
      </c>
      <c r="C900" s="2" t="s">
        <v>2499</v>
      </c>
      <c r="D900" s="2" t="s">
        <v>24</v>
      </c>
      <c r="E900" s="2" t="s">
        <v>14</v>
      </c>
      <c r="F900" s="2" t="s">
        <v>15</v>
      </c>
      <c r="G900" s="2" t="s">
        <v>2500</v>
      </c>
      <c r="H900" s="2" t="s">
        <v>536</v>
      </c>
      <c r="I900" s="2" t="str">
        <f>IFERROR(__xludf.DUMMYFUNCTION("GOOGLETRANSLATE(C900,""fr"",""en"")"),"Nothing to say ... everything seems correct to me! Easy to contact, very understandable")</f>
        <v>Nothing to say ... everything seems correct to me! Easy to contact, very understandable</v>
      </c>
    </row>
    <row r="901" ht="15.75" customHeight="1">
      <c r="A901" s="2">
        <v>1.0</v>
      </c>
      <c r="B901" s="2" t="s">
        <v>2501</v>
      </c>
      <c r="C901" s="2" t="s">
        <v>2502</v>
      </c>
      <c r="D901" s="2" t="s">
        <v>117</v>
      </c>
      <c r="E901" s="2" t="s">
        <v>46</v>
      </c>
      <c r="F901" s="2" t="s">
        <v>15</v>
      </c>
      <c r="G901" s="2" t="s">
        <v>552</v>
      </c>
      <c r="H901" s="2" t="s">
        <v>21</v>
      </c>
      <c r="I901" s="2" t="str">
        <f>IFERROR(__xludf.DUMMYFUNCTION("GOOGLETRANSLATE(C901,""fr"",""en"")"),"Our grandmother died on February 7, 2021, since that date our notary transmitted the news to Allianz, we wrote 7 emails to 5 different people/services, telephoned 3 times for each time having another advisor who advises us differently, received 4 contradi"&amp;"ctory letters…. And while waiting for the amount that must come back to us is still blocked. I do not dare to imagine the number of families who abandon before such complexity. Is this on purpose ????
")</f>
        <v>Our grandmother died on February 7, 2021, since that date our notary transmitted the news to Allianz, we wrote 7 emails to 5 different people/services, telephoned 3 times for each time having another advisor who advises us differently, received 4 contradictory letters…. And while waiting for the amount that must come back to us is still blocked. I do not dare to imagine the number of families who abandon before such complexity. Is this on purpose ????
</v>
      </c>
    </row>
    <row r="902" ht="15.75" customHeight="1">
      <c r="A902" s="2">
        <v>1.0</v>
      </c>
      <c r="B902" s="2" t="s">
        <v>2503</v>
      </c>
      <c r="C902" s="2" t="s">
        <v>2504</v>
      </c>
      <c r="D902" s="2" t="s">
        <v>178</v>
      </c>
      <c r="E902" s="2" t="s">
        <v>97</v>
      </c>
      <c r="F902" s="2" t="s">
        <v>15</v>
      </c>
      <c r="G902" s="2" t="s">
        <v>2505</v>
      </c>
      <c r="H902" s="2" t="s">
        <v>915</v>
      </c>
      <c r="I902" s="2" t="str">
        <f>IFERROR(__xludf.DUMMYFUNCTION("GOOGLETRANSLATE(C902,""fr"",""en"")"),"Vallee agency - Rava in Nice")</f>
        <v>Vallee agency - Rava in Nice</v>
      </c>
    </row>
    <row r="903" ht="15.75" customHeight="1">
      <c r="A903" s="2">
        <v>5.0</v>
      </c>
      <c r="B903" s="2" t="s">
        <v>2506</v>
      </c>
      <c r="C903" s="2" t="s">
        <v>2507</v>
      </c>
      <c r="D903" s="2" t="s">
        <v>134</v>
      </c>
      <c r="E903" s="2" t="s">
        <v>56</v>
      </c>
      <c r="F903" s="2" t="s">
        <v>15</v>
      </c>
      <c r="G903" s="2" t="s">
        <v>1248</v>
      </c>
      <c r="H903" s="2" t="s">
        <v>167</v>
      </c>
      <c r="I903" s="2" t="str">
        <f>IFERROR(__xludf.DUMMYFUNCTION("GOOGLETRANSLATE(C903,""fr"",""en"")"),"Very fast and excellent value for money. Very clear site and transparent services
Very suitable for my small motorcycle 125 in leisure use. Thank you")</f>
        <v>Very fast and excellent value for money. Very clear site and transparent services
Very suitable for my small motorcycle 125 in leisure use. Thank you</v>
      </c>
    </row>
    <row r="904" ht="15.75" customHeight="1">
      <c r="A904" s="2">
        <v>4.0</v>
      </c>
      <c r="B904" s="2" t="s">
        <v>2508</v>
      </c>
      <c r="C904" s="2" t="s">
        <v>2509</v>
      </c>
      <c r="D904" s="2" t="s">
        <v>65</v>
      </c>
      <c r="E904" s="2" t="s">
        <v>34</v>
      </c>
      <c r="F904" s="2" t="s">
        <v>15</v>
      </c>
      <c r="G904" s="2" t="s">
        <v>571</v>
      </c>
      <c r="H904" s="2" t="s">
        <v>42</v>
      </c>
      <c r="I904" s="2" t="str">
        <f>IFERROR(__xludf.DUMMYFUNCTION("GOOGLETRANSLATE(C904,""fr"",""en"")"),"Very nice home. Listening. The service is rather of good quality.
I just regret that we have to make a quote to make glasses.")</f>
        <v>Very nice home. Listening. The service is rather of good quality.
I just regret that we have to make a quote to make glasses.</v>
      </c>
    </row>
    <row r="905" ht="15.75" customHeight="1">
      <c r="A905" s="2">
        <v>5.0</v>
      </c>
      <c r="B905" s="2" t="s">
        <v>2510</v>
      </c>
      <c r="C905" s="2" t="s">
        <v>2511</v>
      </c>
      <c r="D905" s="2" t="s">
        <v>24</v>
      </c>
      <c r="E905" s="2" t="s">
        <v>14</v>
      </c>
      <c r="F905" s="2" t="s">
        <v>15</v>
      </c>
      <c r="G905" s="2" t="s">
        <v>579</v>
      </c>
      <c r="H905" s="2" t="s">
        <v>17</v>
      </c>
      <c r="I905" s="2" t="str">
        <f>IFERROR(__xludf.DUMMYFUNCTION("GOOGLETRANSLATE(C905,""fr"",""en"")"),"Car insurance prices at the olive tree are very competitive compared to other market insurance and the sponsorship system is advantageous")</f>
        <v>Car insurance prices at the olive tree are very competitive compared to other market insurance and the sponsorship system is advantageous</v>
      </c>
    </row>
    <row r="906" ht="15.75" customHeight="1">
      <c r="A906" s="2">
        <v>5.0</v>
      </c>
      <c r="B906" s="2" t="s">
        <v>2512</v>
      </c>
      <c r="C906" s="2" t="s">
        <v>2513</v>
      </c>
      <c r="D906" s="2" t="s">
        <v>24</v>
      </c>
      <c r="E906" s="2" t="s">
        <v>14</v>
      </c>
      <c r="F906" s="2" t="s">
        <v>15</v>
      </c>
      <c r="G906" s="2" t="s">
        <v>1888</v>
      </c>
      <c r="H906" s="2" t="s">
        <v>764</v>
      </c>
      <c r="I906" s="2" t="str">
        <f>IFERROR(__xludf.DUMMYFUNCTION("GOOGLETRANSLATE(C906,""fr"",""en"")"),"Following a black series of claims and after termination by my former car insurance, I had to return in a few days to another insurance. And the olive tree (which is by chance a sustainable and reassuring tree) offered me good guarantees at good prices th"&amp;"rough simple and effective subscription procedures. Thank you.")</f>
        <v>Following a black series of claims and after termination by my former car insurance, I had to return in a few days to another insurance. And the olive tree (which is by chance a sustainable and reassuring tree) offered me good guarantees at good prices through simple and effective subscription procedures. Thank you.</v>
      </c>
    </row>
    <row r="907" ht="15.75" customHeight="1">
      <c r="A907" s="2">
        <v>4.0</v>
      </c>
      <c r="B907" s="2" t="s">
        <v>2514</v>
      </c>
      <c r="C907" s="2" t="s">
        <v>2515</v>
      </c>
      <c r="D907" s="2" t="s">
        <v>24</v>
      </c>
      <c r="E907" s="2" t="s">
        <v>14</v>
      </c>
      <c r="F907" s="2" t="s">
        <v>15</v>
      </c>
      <c r="G907" s="2" t="s">
        <v>235</v>
      </c>
      <c r="H907" s="2" t="s">
        <v>167</v>
      </c>
      <c r="I907" s="2" t="str">
        <f>IFERROR(__xludf.DUMMYFUNCTION("GOOGLETRANSLATE(C907,""fr"",""en"")"),"I am satisfied with the price applied but I had a first quote at € 543 that I could not validate in the same day because the site had a problem and suddenly, when I could validate the next day, the Price was € 561. I can't find that normal")</f>
        <v>I am satisfied with the price applied but I had a first quote at € 543 that I could not validate in the same day because the site had a problem and suddenly, when I could validate the next day, the Price was € 561. I can't find that normal</v>
      </c>
    </row>
    <row r="908" ht="15.75" customHeight="1">
      <c r="A908" s="2">
        <v>5.0</v>
      </c>
      <c r="B908" s="2" t="s">
        <v>2516</v>
      </c>
      <c r="C908" s="2" t="s">
        <v>2517</v>
      </c>
      <c r="D908" s="2" t="s">
        <v>13</v>
      </c>
      <c r="E908" s="2" t="s">
        <v>14</v>
      </c>
      <c r="F908" s="2" t="s">
        <v>15</v>
      </c>
      <c r="G908" s="2" t="s">
        <v>458</v>
      </c>
      <c r="H908" s="2" t="s">
        <v>21</v>
      </c>
      <c r="I908" s="2" t="str">
        <f>IFERROR(__xludf.DUMMYFUNCTION("GOOGLETRANSLATE(C908,""fr"",""en"")"),"Total satisfaction I find that the prices are affordable and I am happy with the service service
Besides, I recommend because very good site")</f>
        <v>Total satisfaction I find that the prices are affordable and I am happy with the service service
Besides, I recommend because very good site</v>
      </c>
    </row>
    <row r="909" ht="15.75" customHeight="1">
      <c r="A909" s="2">
        <v>4.0</v>
      </c>
      <c r="B909" s="2" t="s">
        <v>2518</v>
      </c>
      <c r="C909" s="2" t="s">
        <v>2519</v>
      </c>
      <c r="D909" s="2" t="s">
        <v>238</v>
      </c>
      <c r="E909" s="2" t="s">
        <v>56</v>
      </c>
      <c r="F909" s="2" t="s">
        <v>15</v>
      </c>
      <c r="G909" s="2" t="s">
        <v>220</v>
      </c>
      <c r="H909" s="2" t="s">
        <v>221</v>
      </c>
      <c r="I909" s="2" t="str">
        <f>IFERROR(__xludf.DUMMYFUNCTION("GOOGLETRANSLATE(C909,""fr"",""en"")"),"Three times broken down in five months with a twenty -year -old motorcycle. Good support in the motorcycle time for transport to a dealer.")</f>
        <v>Three times broken down in five months with a twenty -year -old motorcycle. Good support in the motorcycle time for transport to a dealer.</v>
      </c>
    </row>
    <row r="910" ht="15.75" customHeight="1">
      <c r="A910" s="2">
        <v>3.0</v>
      </c>
      <c r="B910" s="2" t="s">
        <v>2520</v>
      </c>
      <c r="C910" s="2" t="s">
        <v>2521</v>
      </c>
      <c r="D910" s="2" t="s">
        <v>209</v>
      </c>
      <c r="E910" s="2" t="s">
        <v>40</v>
      </c>
      <c r="F910" s="2" t="s">
        <v>15</v>
      </c>
      <c r="G910" s="2" t="s">
        <v>2522</v>
      </c>
      <c r="H910" s="2" t="s">
        <v>131</v>
      </c>
      <c r="I910" s="2" t="str">
        <f>IFERROR(__xludf.DUMMYFUNCTION("GOOGLETRANSLATE(C910,""fr"",""en"")"),"Having had 2 sinister housing in 4 years I receive simple letters warning me from the end of 2017 It should be noted that calling your insurer for a claim for a loss La maaf counts this as a sinister is this legal ???")</f>
        <v>Having had 2 sinister housing in 4 years I receive simple letters warning me from the end of 2017 It should be noted that calling your insurer for a claim for a loss La maaf counts this as a sinister is this legal ???</v>
      </c>
    </row>
    <row r="911" ht="15.75" customHeight="1">
      <c r="A911" s="2">
        <v>1.0</v>
      </c>
      <c r="B911" s="2" t="s">
        <v>2523</v>
      </c>
      <c r="C911" s="2" t="s">
        <v>2524</v>
      </c>
      <c r="D911" s="2" t="s">
        <v>621</v>
      </c>
      <c r="E911" s="2" t="s">
        <v>66</v>
      </c>
      <c r="F911" s="2" t="s">
        <v>15</v>
      </c>
      <c r="G911" s="2" t="s">
        <v>2525</v>
      </c>
      <c r="H911" s="2" t="s">
        <v>915</v>
      </c>
      <c r="I911" s="2" t="str">
        <f>IFERROR(__xludf.DUMMYFUNCTION("GOOGLETRANSLATE(C911,""fr"",""en"")"),"No return to our requests despite several reminders, no return on the detail of the amount, no schedule provided, an almost non -existent interlocutor. Insurance that often boots in touch ...")</f>
        <v>No return to our requests despite several reminders, no return on the detail of the amount, no schedule provided, an almost non -existent interlocutor. Insurance that often boots in touch ...</v>
      </c>
    </row>
    <row r="912" ht="15.75" customHeight="1">
      <c r="A912" s="2">
        <v>1.0</v>
      </c>
      <c r="B912" s="2" t="s">
        <v>2526</v>
      </c>
      <c r="C912" s="2" t="s">
        <v>2527</v>
      </c>
      <c r="D912" s="2" t="s">
        <v>45</v>
      </c>
      <c r="E912" s="2" t="s">
        <v>66</v>
      </c>
      <c r="F912" s="2" t="s">
        <v>15</v>
      </c>
      <c r="G912" s="2" t="s">
        <v>2528</v>
      </c>
      <c r="H912" s="2" t="s">
        <v>659</v>
      </c>
      <c r="I912" s="2" t="str">
        <f>IFERROR(__xludf.DUMMYFUNCTION("GOOGLETRANSLATE(C912,""fr"",""en"")"),"Catastrophic in work accident for 6 months no care because they want me to go on Operated gold I have 24 years old and I was hospitalized 6th in rehabilitation so as not to make me operated. In addition I have consequences and a handicap now impossible to"&amp;" go back to work, 2 young children a house to pay.")</f>
        <v>Catastrophic in work accident for 6 months no care because they want me to go on Operated gold I have 24 years old and I was hospitalized 6th in rehabilitation so as not to make me operated. In addition I have consequences and a handicap now impossible to go back to work, 2 young children a house to pay.</v>
      </c>
    </row>
    <row r="913" ht="15.75" customHeight="1">
      <c r="A913" s="2">
        <v>5.0</v>
      </c>
      <c r="B913" s="2" t="s">
        <v>2529</v>
      </c>
      <c r="C913" s="2" t="s">
        <v>2530</v>
      </c>
      <c r="D913" s="2" t="s">
        <v>24</v>
      </c>
      <c r="E913" s="2" t="s">
        <v>14</v>
      </c>
      <c r="F913" s="2" t="s">
        <v>15</v>
      </c>
      <c r="G913" s="2" t="s">
        <v>2531</v>
      </c>
      <c r="H913" s="2" t="s">
        <v>17</v>
      </c>
      <c r="I913" s="2" t="str">
        <f>IFERROR(__xludf.DUMMYFUNCTION("GOOGLETRANSLATE(C913,""fr"",""en"")"),"Satisfied with customer service and the simplicity of the procedures thank you for the telephone support and the various services offered the price and also very interesting.")</f>
        <v>Satisfied with customer service and the simplicity of the procedures thank you for the telephone support and the various services offered the price and also very interesting.</v>
      </c>
    </row>
    <row r="914" ht="15.75" customHeight="1">
      <c r="A914" s="2">
        <v>2.0</v>
      </c>
      <c r="B914" s="2" t="s">
        <v>2532</v>
      </c>
      <c r="C914" s="2" t="s">
        <v>2533</v>
      </c>
      <c r="D914" s="2" t="s">
        <v>45</v>
      </c>
      <c r="E914" s="2" t="s">
        <v>56</v>
      </c>
      <c r="F914" s="2" t="s">
        <v>15</v>
      </c>
      <c r="G914" s="2" t="s">
        <v>2534</v>
      </c>
      <c r="H914" s="2" t="s">
        <v>180</v>
      </c>
      <c r="I914" s="2" t="str">
        <f>IFERROR(__xludf.DUMMYFUNCTION("GOOGLETRANSLATE(C914,""fr"",""en"")"),"I had an accident on May 19, 2017. 3 weeks later AXA had not taken any procedure. The expert had still not intervened. I had to harass them so that they send one. After 7 weeks, I still have no feedback on the progress of my file. This one still has not a"&amp;"dvanced. The advisor has apparently not yet aware of my file and is unreachable. Their telephone advisers are so numerous that each time that calls them I have a different on the end of the line but none is able to give me information on the progress of t"&amp;"he file and send me from services in services. ... insurance to avoid absolutely ... The price is low but the associated services are just as much ...")</f>
        <v>I had an accident on May 19, 2017. 3 weeks later AXA had not taken any procedure. The expert had still not intervened. I had to harass them so that they send one. After 7 weeks, I still have no feedback on the progress of my file. This one still has not advanced. The advisor has apparently not yet aware of my file and is unreachable. Their telephone advisers are so numerous that each time that calls them I have a different on the end of the line but none is able to give me information on the progress of the file and send me from services in services. ... insurance to avoid absolutely ... The price is low but the associated services are just as much ...</v>
      </c>
    </row>
    <row r="915" ht="15.75" customHeight="1">
      <c r="A915" s="2">
        <v>2.0</v>
      </c>
      <c r="B915" s="2" t="s">
        <v>2535</v>
      </c>
      <c r="C915" s="2" t="s">
        <v>2536</v>
      </c>
      <c r="D915" s="2" t="s">
        <v>231</v>
      </c>
      <c r="E915" s="2" t="s">
        <v>34</v>
      </c>
      <c r="F915" s="2" t="s">
        <v>15</v>
      </c>
      <c r="G915" s="2" t="s">
        <v>972</v>
      </c>
      <c r="H915" s="2" t="s">
        <v>128</v>
      </c>
      <c r="I915" s="2" t="str">
        <f>IFERROR(__xludf.DUMMYFUNCTION("GOOGLETRANSLATE(C915,""fr"",""en"")"),"Hello already 5 months with this disappointed insurance with reimbursement
have later invoice the well my very little refund
To date not satisfied")</f>
        <v>Hello already 5 months with this disappointed insurance with reimbursement
have later invoice the well my very little refund
To date not satisfied</v>
      </c>
    </row>
    <row r="916" ht="15.75" customHeight="1">
      <c r="A916" s="2">
        <v>4.0</v>
      </c>
      <c r="B916" s="2" t="s">
        <v>2537</v>
      </c>
      <c r="C916" s="2" t="s">
        <v>2538</v>
      </c>
      <c r="D916" s="2" t="s">
        <v>24</v>
      </c>
      <c r="E916" s="2" t="s">
        <v>14</v>
      </c>
      <c r="F916" s="2" t="s">
        <v>15</v>
      </c>
      <c r="G916" s="2" t="s">
        <v>1287</v>
      </c>
      <c r="H916" s="2" t="s">
        <v>21</v>
      </c>
      <c r="I916" s="2" t="str">
        <f>IFERROR(__xludf.DUMMYFUNCTION("GOOGLETRANSLATE(C916,""fr"",""en"")"),"Facilitates, effective, very fast, simple, I would recommend to my friends if I am ever told about having to ensure a vehicle, and also for prices.")</f>
        <v>Facilitates, effective, very fast, simple, I would recommend to my friends if I am ever told about having to ensure a vehicle, and also for prices.</v>
      </c>
    </row>
    <row r="917" ht="15.75" customHeight="1">
      <c r="A917" s="2">
        <v>5.0</v>
      </c>
      <c r="B917" s="2" t="s">
        <v>2539</v>
      </c>
      <c r="C917" s="2" t="s">
        <v>2540</v>
      </c>
      <c r="D917" s="2" t="s">
        <v>183</v>
      </c>
      <c r="E917" s="2" t="s">
        <v>97</v>
      </c>
      <c r="F917" s="2" t="s">
        <v>15</v>
      </c>
      <c r="G917" s="2" t="s">
        <v>890</v>
      </c>
      <c r="H917" s="2" t="s">
        <v>84</v>
      </c>
      <c r="I917" s="2" t="str">
        <f>IFERROR(__xludf.DUMMYFUNCTION("GOOGLETRANSLATE(C917,""fr"",""en"")"),"Following my request for information, I signed a real estate loan insurance through this company. Quick simple and very competent personal. I recommend without hesitation.")</f>
        <v>Following my request for information, I signed a real estate loan insurance through this company. Quick simple and very competent personal. I recommend without hesitation.</v>
      </c>
    </row>
    <row r="918" ht="15.75" customHeight="1">
      <c r="A918" s="2">
        <v>4.0</v>
      </c>
      <c r="B918" s="2" t="s">
        <v>2541</v>
      </c>
      <c r="C918" s="2" t="s">
        <v>2542</v>
      </c>
      <c r="D918" s="2" t="s">
        <v>24</v>
      </c>
      <c r="E918" s="2" t="s">
        <v>14</v>
      </c>
      <c r="F918" s="2" t="s">
        <v>15</v>
      </c>
      <c r="G918" s="2" t="s">
        <v>57</v>
      </c>
      <c r="H918" s="2" t="s">
        <v>21</v>
      </c>
      <c r="I918" s="2" t="str">
        <f>IFERROR(__xludf.DUMMYFUNCTION("GOOGLETRANSLATE(C918,""fr"",""en"")"),"I am satisfied with the service offered and the price, also a customer service which has been attentive and very responsive to my request.
I would recommend it to loved ones")</f>
        <v>I am satisfied with the service offered and the price, also a customer service which has been attentive and very responsive to my request.
I would recommend it to loved ones</v>
      </c>
    </row>
    <row r="919" ht="15.75" customHeight="1">
      <c r="A919" s="2">
        <v>1.0</v>
      </c>
      <c r="B919" s="2" t="s">
        <v>2543</v>
      </c>
      <c r="C919" s="2" t="s">
        <v>2544</v>
      </c>
      <c r="D919" s="2" t="s">
        <v>13</v>
      </c>
      <c r="E919" s="2" t="s">
        <v>14</v>
      </c>
      <c r="F919" s="2" t="s">
        <v>15</v>
      </c>
      <c r="G919" s="2" t="s">
        <v>1104</v>
      </c>
      <c r="H919" s="2" t="s">
        <v>128</v>
      </c>
      <c r="I919" s="2" t="str">
        <f>IFERROR(__xludf.DUMMYFUNCTION("GOOGLETRANSLATE(C919,""fr"",""en"")"),"The price is always too high for those who pay. Errors on contracts, lack of communication with customers. But when you get a response people are very professional")</f>
        <v>The price is always too high for those who pay. Errors on contracts, lack of communication with customers. But when you get a response people are very professional</v>
      </c>
    </row>
    <row r="920" ht="15.75" customHeight="1">
      <c r="A920" s="2">
        <v>4.0</v>
      </c>
      <c r="B920" s="2" t="s">
        <v>2545</v>
      </c>
      <c r="C920" s="2" t="s">
        <v>2546</v>
      </c>
      <c r="D920" s="2" t="s">
        <v>13</v>
      </c>
      <c r="E920" s="2" t="s">
        <v>14</v>
      </c>
      <c r="F920" s="2" t="s">
        <v>15</v>
      </c>
      <c r="G920" s="2" t="s">
        <v>858</v>
      </c>
      <c r="H920" s="2" t="s">
        <v>17</v>
      </c>
      <c r="I920" s="2" t="str">
        <f>IFERROR(__xludf.DUMMYFUNCTION("GOOGLETRANSLATE(C920,""fr"",""en"")"),"Quick quote, complete information
We receive the info very quickly by email, the prices is attractive
well detailed options, I recommend")</f>
        <v>Quick quote, complete information
We receive the info very quickly by email, the prices is attractive
well detailed options, I recommend</v>
      </c>
    </row>
    <row r="921" ht="15.75" customHeight="1">
      <c r="A921" s="2">
        <v>5.0</v>
      </c>
      <c r="B921" s="2" t="s">
        <v>2547</v>
      </c>
      <c r="C921" s="2" t="s">
        <v>2548</v>
      </c>
      <c r="D921" s="2" t="s">
        <v>13</v>
      </c>
      <c r="E921" s="2" t="s">
        <v>14</v>
      </c>
      <c r="F921" s="2" t="s">
        <v>15</v>
      </c>
      <c r="G921" s="2" t="s">
        <v>2549</v>
      </c>
      <c r="H921" s="2" t="s">
        <v>17</v>
      </c>
      <c r="I921" s="2" t="str">
        <f>IFERROR(__xludf.DUMMYFUNCTION("GOOGLETRANSLATE(C921,""fr"",""en"")"),"Satisfied prices and service in general
I find that internet access is not easy because there are a lot of pirate sites that are displayed when I type ""Direct insurance you have to be wary
")</f>
        <v>Satisfied prices and service in general
I find that internet access is not easy because there are a lot of pirate sites that are displayed when I type "Direct insurance you have to be wary
</v>
      </c>
    </row>
    <row r="922" ht="15.75" customHeight="1">
      <c r="A922" s="2">
        <v>2.0</v>
      </c>
      <c r="B922" s="2" t="s">
        <v>2550</v>
      </c>
      <c r="C922" s="2" t="s">
        <v>2551</v>
      </c>
      <c r="D922" s="2" t="s">
        <v>13</v>
      </c>
      <c r="E922" s="2" t="s">
        <v>14</v>
      </c>
      <c r="F922" s="2" t="s">
        <v>15</v>
      </c>
      <c r="G922" s="2" t="s">
        <v>102</v>
      </c>
      <c r="H922" s="2" t="s">
        <v>103</v>
      </c>
      <c r="I922" s="2" t="str">
        <f>IFERROR(__xludf.DUMMYFUNCTION("GOOGLETRANSLATE(C922,""fr"",""en"")"),"Indeed the prices are very attractive.
On the other hand, do not, do not use their services because the day you call them for a disaster either you are not covered or the deductible is overpriced.
Go for it if you are sure you never have a claim if not "&amp;"favor an insurer certainly more expensive but at least you are covered a minimum.")</f>
        <v>Indeed the prices are very attractive.
On the other hand, do not, do not use their services because the day you call them for a disaster either you are not covered or the deductible is overpriced.
Go for it if you are sure you never have a claim if not favor an insurer certainly more expensive but at least you are covered a minimum.</v>
      </c>
    </row>
    <row r="923" ht="15.75" customHeight="1">
      <c r="A923" s="2">
        <v>5.0</v>
      </c>
      <c r="B923" s="2" t="s">
        <v>2552</v>
      </c>
      <c r="C923" s="2" t="s">
        <v>2553</v>
      </c>
      <c r="D923" s="2" t="s">
        <v>231</v>
      </c>
      <c r="E923" s="2" t="s">
        <v>34</v>
      </c>
      <c r="F923" s="2" t="s">
        <v>15</v>
      </c>
      <c r="G923" s="2" t="s">
        <v>1999</v>
      </c>
      <c r="H923" s="2" t="s">
        <v>84</v>
      </c>
      <c r="I923" s="2" t="str">
        <f>IFERROR(__xludf.DUMMYFUNCTION("GOOGLETRANSLATE(C923,""fr"",""en"")"),"I thank this person who thanks to his patient my license to be able to connect me.
It's been several times that I call J; even send a recommended to report my insstisation to date;")</f>
        <v>I thank this person who thanks to his patient my license to be able to connect me.
It's been several times that I call J; even send a recommended to report my insstisation to date;</v>
      </c>
    </row>
    <row r="924" ht="15.75" customHeight="1">
      <c r="A924" s="2">
        <v>1.0</v>
      </c>
      <c r="B924" s="2" t="s">
        <v>2554</v>
      </c>
      <c r="C924" s="2" t="s">
        <v>2555</v>
      </c>
      <c r="D924" s="2" t="s">
        <v>24</v>
      </c>
      <c r="E924" s="2" t="s">
        <v>14</v>
      </c>
      <c r="F924" s="2" t="s">
        <v>15</v>
      </c>
      <c r="G924" s="2" t="s">
        <v>2216</v>
      </c>
      <c r="H924" s="2" t="s">
        <v>119</v>
      </c>
      <c r="I924" s="2" t="str">
        <f>IFERROR(__xludf.DUMMYFUNCTION("GOOGLETRANSLATE(C924,""fr"",""en"")"),"I bought my first vehicle in August 2019 with less than 40,000km on the clock. To do this, I made a credit over 5 years. During the acquisition, I contacted the olive tree by phone in order to take out an all -risk contract. The advisor indicates to me th"&amp;"at this is not possible (a story of definitive license plates, I do not know anything) (discussions are recorded). I must then contact them later to modify my contract. Young and confident, I take what I am offered.
My vehicle was stolen last Monday. I f"&amp;"ile a complaint and contact the olive tree to declare my claim. The advisor tells me that I am not insured against theft. How is it possible ? Why did the olive tree ever ask me if I wanted to be insured against the flight? Why didn't we warn me about war"&amp;"ranty exclusions? This is not the work of a professional insurer: ensure as much as possible, offer us the best solutions in the face of our situation!
It seemed obvious to me that my vehicle was guaranteed in the event of such claims, even if it was a t"&amp;"hird -party insurance contract. You imagine that the consequences are absolutely not negligible.
I therefore contacted them by email and registered mail to underline the lack of advice and warning. Now the olive tree offers me 15 euros of amendment costs"&amp;" that I had made for my change of address ........ I let you imagine what I think! I absolutely do not intend to stop there. Given my situation and the other comments that I have read, I do not recommend this insurance company more than strongly.
")</f>
        <v>I bought my first vehicle in August 2019 with less than 40,000km on the clock. To do this, I made a credit over 5 years. During the acquisition, I contacted the olive tree by phone in order to take out an all -risk contract. The advisor indicates to me that this is not possible (a story of definitive license plates, I do not know anything) (discussions are recorded). I must then contact them later to modify my contract. Young and confident, I take what I am offered.
My vehicle was stolen last Monday. I file a complaint and contact the olive tree to declare my claim. The advisor tells me that I am not insured against theft. How is it possible ? Why did the olive tree ever ask me if I wanted to be insured against the flight? Why didn't we warn me about warranty exclusions? This is not the work of a professional insurer: ensure as much as possible, offer us the best solutions in the face of our situation!
It seemed obvious to me that my vehicle was guaranteed in the event of such claims, even if it was a third -party insurance contract. You imagine that the consequences are absolutely not negligible.
I therefore contacted them by email and registered mail to underline the lack of advice and warning. Now the olive tree offers me 15 euros of amendment costs that I had made for my change of address ........ I let you imagine what I think! I absolutely do not intend to stop there. Given my situation and the other comments that I have read, I do not recommend this insurance company more than strongly.
</v>
      </c>
    </row>
    <row r="925" ht="15.75" customHeight="1">
      <c r="A925" s="2">
        <v>5.0</v>
      </c>
      <c r="B925" s="2" t="s">
        <v>2556</v>
      </c>
      <c r="C925" s="2" t="s">
        <v>2557</v>
      </c>
      <c r="D925" s="2" t="s">
        <v>106</v>
      </c>
      <c r="E925" s="2" t="s">
        <v>14</v>
      </c>
      <c r="F925" s="2" t="s">
        <v>15</v>
      </c>
      <c r="G925" s="2" t="s">
        <v>2558</v>
      </c>
      <c r="H925" s="2" t="s">
        <v>211</v>
      </c>
      <c r="I925" s="2" t="str">
        <f>IFERROR(__xludf.DUMMYFUNCTION("GOOGLETRANSLATE(C925,""fr"",""en"")"),"For 20 years at the Macif, 50% bonuses, always reimbursed and supported correctly. Mesh children have been registered since their license, and without any problems despite some clashes, always repaired and informed without problems. I am frankly amazed at"&amp;" negative opinions .It there is always less sought we judge an insurance than in the event of problems, and frankly I have nothing to say about the Macif. I add that I have no interest in them!
We always note the problems and well for once I say hat to t"&amp;"his insurance for his serious work.
handling there will always be grumpy !!!")</f>
        <v>For 20 years at the Macif, 50% bonuses, always reimbursed and supported correctly. Mesh children have been registered since their license, and without any problems despite some clashes, always repaired and informed without problems. I am frankly amazed at negative opinions .It there is always less sought we judge an insurance than in the event of problems, and frankly I have nothing to say about the Macif. I add that I have no interest in them!
We always note the problems and well for once I say hat to this insurance for his serious work.
handling there will always be grumpy !!!</v>
      </c>
    </row>
    <row r="926" ht="15.75" customHeight="1">
      <c r="A926" s="2">
        <v>1.0</v>
      </c>
      <c r="B926" s="2" t="s">
        <v>2559</v>
      </c>
      <c r="C926" s="2" t="s">
        <v>2560</v>
      </c>
      <c r="D926" s="2" t="s">
        <v>45</v>
      </c>
      <c r="E926" s="2" t="s">
        <v>14</v>
      </c>
      <c r="F926" s="2" t="s">
        <v>15</v>
      </c>
      <c r="G926" s="2" t="s">
        <v>338</v>
      </c>
      <c r="H926" s="2" t="s">
        <v>339</v>
      </c>
      <c r="I926" s="2" t="str">
        <f>IFERROR(__xludf.DUMMYFUNCTION("GOOGLETRANSLATE(C926,""fr"",""en"")"),"Hello,
Axa ... what a story.
I subscribed in February 2018 at home following a dispute with my former insurer (MAIF), which during a simple request for information on my guarantees charged me with the existence of a disaster while it n 'never existe"&amp;"d.
At that time, I received daily calls from the AXA salesperson! Very effective of this coast there!
Thus, during my subscription to AXA, on my information statement was an ""imaginary claim"". AXA, therefore made me adjust an amount corresponding "&amp;"to approximately 3 months of insurance, during the subscription.
Subsequently, I managed to obtain maif that the ""imaginary claim"" is removed from my information statement. This had the consequence of reducing the amount of my subscription at AXA.
"&amp;"
AXA is therefore indebted for too perceived!
The advisor I had online on this subject, in February, told me to be unable to change the number of claims on my contract and created a second, ensuring that the funds paid During my subscription would be t"&amp;"ransferred to this new contract and that a too perceived return check would be sent to me by post!
However, after 5 months and almost quota calls, I continue to receive formal notices, automated calls asking me to settle these contributions that I have"&amp;" already paid.
I come up against a wall and managers who only know how to repeat like sheep that this is managed by a service that cannot be contacted, that this service has accumulated a lot of delay and that it is constantly relaunched by Each manage"&amp;"r I have online.
Even more edifying, a manager told me that it was normal that I was relaunched by the litigation service because the transfer of funds is still not carried out and that I had to pay while waiting to avoid prosecution.
AXA addresses "&amp;"me again a letter this day indicating that ""the recovery of your contract (provided that it is not terminated) will only be effective after payment of all of your contributions and prosecution fees and prosecution fees and prosecution fees and prosecutio"&amp;"n fees overlap "".
AXA suspends my guarantees, adds recovery costs and threatens me with prosecution while I have paid these contributions and owe me money!
I would settle my contributions to come when I am sure that my guarantees are effective, and"&amp;" when I will be asked to settle!
In the meantime, I will sequest subsequent contributions on another account ...
So as not to escape my obligations!
Obviously, to take out the contract, it was disconcerting.
However, when it comes to taking respon"&amp;"sibilities and properly managing the file, Axa discusses, violates its obligations and so far as to threaten me!
I admit that my request was not processed in the weeks following my subscription.
But, 5 months of waiting for a simple transfer of fund"&amp;"s and threats of prosecution, it is simply an abuse.
I am sure that the subscription collection is adjusted much faster ... strangely!
Being a lawyer (bailiff), I distress myself each time the fact that insurers abuse small people and forget that th"&amp;"ey are subject to the application of legal provisions.
Everything is good to put your pockets on the back of the insured!
It's really sad !
I remind you that the insurer also has obligations! The insured pay you contributions to afford a service that"&amp;" is not there.
It is therefore not enough to pronounce ready -made sentences, hoping that it satisfies us.
In the absence of a quick regulation of this situation (this week), I plan to put you in notice in order to later obtain your judicial convictio"&amp;"n to the termination of this contract!
I plan to obtain this termination of contract, notwithstanding the lower duration of one year of it!
As for my other insurance contracts, I would certainly not subscribe to your company.
I hope I never have "&amp;"to undergo a disaster by being provided by your services, because when I see that I am obliged to constantly relaunch you for a simple question of transfer of funds, I dare not imagine the Management of a disaster.
Daring to hope that you will not forc"&amp;"e me to arrive at such measures ...")</f>
        <v>Hello,
Axa ... what a story.
I subscribed in February 2018 at home following a dispute with my former insurer (MAIF), which during a simple request for information on my guarantees charged me with the existence of a disaster while it n 'never existed.
At that time, I received daily calls from the AXA salesperson! Very effective of this coast there!
Thus, during my subscription to AXA, on my information statement was an "imaginary claim". AXA, therefore made me adjust an amount corresponding to approximately 3 months of insurance, during the subscription.
Subsequently, I managed to obtain maif that the "imaginary claim" is removed from my information statement. This had the consequence of reducing the amount of my subscription at AXA.
AXA is therefore indebted for too perceived!
The advisor I had online on this subject, in February, told me to be unable to change the number of claims on my contract and created a second, ensuring that the funds paid During my subscription would be transferred to this new contract and that a too perceived return check would be sent to me by post!
However, after 5 months and almost quota calls, I continue to receive formal notices, automated calls asking me to settle these contributions that I have already paid.
I come up against a wall and managers who only know how to repeat like sheep that this is managed by a service that cannot be contacted, that this service has accumulated a lot of delay and that it is constantly relaunched by Each manager I have online.
Even more edifying, a manager told me that it was normal that I was relaunched by the litigation service because the transfer of funds is still not carried out and that I had to pay while waiting to avoid prosecution.
AXA addresses me again a letter this day indicating that "the recovery of your contract (provided that it is not terminated) will only be effective after payment of all of your contributions and prosecution fees and prosecution fees and prosecution fees and prosecution fees overlap ".
AXA suspends my guarantees, adds recovery costs and threatens me with prosecution while I have paid these contributions and owe me money!
I would settle my contributions to come when I am sure that my guarantees are effective, and when I will be asked to settle!
In the meantime, I will sequest subsequent contributions on another account ...
So as not to escape my obligations!
Obviously, to take out the contract, it was disconcerting.
However, when it comes to taking responsibilities and properly managing the file, Axa discusses, violates its obligations and so far as to threaten me!
I admit that my request was not processed in the weeks following my subscription.
But, 5 months of waiting for a simple transfer of funds and threats of prosecution, it is simply an abuse.
I am sure that the subscription collection is adjusted much faster ... strangely!
Being a lawyer (bailiff), I distress myself each time the fact that insurers abuse small people and forget that they are subject to the application of legal provisions.
Everything is good to put your pockets on the back of the insured!
It's really sad !
I remind you that the insurer also has obligations! The insured pay you contributions to afford a service that is not there.
It is therefore not enough to pronounce ready -made sentences, hoping that it satisfies us.
In the absence of a quick regulation of this situation (this week), I plan to put you in notice in order to later obtain your judicial conviction to the termination of this contract!
I plan to obtain this termination of contract, notwithstanding the lower duration of one year of it!
As for my other insurance contracts, I would certainly not subscribe to your company.
I hope I never have to undergo a disaster by being provided by your services, because when I see that I am obliged to constantly relaunch you for a simple question of transfer of funds, I dare not imagine the Management of a disaster.
Daring to hope that you will not force me to arrive at such measures ...</v>
      </c>
    </row>
    <row r="927" ht="15.75" customHeight="1">
      <c r="A927" s="2">
        <v>2.0</v>
      </c>
      <c r="B927" s="2" t="s">
        <v>2561</v>
      </c>
      <c r="C927" s="2" t="s">
        <v>2562</v>
      </c>
      <c r="D927" s="2" t="s">
        <v>39</v>
      </c>
      <c r="E927" s="2" t="s">
        <v>14</v>
      </c>
      <c r="F927" s="2" t="s">
        <v>15</v>
      </c>
      <c r="G927" s="2" t="s">
        <v>2563</v>
      </c>
      <c r="H927" s="2" t="s">
        <v>403</v>
      </c>
      <c r="I927" s="2" t="str">
        <f>IFERROR(__xludf.DUMMYFUNCTION("GOOGLETRANSLATE(C927,""fr"",""en"")"),"Customer since 2007 with 3 vehicles no loss responsible since this date fired without any other form of provès at the next anniversary date following unlucky 3 breaks of non -responsible ice cream declared in three years no negotiation possible !!")</f>
        <v>Customer since 2007 with 3 vehicles no loss responsible since this date fired without any other form of provès at the next anniversary date following unlucky 3 breaks of non -responsible ice cream declared in three years no negotiation possible !!</v>
      </c>
    </row>
    <row r="928" ht="15.75" customHeight="1">
      <c r="A928" s="2">
        <v>5.0</v>
      </c>
      <c r="B928" s="2" t="s">
        <v>2564</v>
      </c>
      <c r="C928" s="2" t="s">
        <v>2565</v>
      </c>
      <c r="D928" s="2" t="s">
        <v>24</v>
      </c>
      <c r="E928" s="2" t="s">
        <v>14</v>
      </c>
      <c r="F928" s="2" t="s">
        <v>15</v>
      </c>
      <c r="G928" s="2" t="s">
        <v>2448</v>
      </c>
      <c r="H928" s="2" t="s">
        <v>764</v>
      </c>
      <c r="I928" s="2" t="str">
        <f>IFERROR(__xludf.DUMMYFUNCTION("GOOGLETRANSLATE(C928,""fr"",""en"")"),"I am satisfied with the service as well as the prices. The welcome is very satisfactory. I appreciated the kindness of the telephone consultant. Simple procedure.")</f>
        <v>I am satisfied with the service as well as the prices. The welcome is very satisfactory. I appreciated the kindness of the telephone consultant. Simple procedure.</v>
      </c>
    </row>
    <row r="929" ht="15.75" customHeight="1">
      <c r="A929" s="2">
        <v>2.0</v>
      </c>
      <c r="B929" s="2" t="s">
        <v>2566</v>
      </c>
      <c r="C929" s="2" t="s">
        <v>2567</v>
      </c>
      <c r="D929" s="2" t="s">
        <v>39</v>
      </c>
      <c r="E929" s="2" t="s">
        <v>14</v>
      </c>
      <c r="F929" s="2" t="s">
        <v>15</v>
      </c>
      <c r="G929" s="2" t="s">
        <v>509</v>
      </c>
      <c r="H929" s="2" t="s">
        <v>167</v>
      </c>
      <c r="I929" s="2" t="str">
        <f>IFERROR(__xludf.DUMMYFUNCTION("GOOGLETRANSLATE(C929,""fr"",""en"")"),"I underwent a vehicle failure recently (clutch failure) my vehicle was reduced to a garage and I paid a substantial invoice to repatriate it to my home 200 euros for 50 km: GMF member since 1974 ""To see to give or terminate my contracts""")</f>
        <v>I underwent a vehicle failure recently (clutch failure) my vehicle was reduced to a garage and I paid a substantial invoice to repatriate it to my home 200 euros for 50 km: GMF member since 1974 "To see to give or terminate my contracts"</v>
      </c>
    </row>
    <row r="930" ht="15.75" customHeight="1">
      <c r="A930" s="2">
        <v>4.0</v>
      </c>
      <c r="B930" s="2" t="s">
        <v>2568</v>
      </c>
      <c r="C930" s="2" t="s">
        <v>2569</v>
      </c>
      <c r="D930" s="2" t="s">
        <v>55</v>
      </c>
      <c r="E930" s="2" t="s">
        <v>56</v>
      </c>
      <c r="F930" s="2" t="s">
        <v>15</v>
      </c>
      <c r="G930" s="2" t="s">
        <v>420</v>
      </c>
      <c r="H930" s="2" t="s">
        <v>42</v>
      </c>
      <c r="I930" s="2" t="str">
        <f>IFERROR(__xludf.DUMMYFUNCTION("GOOGLETRANSLATE(C930,""fr"",""en"")"),"I am satisfied, service and telephone reception,
I recommend this insurance, the quality / price ratio is very good.
thank you!!!")</f>
        <v>I am satisfied, service and telephone reception,
I recommend this insurance, the quality / price ratio is very good.
thank you!!!</v>
      </c>
    </row>
    <row r="931" ht="15.75" customHeight="1">
      <c r="A931" s="2">
        <v>4.0</v>
      </c>
      <c r="B931" s="2" t="s">
        <v>2570</v>
      </c>
      <c r="C931" s="2" t="s">
        <v>2571</v>
      </c>
      <c r="D931" s="2" t="s">
        <v>24</v>
      </c>
      <c r="E931" s="2" t="s">
        <v>14</v>
      </c>
      <c r="F931" s="2" t="s">
        <v>15</v>
      </c>
      <c r="G931" s="2" t="s">
        <v>1754</v>
      </c>
      <c r="H931" s="2" t="s">
        <v>17</v>
      </c>
      <c r="I931" s="2" t="str">
        <f>IFERROR(__xludf.DUMMYFUNCTION("GOOGLETRANSLATE(C931,""fr"",""en"")"),"I am very satisfied with the service and the recommendations that were made to me
They are attentive and I recommend assurance the olive tree to all people who want to change insurance.")</f>
        <v>I am very satisfied with the service and the recommendations that were made to me
They are attentive and I recommend assurance the olive tree to all people who want to change insurance.</v>
      </c>
    </row>
    <row r="932" ht="15.75" customHeight="1">
      <c r="A932" s="2">
        <v>1.0</v>
      </c>
      <c r="B932" s="2" t="s">
        <v>2572</v>
      </c>
      <c r="C932" s="2" t="s">
        <v>2573</v>
      </c>
      <c r="D932" s="2" t="s">
        <v>617</v>
      </c>
      <c r="E932" s="2" t="s">
        <v>46</v>
      </c>
      <c r="F932" s="2" t="s">
        <v>15</v>
      </c>
      <c r="G932" s="2" t="s">
        <v>2574</v>
      </c>
      <c r="H932" s="2" t="s">
        <v>1908</v>
      </c>
      <c r="I932" s="2" t="str">
        <f>IFERROR(__xludf.DUMMYFUNCTION("GOOGLETRANSLATE(C932,""fr"",""en"")"),"Avoid urgently, SO GE CAP like all the subsidiaries of Société Générale. Two years late on life insurance payments has a beneficiary with violations of the law and application decrees and info of the tax administration
They decide arbitrarily, blurred pr"&amp;"ocedures and false information on the phone when you get it after long ¼ hours on the telephone platform
The processing of files is anarchic and calamitous
They lose the documents, they receive only half of the tax administration
No mail registration a"&amp;"rrived in this insurance or very poorly done
Non-compliance with procedures
Employees who wander you for blurry and bad faith hours even lies !!!!
Very bad reputation company notorious incompetences
Rumors of long time limits for the start of the paym"&amp;"ent insurance fund procedure is confirmed:
 SO GE CAP is unable to contact Société Générale after a death to solve the problems created by life insurance.
 So Ge Cap is not able to provide follow -up.
 When you start asking for accounts and using the t"&amp;"erm ""dilatory measures
Insurer so gec has dragged and never the same interlocutor on the phone incompetent to avoid boycott
Reporting to CAM: the insurance gendarme and banks
Very difficult for the entitlement to obtain payment of the capital
Insuran"&amp;"ce to flee !!! and quick
")</f>
        <v>Avoid urgently, SO GE CAP like all the subsidiaries of Société Générale. Two years late on life insurance payments has a beneficiary with violations of the law and application decrees and info of the tax administration
They decide arbitrarily, blurred procedures and false information on the phone when you get it after long ¼ hours on the telephone platform
The processing of files is anarchic and calamitous
They lose the documents, they receive only half of the tax administration
No mail registration arrived in this insurance or very poorly done
Non-compliance with procedures
Employees who wander you for blurry and bad faith hours even lies !!!!
Very bad reputation company notorious incompetences
Rumors of long time limits for the start of the payment insurance fund procedure is confirmed:
 SO GE CAP is unable to contact Société Générale after a death to solve the problems created by life insurance.
 So Ge Cap is not able to provide follow -up.
 When you start asking for accounts and using the term "dilatory measures
Insurer so gec has dragged and never the same interlocutor on the phone incompetent to avoid boycott
Reporting to CAM: the insurance gendarme and banks
Very difficult for the entitlement to obtain payment of the capital
Insurance to flee !!! and quick
</v>
      </c>
    </row>
    <row r="933" ht="15.75" customHeight="1">
      <c r="A933" s="2">
        <v>2.0</v>
      </c>
      <c r="B933" s="2" t="s">
        <v>2575</v>
      </c>
      <c r="C933" s="2" t="s">
        <v>2576</v>
      </c>
      <c r="D933" s="2" t="s">
        <v>24</v>
      </c>
      <c r="E933" s="2" t="s">
        <v>14</v>
      </c>
      <c r="F933" s="2" t="s">
        <v>15</v>
      </c>
      <c r="G933" s="2" t="s">
        <v>2577</v>
      </c>
      <c r="H933" s="2" t="s">
        <v>728</v>
      </c>
      <c r="I933" s="2" t="str">
        <f>IFERROR(__xludf.DUMMYFUNCTION("GOOGLETRANSLATE(C933,""fr"",""en"")"),"New customer and at the first request for care, my God galley !!! Following a breakdown of my vehicle, troubleshooting was very fast and efficient. This is the only satisfaction ... because for a car rental, only category 1 is considered (after 4 differen"&amp;"t rental agencies where no vehicle was available, moreover it is up to you to check , the nice manager tried to negotiate a category 2 available for me in vain ...). Request for care made at 9 a.m. and a vehicle is finally found at 5.30 p.m. in an agency "&amp;"40 km from my home ... but the agency closes at 6 p.m. ... By the way the taxi is a ceiling of 50 euros per year, which represents about 20km ... I challenge anyone to find this clause on their website. Nor does it appear on my summary of contract. You ha"&amp;"ve to go at the end of the general conditions. In short I will not make old bones there ... Fortunately, in the end, my vehicle could be repaired during the day thanks to a super mechanic !!!")</f>
        <v>New customer and at the first request for care, my God galley !!! Following a breakdown of my vehicle, troubleshooting was very fast and efficient. This is the only satisfaction ... because for a car rental, only category 1 is considered (after 4 different rental agencies where no vehicle was available, moreover it is up to you to check , the nice manager tried to negotiate a category 2 available for me in vain ...). Request for care made at 9 a.m. and a vehicle is finally found at 5.30 p.m. in an agency 40 km from my home ... but the agency closes at 6 p.m. ... By the way the taxi is a ceiling of 50 euros per year, which represents about 20km ... I challenge anyone to find this clause on their website. Nor does it appear on my summary of contract. You have to go at the end of the general conditions. In short I will not make old bones there ... Fortunately, in the end, my vehicle could be repaired during the day thanks to a super mechanic !!!</v>
      </c>
    </row>
    <row r="934" ht="15.75" customHeight="1">
      <c r="A934" s="2">
        <v>1.0</v>
      </c>
      <c r="B934" s="2" t="s">
        <v>2578</v>
      </c>
      <c r="C934" s="2" t="s">
        <v>2579</v>
      </c>
      <c r="D934" s="2" t="s">
        <v>28</v>
      </c>
      <c r="E934" s="2" t="s">
        <v>14</v>
      </c>
      <c r="F934" s="2" t="s">
        <v>15</v>
      </c>
      <c r="G934" s="2" t="s">
        <v>2580</v>
      </c>
      <c r="H934" s="2" t="s">
        <v>331</v>
      </c>
      <c r="I934" s="2" t="str">
        <f>IFERROR(__xludf.DUMMYFUNCTION("GOOGLETRANSLATE(C934,""fr"",""en"")"),"After 15 years without claims responsible a malicious person struck my parking vehicle and insurance wishes to support only part of the repairs.")</f>
        <v>After 15 years without claims responsible a malicious person struck my parking vehicle and insurance wishes to support only part of the repairs.</v>
      </c>
    </row>
    <row r="935" ht="15.75" customHeight="1">
      <c r="A935" s="2">
        <v>4.0</v>
      </c>
      <c r="B935" s="2" t="s">
        <v>2581</v>
      </c>
      <c r="C935" s="2" t="s">
        <v>2582</v>
      </c>
      <c r="D935" s="2" t="s">
        <v>39</v>
      </c>
      <c r="E935" s="2" t="s">
        <v>14</v>
      </c>
      <c r="F935" s="2" t="s">
        <v>15</v>
      </c>
      <c r="G935" s="2" t="s">
        <v>2583</v>
      </c>
      <c r="H935" s="2" t="s">
        <v>659</v>
      </c>
      <c r="I935" s="2" t="str">
        <f>IFERROR(__xludf.DUMMYFUNCTION("GOOGLETRANSLATE(C935,""fr"",""en"")"),"Very good value for money. Listening customer service. Good compensation period. Readable and clear CGV.")</f>
        <v>Very good value for money. Listening customer service. Good compensation period. Readable and clear CGV.</v>
      </c>
    </row>
    <row r="936" ht="15.75" customHeight="1">
      <c r="A936" s="2">
        <v>3.0</v>
      </c>
      <c r="B936" s="2" t="s">
        <v>2584</v>
      </c>
      <c r="C936" s="2" t="s">
        <v>2585</v>
      </c>
      <c r="D936" s="2" t="s">
        <v>13</v>
      </c>
      <c r="E936" s="2" t="s">
        <v>14</v>
      </c>
      <c r="F936" s="2" t="s">
        <v>15</v>
      </c>
      <c r="G936" s="2" t="s">
        <v>1961</v>
      </c>
      <c r="H936" s="2" t="s">
        <v>331</v>
      </c>
      <c r="I936" s="2" t="str">
        <f>IFERROR(__xludf.DUMMYFUNCTION("GOOGLETRANSLATE(C936,""fr"",""en"")"),"satisfied prices despite some surprises during claims. Insured for many years, there is little customer advantage: point loyalty for eg.")</f>
        <v>satisfied prices despite some surprises during claims. Insured for many years, there is little customer advantage: point loyalty for eg.</v>
      </c>
    </row>
    <row r="937" ht="15.75" customHeight="1">
      <c r="A937" s="2">
        <v>1.0</v>
      </c>
      <c r="B937" s="2" t="s">
        <v>2586</v>
      </c>
      <c r="C937" s="2" t="s">
        <v>2587</v>
      </c>
      <c r="D937" s="2" t="s">
        <v>1507</v>
      </c>
      <c r="E937" s="2" t="s">
        <v>268</v>
      </c>
      <c r="F937" s="2" t="s">
        <v>15</v>
      </c>
      <c r="G937" s="2" t="s">
        <v>2008</v>
      </c>
      <c r="H937" s="2" t="s">
        <v>814</v>
      </c>
      <c r="I937" s="2" t="str">
        <f>IFERROR(__xludf.DUMMYFUNCTION("GOOGLETRANSLATE(C937,""fr"",""en"")"),"Ultimately does not take care of. Not to advise all kind and which takes high, to avoid taking everything! 500th of fucked up in the air that could have paid my doggie surgery!")</f>
        <v>Ultimately does not take care of. Not to advise all kind and which takes high, to avoid taking everything! 500th of fucked up in the air that could have paid my doggie surgery!</v>
      </c>
    </row>
    <row r="938" ht="15.75" customHeight="1">
      <c r="A938" s="2">
        <v>4.0</v>
      </c>
      <c r="B938" s="2" t="s">
        <v>2588</v>
      </c>
      <c r="C938" s="2" t="s">
        <v>2589</v>
      </c>
      <c r="D938" s="2" t="s">
        <v>13</v>
      </c>
      <c r="E938" s="2" t="s">
        <v>14</v>
      </c>
      <c r="F938" s="2" t="s">
        <v>15</v>
      </c>
      <c r="G938" s="2" t="s">
        <v>1033</v>
      </c>
      <c r="H938" s="2" t="s">
        <v>21</v>
      </c>
      <c r="I938" s="2" t="str">
        <f>IFERROR(__xludf.DUMMYFUNCTION("GOOGLETRANSLATE(C938,""fr"",""en"")"),"Very good for this car assure you at direct insurance when you want or not to you choose otherwise you can go to the NBA the traffic are better")</f>
        <v>Very good for this car assure you at direct insurance when you want or not to you choose otherwise you can go to the NBA the traffic are better</v>
      </c>
    </row>
    <row r="939" ht="15.75" customHeight="1">
      <c r="A939" s="2">
        <v>1.0</v>
      </c>
      <c r="B939" s="2" t="s">
        <v>2590</v>
      </c>
      <c r="C939" s="2" t="s">
        <v>2591</v>
      </c>
      <c r="D939" s="2" t="s">
        <v>117</v>
      </c>
      <c r="E939" s="2" t="s">
        <v>14</v>
      </c>
      <c r="F939" s="2" t="s">
        <v>15</v>
      </c>
      <c r="G939" s="2" t="s">
        <v>2592</v>
      </c>
      <c r="H939" s="2" t="s">
        <v>363</v>
      </c>
      <c r="I939" s="2" t="str">
        <f>IFERROR(__xludf.DUMMYFUNCTION("GOOGLETRANSLATE(C939,""fr"",""en"")"),"Very decu from this insurance, pro or personal no correct follow -up I strongly denounce this insurance, which for me is not at the top at all, with prices which for me are abused, I find much better elsewhere with a follow -up of the top! I really decide"&amp;"!")</f>
        <v>Very decu from this insurance, pro or personal no correct follow -up I strongly denounce this insurance, which for me is not at the top at all, with prices which for me are abused, I find much better elsewhere with a follow -up of the top! I really decide!</v>
      </c>
    </row>
    <row r="940" ht="15.75" customHeight="1">
      <c r="A940" s="2">
        <v>5.0</v>
      </c>
      <c r="B940" s="2" t="s">
        <v>2593</v>
      </c>
      <c r="C940" s="2" t="s">
        <v>2594</v>
      </c>
      <c r="D940" s="2" t="s">
        <v>55</v>
      </c>
      <c r="E940" s="2" t="s">
        <v>56</v>
      </c>
      <c r="F940" s="2" t="s">
        <v>15</v>
      </c>
      <c r="G940" s="2" t="s">
        <v>247</v>
      </c>
      <c r="H940" s="2" t="s">
        <v>42</v>
      </c>
      <c r="I940" s="2" t="str">
        <f>IFERROR(__xludf.DUMMYFUNCTION("GOOGLETRANSLATE(C940,""fr"",""en"")"),"I am satisfied with the services and prices offered and I hope to go well with you for a long time.
Registration is very simple and the AMV site very easy
Best regards")</f>
        <v>I am satisfied with the services and prices offered and I hope to go well with you for a long time.
Registration is very simple and the AMV site very easy
Best regards</v>
      </c>
    </row>
    <row r="941" ht="15.75" customHeight="1">
      <c r="A941" s="2">
        <v>1.0</v>
      </c>
      <c r="B941" s="2" t="s">
        <v>2595</v>
      </c>
      <c r="C941" s="2" t="s">
        <v>2596</v>
      </c>
      <c r="D941" s="2" t="s">
        <v>117</v>
      </c>
      <c r="E941" s="2" t="s">
        <v>40</v>
      </c>
      <c r="F941" s="2" t="s">
        <v>15</v>
      </c>
      <c r="G941" s="2" t="s">
        <v>2592</v>
      </c>
      <c r="H941" s="2" t="s">
        <v>363</v>
      </c>
      <c r="I941" s="2" t="str">
        <f>IFERROR(__xludf.DUMMYFUNCTION("GOOGLETRANSLATE(C941,""fr"",""en"")"),"Some are rightly complaining on this site an unjustified increase in their subscription.
What about mine?
52.54% since February 2016 for non -occupying owner home insurance!
Who says better?")</f>
        <v>Some are rightly complaining on this site an unjustified increase in their subscription.
What about mine?
52.54% since February 2016 for non -occupying owner home insurance!
Who says better?</v>
      </c>
    </row>
    <row r="942" ht="15.75" customHeight="1">
      <c r="A942" s="2">
        <v>1.0</v>
      </c>
      <c r="B942" s="2" t="s">
        <v>2597</v>
      </c>
      <c r="C942" s="2" t="s">
        <v>2598</v>
      </c>
      <c r="D942" s="2" t="s">
        <v>71</v>
      </c>
      <c r="E942" s="2" t="s">
        <v>40</v>
      </c>
      <c r="F942" s="2" t="s">
        <v>15</v>
      </c>
      <c r="G942" s="2" t="s">
        <v>2599</v>
      </c>
      <c r="H942" s="2" t="s">
        <v>434</v>
      </c>
      <c r="I942" s="2" t="str">
        <f>IFERROR(__xludf.DUMMYFUNCTION("GOOGLETRANSLATE(C942,""fr"",""en"")"),"Former MAIF customer for 20 years I was automatically canceled in 2012 following a disaster home with hidden defect and water damage, the management center having said ""if you bought a rotten house it is not Our problem "", the maif wanted nothing to hel"&amp;"p us, 7 years later, that is to say today I wanted to come back customer to have quotes carried out, I was made to understand that I was Unwanted, struck off definitively and that a word had been put on my old file, it is lamentable for an insurer who wan"&amp;"ts to be militant")</f>
        <v>Former MAIF customer for 20 years I was automatically canceled in 2012 following a disaster home with hidden defect and water damage, the management center having said "if you bought a rotten house it is not Our problem ", the maif wanted nothing to help us, 7 years later, that is to say today I wanted to come back customer to have quotes carried out, I was made to understand that I was Unwanted, struck off definitively and that a word had been put on my old file, it is lamentable for an insurer who wants to be militant</v>
      </c>
    </row>
    <row r="943" ht="15.75" customHeight="1">
      <c r="A943" s="2">
        <v>5.0</v>
      </c>
      <c r="B943" s="2" t="s">
        <v>2600</v>
      </c>
      <c r="C943" s="2" t="s">
        <v>2601</v>
      </c>
      <c r="D943" s="2" t="s">
        <v>13</v>
      </c>
      <c r="E943" s="2" t="s">
        <v>14</v>
      </c>
      <c r="F943" s="2" t="s">
        <v>15</v>
      </c>
      <c r="G943" s="2" t="s">
        <v>2602</v>
      </c>
      <c r="H943" s="2" t="s">
        <v>167</v>
      </c>
      <c r="I943" s="2" t="str">
        <f>IFERROR(__xludf.DUMMYFUNCTION("GOOGLETRANSLATE(C943,""fr"",""en"")"),"I am satisfied with the speed of the service, the price offered and above all to have the freedom to consult or modify my insurance contracts, even on weekends.")</f>
        <v>I am satisfied with the speed of the service, the price offered and above all to have the freedom to consult or modify my insurance contracts, even on weekends.</v>
      </c>
    </row>
    <row r="944" ht="15.75" customHeight="1">
      <c r="A944" s="2">
        <v>5.0</v>
      </c>
      <c r="B944" s="2" t="s">
        <v>2603</v>
      </c>
      <c r="C944" s="2" t="s">
        <v>2604</v>
      </c>
      <c r="D944" s="2" t="s">
        <v>65</v>
      </c>
      <c r="E944" s="2" t="s">
        <v>34</v>
      </c>
      <c r="F944" s="2" t="s">
        <v>15</v>
      </c>
      <c r="G944" s="2" t="s">
        <v>1175</v>
      </c>
      <c r="H944" s="2" t="s">
        <v>292</v>
      </c>
      <c r="I944" s="2" t="str">
        <f>IFERROR(__xludf.DUMMYFUNCTION("GOOGLETRANSLATE(C944,""fr"",""en"")"),"Very good telephone interview, very attentive.
Very good responsiveness.
Person who informed me very well, fast and very clear.
I am extremely satisfied with the information and the service rendered.")</f>
        <v>Very good telephone interview, very attentive.
Very good responsiveness.
Person who informed me very well, fast and very clear.
I am extremely satisfied with the information and the service rendered.</v>
      </c>
    </row>
    <row r="945" ht="15.75" customHeight="1">
      <c r="A945" s="2">
        <v>2.0</v>
      </c>
      <c r="B945" s="2" t="s">
        <v>2605</v>
      </c>
      <c r="C945" s="2" t="s">
        <v>2606</v>
      </c>
      <c r="D945" s="2" t="s">
        <v>60</v>
      </c>
      <c r="E945" s="2" t="s">
        <v>14</v>
      </c>
      <c r="F945" s="2" t="s">
        <v>15</v>
      </c>
      <c r="G945" s="2" t="s">
        <v>2607</v>
      </c>
      <c r="H945" s="2" t="s">
        <v>52</v>
      </c>
      <c r="I945" s="2" t="str">
        <f>IFERROR(__xludf.DUMMYFUNCTION("GOOGLETRANSLATE(C945,""fr"",""en"")"),"Hello
On 02/22/21 I was robbed of my car, flywheel flight, the flight of the gear lever and all the electronic devices on the dashboard.
The expert has passed and raised a trace of break -in and provided Pacifica with the price of repairs.
Today 03/23/"&amp;"21 The car is still not repaired, the mechanic has not received the repair order from Pacifica-Orleans.
Initially, the Pacifica agent could not make decisions, the manager being on vacation (8 days) then I must see it (8 days), the manager requests an an"&amp;"alysis of the electronic key (8 days).
Since it impossible to join them despite my many messages left on their answering machine. And moreover they took charge of the rental of a car for only 12 days now it's been a month and the rental company claims th"&amp;"e rental supplement. Whose fault is it? It's scandalous, shameful. Insurance to flee urgently.")</f>
        <v>Hello
On 02/22/21 I was robbed of my car, flywheel flight, the flight of the gear lever and all the electronic devices on the dashboard.
The expert has passed and raised a trace of break -in and provided Pacifica with the price of repairs.
Today 03/23/21 The car is still not repaired, the mechanic has not received the repair order from Pacifica-Orleans.
Initially, the Pacifica agent could not make decisions, the manager being on vacation (8 days) then I must see it (8 days), the manager requests an analysis of the electronic key (8 days).
Since it impossible to join them despite my many messages left on their answering machine. And moreover they took charge of the rental of a car for only 12 days now it's been a month and the rental company claims the rental supplement. Whose fault is it? It's scandalous, shameful. Insurance to flee urgently.</v>
      </c>
    </row>
    <row r="946" ht="15.75" customHeight="1">
      <c r="A946" s="2">
        <v>1.0</v>
      </c>
      <c r="B946" s="2" t="s">
        <v>2608</v>
      </c>
      <c r="C946" s="2" t="s">
        <v>2609</v>
      </c>
      <c r="D946" s="2" t="s">
        <v>209</v>
      </c>
      <c r="E946" s="2" t="s">
        <v>40</v>
      </c>
      <c r="F946" s="2" t="s">
        <v>15</v>
      </c>
      <c r="G946" s="2" t="s">
        <v>2610</v>
      </c>
      <c r="H946" s="2" t="s">
        <v>225</v>
      </c>
      <c r="I946" s="2" t="str">
        <f>IFERROR(__xludf.DUMMYFUNCTION("GOOGLETRANSLATE(C946,""fr"",""en"")"),"PB of attempted entry on the front door. After 3 months the door is always changed! I am in the 3rd craftsman for a quote (apparently the previous ones commissioned by the MAAF were not empowered to do so) and if you do not call for info people do not war"&amp;"n you. They let the file drag ...
I do not recommend")</f>
        <v>PB of attempted entry on the front door. After 3 months the door is always changed! I am in the 3rd craftsman for a quote (apparently the previous ones commissioned by the MAAF were not empowered to do so) and if you do not call for info people do not warn you. They let the file drag ...
I do not recommend</v>
      </c>
    </row>
    <row r="947" ht="15.75" customHeight="1">
      <c r="A947" s="2">
        <v>5.0</v>
      </c>
      <c r="B947" s="2" t="s">
        <v>2611</v>
      </c>
      <c r="C947" s="2" t="s">
        <v>2612</v>
      </c>
      <c r="D947" s="2" t="s">
        <v>231</v>
      </c>
      <c r="E947" s="2" t="s">
        <v>34</v>
      </c>
      <c r="F947" s="2" t="s">
        <v>15</v>
      </c>
      <c r="G947" s="2" t="s">
        <v>2613</v>
      </c>
      <c r="H947" s="2" t="s">
        <v>68</v>
      </c>
      <c r="I947" s="2" t="str">
        <f>IFERROR(__xludf.DUMMYFUNCTION("GOOGLETRANSLATE(C947,""fr"",""en"")"),"Very good contact, very professional, investing in finding the information quickly, I was very satisfied with our exchange with Daouda. thank you")</f>
        <v>Very good contact, very professional, investing in finding the information quickly, I was very satisfied with our exchange with Daouda. thank you</v>
      </c>
    </row>
    <row r="948" ht="15.75" customHeight="1">
      <c r="A948" s="2">
        <v>2.0</v>
      </c>
      <c r="B948" s="2" t="s">
        <v>2614</v>
      </c>
      <c r="C948" s="2" t="s">
        <v>2615</v>
      </c>
      <c r="D948" s="2" t="s">
        <v>13</v>
      </c>
      <c r="E948" s="2" t="s">
        <v>14</v>
      </c>
      <c r="F948" s="2" t="s">
        <v>15</v>
      </c>
      <c r="G948" s="2" t="s">
        <v>2616</v>
      </c>
      <c r="H948" s="2" t="s">
        <v>128</v>
      </c>
      <c r="I948" s="2" t="str">
        <f>IFERROR(__xludf.DUMMYFUNCTION("GOOGLETRANSLATE(C948,""fr"",""en"")"),"I do not satisfy I want to terminate and I do not arrive, sour the application tells you that and knows it of the internet I arrive sour knows it and no happen")</f>
        <v>I do not satisfy I want to terminate and I do not arrive, sour the application tells you that and knows it of the internet I arrive sour knows it and no happen</v>
      </c>
    </row>
    <row r="949" ht="15.75" customHeight="1">
      <c r="A949" s="2">
        <v>4.0</v>
      </c>
      <c r="B949" s="2" t="s">
        <v>2617</v>
      </c>
      <c r="C949" s="2" t="s">
        <v>2618</v>
      </c>
      <c r="D949" s="2" t="s">
        <v>13</v>
      </c>
      <c r="E949" s="2" t="s">
        <v>14</v>
      </c>
      <c r="F949" s="2" t="s">
        <v>15</v>
      </c>
      <c r="G949" s="2" t="s">
        <v>352</v>
      </c>
      <c r="H949" s="2" t="s">
        <v>52</v>
      </c>
      <c r="I949" s="2" t="str">
        <f>IFERROR(__xludf.DUMMYFUNCTION("GOOGLETRANSLATE(C949,""fr"",""en"")"),"The platform is pleasant and we are well guided in the procedures. You just have to get out of the pre -established path.
The registration is fluid but +10 euros if we monthly without being clearly mentioned")</f>
        <v>The platform is pleasant and we are well guided in the procedures. You just have to get out of the pre -established path.
The registration is fluid but +10 euros if we monthly without being clearly mentioned</v>
      </c>
    </row>
    <row r="950" ht="15.75" customHeight="1">
      <c r="A950" s="2">
        <v>2.0</v>
      </c>
      <c r="B950" s="2" t="s">
        <v>2619</v>
      </c>
      <c r="C950" s="2" t="s">
        <v>2620</v>
      </c>
      <c r="D950" s="2" t="s">
        <v>117</v>
      </c>
      <c r="E950" s="2" t="s">
        <v>40</v>
      </c>
      <c r="F950" s="2" t="s">
        <v>15</v>
      </c>
      <c r="G950" s="2" t="s">
        <v>2023</v>
      </c>
      <c r="H950" s="2" t="s">
        <v>594</v>
      </c>
      <c r="I950" s="2" t="str">
        <f>IFERROR(__xludf.DUMMYFUNCTION("GOOGLETRANSLATE(C950,""fr"",""en"")"),"During a disaster infiltration; I prepared my quotes that I passed to Allianz and the problems we started with the Expertise Visio which has never been made despite my many calls received by Vocal Box. insurance therefore not reliable. I look elsewhere")</f>
        <v>During a disaster infiltration; I prepared my quotes that I passed to Allianz and the problems we started with the Expertise Visio which has never been made despite my many calls received by Vocal Box. insurance therefore not reliable. I look elsewhere</v>
      </c>
    </row>
    <row r="951" ht="15.75" customHeight="1">
      <c r="A951" s="2">
        <v>5.0</v>
      </c>
      <c r="B951" s="2" t="s">
        <v>2621</v>
      </c>
      <c r="C951" s="2" t="s">
        <v>2622</v>
      </c>
      <c r="D951" s="2" t="s">
        <v>13</v>
      </c>
      <c r="E951" s="2" t="s">
        <v>14</v>
      </c>
      <c r="F951" s="2" t="s">
        <v>15</v>
      </c>
      <c r="G951" s="2" t="s">
        <v>2127</v>
      </c>
      <c r="H951" s="2" t="s">
        <v>21</v>
      </c>
      <c r="I951" s="2" t="str">
        <f>IFERROR(__xludf.DUMMYFUNCTION("GOOGLETRANSLATE(C951,""fr"",""en"")"),"Satisfied with Direct Insurance, already at home before I come back with pleasure.
Qualitative and serious service.
Procedure to ensure my quick vehicle!")</f>
        <v>Satisfied with Direct Insurance, already at home before I come back with pleasure.
Qualitative and serious service.
Procedure to ensure my quick vehicle!</v>
      </c>
    </row>
    <row r="952" ht="15.75" customHeight="1">
      <c r="A952" s="2">
        <v>2.0</v>
      </c>
      <c r="B952" s="2" t="s">
        <v>2623</v>
      </c>
      <c r="C952" s="2" t="s">
        <v>2624</v>
      </c>
      <c r="D952" s="2" t="s">
        <v>2194</v>
      </c>
      <c r="E952" s="2" t="s">
        <v>56</v>
      </c>
      <c r="F952" s="2" t="s">
        <v>15</v>
      </c>
      <c r="G952" s="2" t="s">
        <v>2625</v>
      </c>
      <c r="H952" s="2" t="s">
        <v>180</v>
      </c>
      <c r="I952" s="2" t="str">
        <f>IFERROR(__xludf.DUMMYFUNCTION("GOOGLETRANSLATE(C952,""fr"",""en"")"),"See the following points.")</f>
        <v>See the following points.</v>
      </c>
    </row>
    <row r="953" ht="15.75" customHeight="1">
      <c r="A953" s="2">
        <v>5.0</v>
      </c>
      <c r="B953" s="2" t="s">
        <v>2626</v>
      </c>
      <c r="C953" s="2" t="s">
        <v>2627</v>
      </c>
      <c r="D953" s="2" t="s">
        <v>134</v>
      </c>
      <c r="E953" s="2" t="s">
        <v>56</v>
      </c>
      <c r="F953" s="2" t="s">
        <v>15</v>
      </c>
      <c r="G953" s="2" t="s">
        <v>2628</v>
      </c>
      <c r="H953" s="2" t="s">
        <v>68</v>
      </c>
      <c r="I953" s="2" t="str">
        <f>IFERROR(__xludf.DUMMYFUNCTION("GOOGLETRANSLATE(C953,""fr"",""en"")"),"I am satisfied with the service offer, I am completely satisfied with the prices charged with you compared to the competitor. I found the right insurance compromise for my motorcycle. thank you.")</f>
        <v>I am satisfied with the service offer, I am completely satisfied with the prices charged with you compared to the competitor. I found the right insurance compromise for my motorcycle. thank you.</v>
      </c>
    </row>
    <row r="954" ht="15.75" customHeight="1">
      <c r="A954" s="2">
        <v>1.0</v>
      </c>
      <c r="B954" s="2" t="s">
        <v>2629</v>
      </c>
      <c r="C954" s="2" t="s">
        <v>2630</v>
      </c>
      <c r="D954" s="2" t="s">
        <v>24</v>
      </c>
      <c r="E954" s="2" t="s">
        <v>14</v>
      </c>
      <c r="F954" s="2" t="s">
        <v>15</v>
      </c>
      <c r="G954" s="2" t="s">
        <v>2631</v>
      </c>
      <c r="H954" s="2" t="s">
        <v>42</v>
      </c>
      <c r="I954" s="2" t="str">
        <f>IFERROR(__xludf.DUMMYFUNCTION("GOOGLETRANSLATE(C954,""fr"",""en"")"),"Car insurance termination made with my new insurer so that it takes effect after the anniversary of my contract, August 26, 2021. October 2021, contract still active, my annual subscription still not reimbursed. Obviously, we reject the levy, but the insu"&amp;"rance company allows itself to relaunch me for an ""unpaid"" and to transmit to the litigation. It is self -evident that this insurer has not respected the Hamon law and that obviously no regulations will be made in their favor since their contract party "&amp;"has not been respected.
I answer the emails asking me to settle this """" unpaid """", by transmitting the LRAR slip, I am inquired to answer me within 2 working days. I remained unanswered of all my emails to date, in November 2021.
In addition guarant"&amp;"ees to flush the daisies for an exorbitant rate.
Very deeply disappointed with the administrative service.")</f>
        <v>Car insurance termination made with my new insurer so that it takes effect after the anniversary of my contract, August 26, 2021. October 2021, contract still active, my annual subscription still not reimbursed. Obviously, we reject the levy, but the insurance company allows itself to relaunch me for an "unpaid" and to transmit to the litigation. It is self -evident that this insurer has not respected the Hamon law and that obviously no regulations will be made in their favor since their contract party has not been respected.
I answer the emails asking me to settle this "" unpaid "", by transmitting the LRAR slip, I am inquired to answer me within 2 working days. I remained unanswered of all my emails to date, in November 2021.
In addition guarantees to flush the daisies for an exorbitant rate.
Very deeply disappointed with the administrative service.</v>
      </c>
    </row>
    <row r="955" ht="15.75" customHeight="1">
      <c r="A955" s="2">
        <v>5.0</v>
      </c>
      <c r="B955" s="2" t="s">
        <v>2632</v>
      </c>
      <c r="C955" s="2" t="s">
        <v>2633</v>
      </c>
      <c r="D955" s="2" t="s">
        <v>13</v>
      </c>
      <c r="E955" s="2" t="s">
        <v>14</v>
      </c>
      <c r="F955" s="2" t="s">
        <v>15</v>
      </c>
      <c r="G955" s="2" t="s">
        <v>515</v>
      </c>
      <c r="H955" s="2" t="s">
        <v>52</v>
      </c>
      <c r="I955" s="2" t="str">
        <f>IFERROR(__xludf.DUMMYFUNCTION("GOOGLETRANSLATE(C955,""fr"",""en"")"),"Simple, practical, the prices are affordable, too bad that the services after sales are relocated because I have already had certain problems of understanding.")</f>
        <v>Simple, practical, the prices are affordable, too bad that the services after sales are relocated because I have already had certain problems of understanding.</v>
      </c>
    </row>
    <row r="956" ht="15.75" customHeight="1">
      <c r="A956" s="2">
        <v>1.0</v>
      </c>
      <c r="B956" s="2" t="s">
        <v>2634</v>
      </c>
      <c r="C956" s="2" t="s">
        <v>2635</v>
      </c>
      <c r="D956" s="2" t="s">
        <v>39</v>
      </c>
      <c r="E956" s="2" t="s">
        <v>14</v>
      </c>
      <c r="F956" s="2" t="s">
        <v>15</v>
      </c>
      <c r="G956" s="2" t="s">
        <v>937</v>
      </c>
      <c r="H956" s="2" t="s">
        <v>636</v>
      </c>
      <c r="I956" s="2" t="str">
        <f>IFERROR(__xludf.DUMMYFUNCTION("GOOGLETRANSLATE(C956,""fr"",""en"")"),"Tented by there company after 60 years of loyalty. I was left without insurance just before the deadline despite complaint in the quality service. Inadmissible. Disappointing. My children and grandchildren will all terminate too.")</f>
        <v>Tented by there company after 60 years of loyalty. I was left without insurance just before the deadline despite complaint in the quality service. Inadmissible. Disappointing. My children and grandchildren will all terminate too.</v>
      </c>
    </row>
    <row r="957" ht="15.75" customHeight="1">
      <c r="A957" s="2">
        <v>5.0</v>
      </c>
      <c r="B957" s="2" t="s">
        <v>2636</v>
      </c>
      <c r="C957" s="2" t="s">
        <v>2637</v>
      </c>
      <c r="D957" s="2" t="s">
        <v>24</v>
      </c>
      <c r="E957" s="2" t="s">
        <v>14</v>
      </c>
      <c r="F957" s="2" t="s">
        <v>15</v>
      </c>
      <c r="G957" s="2" t="s">
        <v>605</v>
      </c>
      <c r="H957" s="2" t="s">
        <v>42</v>
      </c>
      <c r="I957" s="2" t="str">
        <f>IFERROR(__xludf.DUMMYFUNCTION("GOOGLETRANSLATE(C957,""fr"",""en"")"),"I was perfectly informed, the prices are more than correct, effective. I am satisfied with my future insurance contract with the insurance olive tree.")</f>
        <v>I was perfectly informed, the prices are more than correct, effective. I am satisfied with my future insurance contract with the insurance olive tree.</v>
      </c>
    </row>
    <row r="958" ht="15.75" customHeight="1">
      <c r="A958" s="2">
        <v>4.0</v>
      </c>
      <c r="B958" s="2" t="s">
        <v>2638</v>
      </c>
      <c r="C958" s="2" t="s">
        <v>2639</v>
      </c>
      <c r="D958" s="2" t="s">
        <v>24</v>
      </c>
      <c r="E958" s="2" t="s">
        <v>14</v>
      </c>
      <c r="F958" s="2" t="s">
        <v>15</v>
      </c>
      <c r="G958" s="2" t="s">
        <v>1768</v>
      </c>
      <c r="H958" s="2" t="s">
        <v>52</v>
      </c>
      <c r="I958" s="2" t="str">
        <f>IFERROR(__xludf.DUMMYFUNCTION("GOOGLETRANSLATE(C958,""fr"",""en"")"),"I am satisfied with this insurance and especially the reception of the manager
I am satisfied with this insurance and especially the reception of the GHG")</f>
        <v>I am satisfied with this insurance and especially the reception of the manager
I am satisfied with this insurance and especially the reception of the GHG</v>
      </c>
    </row>
    <row r="959" ht="15.75" customHeight="1">
      <c r="A959" s="2">
        <v>1.0</v>
      </c>
      <c r="B959" s="2" t="s">
        <v>2640</v>
      </c>
      <c r="C959" s="2" t="s">
        <v>2641</v>
      </c>
      <c r="D959" s="2" t="s">
        <v>639</v>
      </c>
      <c r="E959" s="2" t="s">
        <v>46</v>
      </c>
      <c r="F959" s="2" t="s">
        <v>15</v>
      </c>
      <c r="G959" s="2" t="s">
        <v>2642</v>
      </c>
      <c r="H959" s="2" t="s">
        <v>536</v>
      </c>
      <c r="I959" s="2" t="str">
        <f>IFERROR(__xludf.DUMMYFUNCTION("GOOGLETRANSLATE(C959,""fr"",""en"")"),"What has happened to AFER for more than a month ????
Following my successive AFER setbacks which are still not resolved on your site and my partial redemption request physically submitted to your direction on rue du Châteaudun on October 8, 2019 (see my "&amp;"two attachments below), I still have not Received my transfer of my three miles euros to my post of the postal bank whose Iban code is, that is fifteen days; are there any other problems ??? Knowing that the delay is ten days.")</f>
        <v>What has happened to AFER for more than a month ????
Following my successive AFER setbacks which are still not resolved on your site and my partial redemption request physically submitted to your direction on rue du Châteaudun on October 8, 2019 (see my two attachments below), I still have not Received my transfer of my three miles euros to my post of the postal bank whose Iban code is, that is fifteen days; are there any other problems ??? Knowing that the delay is ten days.</v>
      </c>
    </row>
    <row r="960" ht="15.75" customHeight="1">
      <c r="A960" s="2">
        <v>4.0</v>
      </c>
      <c r="B960" s="2" t="s">
        <v>2643</v>
      </c>
      <c r="C960" s="2" t="s">
        <v>2644</v>
      </c>
      <c r="D960" s="2" t="s">
        <v>24</v>
      </c>
      <c r="E960" s="2" t="s">
        <v>14</v>
      </c>
      <c r="F960" s="2" t="s">
        <v>15</v>
      </c>
      <c r="G960" s="2" t="s">
        <v>1186</v>
      </c>
      <c r="H960" s="2" t="s">
        <v>84</v>
      </c>
      <c r="I960" s="2" t="str">
        <f>IFERROR(__xludf.DUMMYFUNCTION("GOOGLETRANSLATE(C960,""fr"",""en"")"),"I am satisfied with the quality/price ratio offered, the simplicity of the procedure as well as the reception which was given to me. I would recommend the olive tree with my loved ones")</f>
        <v>I am satisfied with the quality/price ratio offered, the simplicity of the procedure as well as the reception which was given to me. I would recommend the olive tree with my loved ones</v>
      </c>
    </row>
    <row r="961" ht="15.75" customHeight="1">
      <c r="A961" s="2">
        <v>3.0</v>
      </c>
      <c r="B961" s="2" t="s">
        <v>2645</v>
      </c>
      <c r="C961" s="2" t="s">
        <v>2646</v>
      </c>
      <c r="D961" s="2" t="s">
        <v>13</v>
      </c>
      <c r="E961" s="2" t="s">
        <v>14</v>
      </c>
      <c r="F961" s="2" t="s">
        <v>15</v>
      </c>
      <c r="G961" s="2" t="s">
        <v>1240</v>
      </c>
      <c r="H961" s="2" t="s">
        <v>52</v>
      </c>
      <c r="I961" s="2" t="str">
        <f>IFERROR(__xludf.DUMMYFUNCTION("GOOGLETRANSLATE(C961,""fr"",""en"")"),"Hello, my old contract with All Secur is always active and I pay the 2 insurance. All Secur tell me that they have not received the termination documents, Direct Insurance tell me that they sent them")</f>
        <v>Hello, my old contract with All Secur is always active and I pay the 2 insurance. All Secur tell me that they have not received the termination documents, Direct Insurance tell me that they sent them</v>
      </c>
    </row>
    <row r="962" ht="15.75" customHeight="1">
      <c r="A962" s="2">
        <v>5.0</v>
      </c>
      <c r="B962" s="2" t="s">
        <v>2647</v>
      </c>
      <c r="C962" s="2" t="s">
        <v>2648</v>
      </c>
      <c r="D962" s="2" t="s">
        <v>13</v>
      </c>
      <c r="E962" s="2" t="s">
        <v>14</v>
      </c>
      <c r="F962" s="2" t="s">
        <v>15</v>
      </c>
      <c r="G962" s="2" t="s">
        <v>1765</v>
      </c>
      <c r="H962" s="2" t="s">
        <v>21</v>
      </c>
      <c r="I962" s="2" t="str">
        <f>IFERROR(__xludf.DUMMYFUNCTION("GOOGLETRANSLATE(C962,""fr"",""en"")"),"I am satisfied with the service. The guarantees are of high quality and the rates very competitive. I recommend direct insurance the service is fast")</f>
        <v>I am satisfied with the service. The guarantees are of high quality and the rates very competitive. I recommend direct insurance the service is fast</v>
      </c>
    </row>
    <row r="963" ht="15.75" customHeight="1">
      <c r="A963" s="2">
        <v>4.0</v>
      </c>
      <c r="B963" s="2" t="s">
        <v>2649</v>
      </c>
      <c r="C963" s="2" t="s">
        <v>2650</v>
      </c>
      <c r="D963" s="2" t="s">
        <v>55</v>
      </c>
      <c r="E963" s="2" t="s">
        <v>56</v>
      </c>
      <c r="F963" s="2" t="s">
        <v>15</v>
      </c>
      <c r="G963" s="2" t="s">
        <v>413</v>
      </c>
      <c r="H963" s="2" t="s">
        <v>17</v>
      </c>
      <c r="I963" s="2" t="str">
        <f>IFERROR(__xludf.DUMMYFUNCTION("GOOGLETRANSLATE(C963,""fr"",""en"")"),"I am satisfied with the service, its proper functioning, its effectiveness as well as its simplicity of understanding for novices as I am. Thank you")</f>
        <v>I am satisfied with the service, its proper functioning, its effectiveness as well as its simplicity of understanding for novices as I am. Thank you</v>
      </c>
    </row>
    <row r="964" ht="15.75" customHeight="1">
      <c r="A964" s="2">
        <v>1.0</v>
      </c>
      <c r="B964" s="2" t="s">
        <v>2651</v>
      </c>
      <c r="C964" s="2" t="s">
        <v>2652</v>
      </c>
      <c r="D964" s="2" t="s">
        <v>13</v>
      </c>
      <c r="E964" s="2" t="s">
        <v>14</v>
      </c>
      <c r="F964" s="2" t="s">
        <v>15</v>
      </c>
      <c r="G964" s="2" t="s">
        <v>490</v>
      </c>
      <c r="H964" s="2" t="s">
        <v>52</v>
      </c>
      <c r="I964" s="2" t="str">
        <f>IFERROR(__xludf.DUMMYFUNCTION("GOOGLETRANSLATE(C964,""fr"",""en"")"),"I find that I have been increased a lot when I have had no accidents for years.
In addition, the Direct Insurance car activity had to be very beneficiary this year 2020 during which the traffic was greatly reduced. I plan to change company")</f>
        <v>I find that I have been increased a lot when I have had no accidents for years.
In addition, the Direct Insurance car activity had to be very beneficiary this year 2020 during which the traffic was greatly reduced. I plan to change company</v>
      </c>
    </row>
    <row r="965" ht="15.75" customHeight="1">
      <c r="A965" s="2">
        <v>5.0</v>
      </c>
      <c r="B965" s="2" t="s">
        <v>2653</v>
      </c>
      <c r="C965" s="2" t="s">
        <v>2654</v>
      </c>
      <c r="D965" s="2" t="s">
        <v>24</v>
      </c>
      <c r="E965" s="2" t="s">
        <v>14</v>
      </c>
      <c r="F965" s="2" t="s">
        <v>15</v>
      </c>
      <c r="G965" s="2" t="s">
        <v>2655</v>
      </c>
      <c r="H965" s="2" t="s">
        <v>167</v>
      </c>
      <c r="I965" s="2" t="str">
        <f>IFERROR(__xludf.DUMMYFUNCTION("GOOGLETRANSLATE(C965,""fr"",""en"")"),"Insurance that I would recommend to my loved ones, efficient and attentive customer service. Affordable price, ease of access to the quote on the Internet. Yours")</f>
        <v>Insurance that I would recommend to my loved ones, efficient and attentive customer service. Affordable price, ease of access to the quote on the Internet. Yours</v>
      </c>
    </row>
    <row r="966" ht="15.75" customHeight="1">
      <c r="A966" s="2">
        <v>5.0</v>
      </c>
      <c r="B966" s="2" t="s">
        <v>2656</v>
      </c>
      <c r="C966" s="2" t="s">
        <v>2657</v>
      </c>
      <c r="D966" s="2" t="s">
        <v>134</v>
      </c>
      <c r="E966" s="2" t="s">
        <v>56</v>
      </c>
      <c r="F966" s="2" t="s">
        <v>15</v>
      </c>
      <c r="G966" s="2" t="s">
        <v>890</v>
      </c>
      <c r="H966" s="2" t="s">
        <v>84</v>
      </c>
      <c r="I966" s="2" t="str">
        <f>IFERROR(__xludf.DUMMYFUNCTION("GOOGLETRANSLATE(C966,""fr"",""en"")"),"I am very satisfied with the online service
The prices are suitable for practical and simple.
Very well the payment and very well secured
Thanks to you it's cool.")</f>
        <v>I am very satisfied with the online service
The prices are suitable for practical and simple.
Very well the payment and very well secured
Thanks to you it's cool.</v>
      </c>
    </row>
    <row r="967" ht="15.75" customHeight="1">
      <c r="A967" s="2">
        <v>4.0</v>
      </c>
      <c r="B967" s="2" t="s">
        <v>2658</v>
      </c>
      <c r="C967" s="2" t="s">
        <v>2659</v>
      </c>
      <c r="D967" s="2" t="s">
        <v>246</v>
      </c>
      <c r="E967" s="2" t="s">
        <v>34</v>
      </c>
      <c r="F967" s="2" t="s">
        <v>15</v>
      </c>
      <c r="G967" s="2" t="s">
        <v>111</v>
      </c>
      <c r="H967" s="2" t="s">
        <v>52</v>
      </c>
      <c r="I967" s="2" t="str">
        <f>IFERROR(__xludf.DUMMYFUNCTION("GOOGLETRANSLATE(C967,""fr"",""en"")"),"Hello I was very well advised, Saliha took the time to help my efforts.
Thank you very much Saliha for your kindness
Goodbye ????
")</f>
        <v>Hello I was very well advised, Saliha took the time to help my efforts.
Thank you very much Saliha for your kindness
Goodbye ????
</v>
      </c>
    </row>
    <row r="968" ht="15.75" customHeight="1">
      <c r="A968" s="2">
        <v>1.0</v>
      </c>
      <c r="B968" s="2" t="s">
        <v>2660</v>
      </c>
      <c r="C968" s="2" t="s">
        <v>2661</v>
      </c>
      <c r="D968" s="2" t="s">
        <v>106</v>
      </c>
      <c r="E968" s="2" t="s">
        <v>14</v>
      </c>
      <c r="F968" s="2" t="s">
        <v>15</v>
      </c>
      <c r="G968" s="2" t="s">
        <v>2662</v>
      </c>
      <c r="H968" s="2" t="s">
        <v>1062</v>
      </c>
      <c r="I968" s="2" t="str">
        <f>IFERROR(__xludf.DUMMYFUNCTION("GOOGLETRANSLATE(C968,""fr"",""en"")"),"I bought a second vehicle I called the platform for a new contract, I had to wait a derogation because a luxury car.
I had to remind them several times to find out if I had the agreement, each time I explained my file.
I had the agreement and I called t"&amp;"hem the day before having my car to give my plates it he told me we don't assure you.
I told them that I had the exemption the lady told me yes had it to you but we are not, however, it's been 16 years old that I am with them.
The next day I found anoth"&amp;"er insurance for my second car it cost me 800 euros more
Nobody of the Macif calls me for the problem now I change my insurance.")</f>
        <v>I bought a second vehicle I called the platform for a new contract, I had to wait a derogation because a luxury car.
I had to remind them several times to find out if I had the agreement, each time I explained my file.
I had the agreement and I called them the day before having my car to give my plates it he told me we don't assure you.
I told them that I had the exemption the lady told me yes had it to you but we are not, however, it's been 16 years old that I am with them.
The next day I found another insurance for my second car it cost me 800 euros more
Nobody of the Macif calls me for the problem now I change my insurance.</v>
      </c>
    </row>
    <row r="969" ht="15.75" customHeight="1">
      <c r="A969" s="2">
        <v>1.0</v>
      </c>
      <c r="B969" s="2" t="s">
        <v>2663</v>
      </c>
      <c r="C969" s="2" t="s">
        <v>2664</v>
      </c>
      <c r="D969" s="2" t="s">
        <v>231</v>
      </c>
      <c r="E969" s="2" t="s">
        <v>34</v>
      </c>
      <c r="F969" s="2" t="s">
        <v>15</v>
      </c>
      <c r="G969" s="2" t="s">
        <v>2665</v>
      </c>
      <c r="H969" s="2" t="s">
        <v>540</v>
      </c>
      <c r="I969" s="2" t="str">
        <f>IFERROR(__xludf.DUMMYFUNCTION("GOOGLETRANSLATE(C969,""fr"",""en"")"),"Hello,
I was approached on 28/12/2016 by phone by a broker (it seems to me because the person did not show up) with a regional number appearing on the phone, to subscribe to a Neoliane health contract. I had the right to a discourse on this organization,"&amp;" to new health reforms as well as the reduction of the costs of hospitalization of the mutual insurance company etc etc, polished I listen.
And thereafter, I give a number that I receive by SMS, by ensuring that it does not commit. But in the end, this n"&amp;"umber made it possible to electronically subscribe to this health contract which I did not want to subscribe. This person at the end of the line simply wanted to sell a contract in order to enter these ""quotas"" ...
Now, I therefore want to retract, a"&amp;"fter research on the Internet, (to date I still haven't received the contract at my home) I have 14 calendar days from the date of membership.
When I try to join Néoliane, he tells me that the contract takes effect from 02/01/2017, and that I do not yet "&amp;"have a member number and that it will be created next week ( 10 days to create a member number it seems very long to me especially since everything is done by software). But why he can tell me from when my contract begins when they don't even have a membe"&amp;"r number to my name? But how do I get my member number ??
I have the impression that they do everything to waste time, and thus send me the contract at my home after the 14 days of retraction !!!
This is called abusive canvassing, because we are not"&amp;" even aware of the guarantees that you boast so exceptional they are they !! But especially that by phone we manage to take out a contract and that we are not really aware of this commitment !!
Thank you in advance for your replies
")</f>
        <v>Hello,
I was approached on 28/12/2016 by phone by a broker (it seems to me because the person did not show up) with a regional number appearing on the phone, to subscribe to a Neoliane health contract. I had the right to a discourse on this organization, to new health reforms as well as the reduction of the costs of hospitalization of the mutual insurance company etc etc, polished I listen.
And thereafter, I give a number that I receive by SMS, by ensuring that it does not commit. But in the end, this number made it possible to electronically subscribe to this health contract which I did not want to subscribe. This person at the end of the line simply wanted to sell a contract in order to enter these "quotas" ...
Now, I therefore want to retract, after research on the Internet, (to date I still haven't received the contract at my home) I have 14 calendar days from the date of membership.
When I try to join Néoliane, he tells me that the contract takes effect from 02/01/2017, and that I do not yet have a member number and that it will be created next week ( 10 days to create a member number it seems very long to me especially since everything is done by software). But why he can tell me from when my contract begins when they don't even have a member number to my name? But how do I get my member number ??
I have the impression that they do everything to waste time, and thus send me the contract at my home after the 14 days of retraction !!!
This is called abusive canvassing, because we are not even aware of the guarantees that you boast so exceptional they are they !! But especially that by phone we manage to take out a contract and that we are not really aware of this commitment !!
Thank you in advance for your replies
</v>
      </c>
    </row>
    <row r="970" ht="15.75" customHeight="1">
      <c r="A970" s="2">
        <v>5.0</v>
      </c>
      <c r="B970" s="2" t="s">
        <v>2666</v>
      </c>
      <c r="C970" s="2" t="s">
        <v>2667</v>
      </c>
      <c r="D970" s="2" t="s">
        <v>231</v>
      </c>
      <c r="E970" s="2" t="s">
        <v>34</v>
      </c>
      <c r="F970" s="2" t="s">
        <v>15</v>
      </c>
      <c r="G970" s="2" t="s">
        <v>2668</v>
      </c>
      <c r="H970" s="2" t="s">
        <v>167</v>
      </c>
      <c r="I970" s="2" t="str">
        <f>IFERROR(__xludf.DUMMYFUNCTION("GOOGLETRANSLATE(C970,""fr"",""en"")"),"I lost my Neoliane card but thanks to Maria I was able to have a copy in the second that followed my call.
I recommend without hesitation!
Thanks very much")</f>
        <v>I lost my Neoliane card but thanks to Maria I was able to have a copy in the second that followed my call.
I recommend without hesitation!
Thanks very much</v>
      </c>
    </row>
    <row r="971" ht="15.75" customHeight="1">
      <c r="A971" s="2">
        <v>4.0</v>
      </c>
      <c r="B971" s="2" t="s">
        <v>2669</v>
      </c>
      <c r="C971" s="2" t="s">
        <v>2670</v>
      </c>
      <c r="D971" s="2" t="s">
        <v>13</v>
      </c>
      <c r="E971" s="2" t="s">
        <v>14</v>
      </c>
      <c r="F971" s="2" t="s">
        <v>15</v>
      </c>
      <c r="G971" s="2" t="s">
        <v>472</v>
      </c>
      <c r="H971" s="2" t="s">
        <v>17</v>
      </c>
      <c r="I971" s="2" t="str">
        <f>IFERROR(__xludf.DUMMYFUNCTION("GOOGLETRANSLATE(C971,""fr"",""en"")"),"Satisfied for the price of this insurance. Regarding insurance coverage, we will see over time but it seems correct.
Cordially")</f>
        <v>Satisfied for the price of this insurance. Regarding insurance coverage, we will see over time but it seems correct.
Cordially</v>
      </c>
    </row>
    <row r="972" ht="15.75" customHeight="1">
      <c r="A972" s="2">
        <v>1.0</v>
      </c>
      <c r="B972" s="2" t="s">
        <v>2671</v>
      </c>
      <c r="C972" s="2" t="s">
        <v>2672</v>
      </c>
      <c r="D972" s="2" t="s">
        <v>33</v>
      </c>
      <c r="E972" s="2" t="s">
        <v>34</v>
      </c>
      <c r="F972" s="2" t="s">
        <v>15</v>
      </c>
      <c r="G972" s="2" t="s">
        <v>2673</v>
      </c>
      <c r="H972" s="2" t="s">
        <v>259</v>
      </c>
      <c r="I972" s="2" t="str">
        <f>IFERROR(__xludf.DUMMYFUNCTION("GOOGLETRANSLATE(C972,""fr"",""en"")"),"Automatic transfer request, taken into account after 3 years (however, I had formally made the agency, by transmitting my bank details when creating my file). Deceptive advertising, presents itself as the only health mutual of civil servants. Pricing prop"&amp;"ortional to the salary (my monthly subscription increased by 20 euros during their visit to them). Low coverage of health costs, despite the cost of the exorbitant subscription (more than 63 euros per month).
To flee !")</f>
        <v>Automatic transfer request, taken into account after 3 years (however, I had formally made the agency, by transmitting my bank details when creating my file). Deceptive advertising, presents itself as the only health mutual of civil servants. Pricing proportional to the salary (my monthly subscription increased by 20 euros during their visit to them). Low coverage of health costs, despite the cost of the exorbitant subscription (more than 63 euros per month).
To flee !</v>
      </c>
    </row>
    <row r="973" ht="15.75" customHeight="1">
      <c r="A973" s="2">
        <v>5.0</v>
      </c>
      <c r="B973" s="2" t="s">
        <v>2674</v>
      </c>
      <c r="C973" s="2" t="s">
        <v>2675</v>
      </c>
      <c r="D973" s="2" t="s">
        <v>13</v>
      </c>
      <c r="E973" s="2" t="s">
        <v>14</v>
      </c>
      <c r="F973" s="2" t="s">
        <v>15</v>
      </c>
      <c r="G973" s="2" t="s">
        <v>2059</v>
      </c>
      <c r="H973" s="2" t="s">
        <v>21</v>
      </c>
      <c r="I973" s="2" t="str">
        <f>IFERROR(__xludf.DUMMYFUNCTION("GOOGLETRANSLATE(C973,""fr"",""en"")"),"I am satisfied with the proposed contract, the price,
proposed options and ease of subscription.
Of the competitiveness of the procurement proposed
And speed")</f>
        <v>I am satisfied with the proposed contract, the price,
proposed options and ease of subscription.
Of the competitiveness of the procurement proposed
And speed</v>
      </c>
    </row>
    <row r="974" ht="15.75" customHeight="1">
      <c r="A974" s="2">
        <v>1.0</v>
      </c>
      <c r="B974" s="2" t="s">
        <v>2676</v>
      </c>
      <c r="C974" s="2" t="s">
        <v>2677</v>
      </c>
      <c r="D974" s="2" t="s">
        <v>28</v>
      </c>
      <c r="E974" s="2" t="s">
        <v>40</v>
      </c>
      <c r="F974" s="2" t="s">
        <v>15</v>
      </c>
      <c r="G974" s="2" t="s">
        <v>1895</v>
      </c>
      <c r="H974" s="2" t="s">
        <v>728</v>
      </c>
      <c r="I974" s="2" t="str">
        <f>IFERROR(__xludf.DUMMYFUNCTION("GOOGLETRANSLATE(C974,""fr"",""en"")"),"I asked to have my home insurance transform into non -occupying proprietary insurance and in the end it does 2 contracts to me while home insurance must be terminated since I have subscribed to non -occupying proprietary insurance.
Unreachable customer s"&amp;"ervice")</f>
        <v>I asked to have my home insurance transform into non -occupying proprietary insurance and in the end it does 2 contracts to me while home insurance must be terminated since I have subscribed to non -occupying proprietary insurance.
Unreachable customer service</v>
      </c>
    </row>
    <row r="975" ht="15.75" customHeight="1">
      <c r="A975" s="2">
        <v>2.0</v>
      </c>
      <c r="B975" s="2" t="s">
        <v>2678</v>
      </c>
      <c r="C975" s="2" t="s">
        <v>2679</v>
      </c>
      <c r="D975" s="2" t="s">
        <v>625</v>
      </c>
      <c r="E975" s="2" t="s">
        <v>34</v>
      </c>
      <c r="F975" s="2" t="s">
        <v>15</v>
      </c>
      <c r="G975" s="2" t="s">
        <v>2680</v>
      </c>
      <c r="H975" s="2" t="s">
        <v>292</v>
      </c>
      <c r="I975" s="2" t="str">
        <f>IFERROR(__xludf.DUMMYFUNCTION("GOOGLETRANSLATE(C975,""fr"",""en"")"),"Ensures since 01/012021
Care engaged around 02/02/2021 Still no reimbursement This insurance is not recognized in many clinical establishments It is always necessary to advance the costs but the reimbursement zero I do not recommend to FURS")</f>
        <v>Ensures since 01/012021
Care engaged around 02/02/2021 Still no reimbursement This insurance is not recognized in many clinical establishments It is always necessary to advance the costs but the reimbursement zero I do not recommend to FURS</v>
      </c>
    </row>
    <row r="976" ht="15.75" customHeight="1">
      <c r="A976" s="2">
        <v>2.0</v>
      </c>
      <c r="B976" s="2" t="s">
        <v>2681</v>
      </c>
      <c r="C976" s="2" t="s">
        <v>2682</v>
      </c>
      <c r="D976" s="2" t="s">
        <v>1507</v>
      </c>
      <c r="E976" s="2" t="s">
        <v>268</v>
      </c>
      <c r="F976" s="2" t="s">
        <v>15</v>
      </c>
      <c r="G976" s="2" t="s">
        <v>2683</v>
      </c>
      <c r="H976" s="2" t="s">
        <v>1062</v>
      </c>
      <c r="I976" s="2" t="str">
        <f>IFERROR(__xludf.DUMMYFUNCTION("GOOGLETRANSLATE(C976,""fr"",""en"")"),"I subscribed a few months ago for a puppy. During the period of COVID19, refusal to reimburse myself on the grounds of an error of my fact (I indicated 03/2019 instead of 03/2020 on the form while the veto indicated the right date and that the invoice is "&amp;"on the right date. All apologies are good not to reimburse. Impossible to chat with 1 limited interlocutor! My dog ​​being born in May 2019!")</f>
        <v>I subscribed a few months ago for a puppy. During the period of COVID19, refusal to reimburse myself on the grounds of an error of my fact (I indicated 03/2019 instead of 03/2020 on the form while the veto indicated the right date and that the invoice is on the right date. All apologies are good not to reimburse. Impossible to chat with 1 limited interlocutor! My dog ​​being born in May 2019!</v>
      </c>
    </row>
    <row r="977" ht="15.75" customHeight="1">
      <c r="A977" s="2">
        <v>5.0</v>
      </c>
      <c r="B977" s="2" t="s">
        <v>2684</v>
      </c>
      <c r="C977" s="2" t="s">
        <v>2685</v>
      </c>
      <c r="D977" s="2" t="s">
        <v>24</v>
      </c>
      <c r="E977" s="2" t="s">
        <v>14</v>
      </c>
      <c r="F977" s="2" t="s">
        <v>15</v>
      </c>
      <c r="G977" s="2" t="s">
        <v>2686</v>
      </c>
      <c r="H977" s="2" t="s">
        <v>814</v>
      </c>
      <c r="I977" s="2" t="str">
        <f>IFERROR(__xludf.DUMMYFUNCTION("GOOGLETRANSLATE(C977,""fr"",""en"")"),"Excellent insurer, very good value for money! It changes my previous insurer")</f>
        <v>Excellent insurer, very good value for money! It changes my previous insurer</v>
      </c>
    </row>
    <row r="978" ht="15.75" customHeight="1">
      <c r="A978" s="2">
        <v>1.0</v>
      </c>
      <c r="B978" s="2" t="s">
        <v>2687</v>
      </c>
      <c r="C978" s="2" t="s">
        <v>2688</v>
      </c>
      <c r="D978" s="2" t="s">
        <v>106</v>
      </c>
      <c r="E978" s="2" t="s">
        <v>46</v>
      </c>
      <c r="F978" s="2" t="s">
        <v>15</v>
      </c>
      <c r="G978" s="2" t="s">
        <v>2689</v>
      </c>
      <c r="H978" s="2" t="s">
        <v>292</v>
      </c>
      <c r="I978" s="2" t="str">
        <f>IFERROR(__xludf.DUMMYFUNCTION("GOOGLETRANSLATE(C978,""fr"",""en"")"),"I do not understand why since last December my interests are no longer credited daily as the previous years! I feel that the termination will not be long")</f>
        <v>I do not understand why since last December my interests are no longer credited daily as the previous years! I feel that the termination will not be long</v>
      </c>
    </row>
    <row r="979" ht="15.75" customHeight="1">
      <c r="A979" s="2">
        <v>3.0</v>
      </c>
      <c r="B979" s="2" t="s">
        <v>2690</v>
      </c>
      <c r="C979" s="2" t="s">
        <v>2691</v>
      </c>
      <c r="D979" s="2" t="s">
        <v>13</v>
      </c>
      <c r="E979" s="2" t="s">
        <v>14</v>
      </c>
      <c r="F979" s="2" t="s">
        <v>15</v>
      </c>
      <c r="G979" s="2" t="s">
        <v>1862</v>
      </c>
      <c r="H979" s="2" t="s">
        <v>52</v>
      </c>
      <c r="I979" s="2" t="str">
        <f>IFERROR(__xludf.DUMMYFUNCTION("GOOGLETRANSLATE(C979,""fr"",""en"")"),"Satisfied with the service, but the price remains high, knowing that I am a very faithful customer of Direct Insurance, that does not prevent the prices from stopping from one year to another.")</f>
        <v>Satisfied with the service, but the price remains high, knowing that I am a very faithful customer of Direct Insurance, that does not prevent the prices from stopping from one year to another.</v>
      </c>
    </row>
    <row r="980" ht="15.75" customHeight="1">
      <c r="A980" s="2">
        <v>1.0</v>
      </c>
      <c r="B980" s="2" t="s">
        <v>2692</v>
      </c>
      <c r="C980" s="2" t="s">
        <v>2693</v>
      </c>
      <c r="D980" s="2" t="s">
        <v>55</v>
      </c>
      <c r="E980" s="2" t="s">
        <v>56</v>
      </c>
      <c r="F980" s="2" t="s">
        <v>15</v>
      </c>
      <c r="G980" s="2" t="s">
        <v>561</v>
      </c>
      <c r="H980" s="2" t="s">
        <v>119</v>
      </c>
      <c r="I980" s="2" t="str">
        <f>IFERROR(__xludf.DUMMYFUNCTION("GOOGLETRANSLATE(C980,""fr"",""en"")"),"The worst insurance. Very bad telephone reception and they do not even try to defend you even if you are not wrong. I will never choose this insurance, for none of the vehicles in my family.")</f>
        <v>The worst insurance. Very bad telephone reception and they do not even try to defend you even if you are not wrong. I will never choose this insurance, for none of the vehicles in my family.</v>
      </c>
    </row>
    <row r="981" ht="15.75" customHeight="1">
      <c r="A981" s="2">
        <v>4.0</v>
      </c>
      <c r="B981" s="2" t="s">
        <v>2694</v>
      </c>
      <c r="C981" s="2" t="s">
        <v>2695</v>
      </c>
      <c r="D981" s="2" t="s">
        <v>24</v>
      </c>
      <c r="E981" s="2" t="s">
        <v>14</v>
      </c>
      <c r="F981" s="2" t="s">
        <v>15</v>
      </c>
      <c r="G981" s="2" t="s">
        <v>128</v>
      </c>
      <c r="H981" s="2" t="s">
        <v>128</v>
      </c>
      <c r="I981" s="2" t="str">
        <f>IFERROR(__xludf.DUMMYFUNCTION("GOOGLETRANSLATE(C981,""fr"",""en"")"),"I am satisfied with the service and the price offered by the olive tree remains to be seen what the quality of the assistance will be the day when I would need.")</f>
        <v>I am satisfied with the service and the price offered by the olive tree remains to be seen what the quality of the assistance will be the day when I would need.</v>
      </c>
    </row>
    <row r="982" ht="15.75" customHeight="1">
      <c r="A982" s="2">
        <v>5.0</v>
      </c>
      <c r="B982" s="2" t="s">
        <v>2696</v>
      </c>
      <c r="C982" s="2" t="s">
        <v>2697</v>
      </c>
      <c r="D982" s="2" t="s">
        <v>24</v>
      </c>
      <c r="E982" s="2" t="s">
        <v>14</v>
      </c>
      <c r="F982" s="2" t="s">
        <v>15</v>
      </c>
      <c r="G982" s="2" t="s">
        <v>327</v>
      </c>
      <c r="H982" s="2" t="s">
        <v>42</v>
      </c>
      <c r="I982" s="2" t="str">
        <f>IFERROR(__xludf.DUMMYFUNCTION("GOOGLETRANSLATE(C982,""fr"",""en"")"),"The subscription is fast and effective thanks to the electronic signature. The prices are very suitable for other insurers. Satisfactory experience")</f>
        <v>The subscription is fast and effective thanks to the electronic signature. The prices are very suitable for other insurers. Satisfactory experience</v>
      </c>
    </row>
    <row r="983" ht="15.75" customHeight="1">
      <c r="A983" s="2">
        <v>2.0</v>
      </c>
      <c r="B983" s="2" t="s">
        <v>2698</v>
      </c>
      <c r="C983" s="2" t="s">
        <v>2699</v>
      </c>
      <c r="D983" s="2" t="s">
        <v>13</v>
      </c>
      <c r="E983" s="2" t="s">
        <v>14</v>
      </c>
      <c r="F983" s="2" t="s">
        <v>15</v>
      </c>
      <c r="G983" s="2" t="s">
        <v>2700</v>
      </c>
      <c r="H983" s="2" t="s">
        <v>128</v>
      </c>
      <c r="I983" s="2" t="str">
        <f>IFERROR(__xludf.DUMMYFUNCTION("GOOGLETRANSLATE(C983,""fr"",""en"")"),"Do not comply with his quotes, does not return the substantial file fees! During the termination, incompetent advisor, is limited to repeating texts learned by heart! Company to flee unless you like to ride yourself")</f>
        <v>Do not comply with his quotes, does not return the substantial file fees! During the termination, incompetent advisor, is limited to repeating texts learned by heart! Company to flee unless you like to ride yourself</v>
      </c>
    </row>
    <row r="984" ht="15.75" customHeight="1">
      <c r="A984" s="2">
        <v>1.0</v>
      </c>
      <c r="B984" s="2" t="s">
        <v>2701</v>
      </c>
      <c r="C984" s="2" t="s">
        <v>2702</v>
      </c>
      <c r="D984" s="2" t="s">
        <v>13</v>
      </c>
      <c r="E984" s="2" t="s">
        <v>14</v>
      </c>
      <c r="F984" s="2" t="s">
        <v>15</v>
      </c>
      <c r="G984" s="2" t="s">
        <v>2703</v>
      </c>
      <c r="H984" s="2" t="s">
        <v>826</v>
      </c>
      <c r="I984" s="2" t="str">
        <f>IFERROR(__xludf.DUMMYFUNCTION("GOOGLETRANSLATE(C984,""fr"",""en"")"),"Namely, a break of ice applies only to an ice cream, as soon as you have two broken ice cream (rear door) this is no longer broken ice but vandalism. Who can say that this is really vandalism ??
DA confirms that this is vandalism so does not take care of"&amp;" disappointed by this measure we will see the result especially that I was in a city which is calm
A future customer they will lose.")</f>
        <v>Namely, a break of ice applies only to an ice cream, as soon as you have two broken ice cream (rear door) this is no longer broken ice but vandalism. Who can say that this is really vandalism ??
DA confirms that this is vandalism so does not take care of disappointed by this measure we will see the result especially that I was in a city which is calm
A future customer they will lose.</v>
      </c>
    </row>
    <row r="985" ht="15.75" customHeight="1">
      <c r="A985" s="2">
        <v>1.0</v>
      </c>
      <c r="B985" s="2" t="s">
        <v>2704</v>
      </c>
      <c r="C985" s="2" t="s">
        <v>2705</v>
      </c>
      <c r="D985" s="2" t="s">
        <v>71</v>
      </c>
      <c r="E985" s="2" t="s">
        <v>40</v>
      </c>
      <c r="F985" s="2" t="s">
        <v>15</v>
      </c>
      <c r="G985" s="2" t="s">
        <v>2186</v>
      </c>
      <c r="H985" s="2" t="s">
        <v>594</v>
      </c>
      <c r="I985" s="2" t="str">
        <f>IFERROR(__xludf.DUMMYFUNCTION("GOOGLETRANSLATE(C985,""fr"",""en"")"),"After a breaking of pipeline and a damaged ceiling, the MAIF advises us on one of their approved craftsman, who moves quickly but makes a discount quote 300 euros for the change of a placo + painting and then more news. . After many calls (more than 5 mon"&amp;"ths of waiting), I must force myself to call on local craftsmen: 800 euros all! And obviously the maif is based on the quote of their craftsman less the franchise (125 euros) and well there is not much left to pay the craftsmen. I suspect them of using hi"&amp;"s so-called craftsmen to carry out quotes and not do the work. And I pay 345 euros per year! Well I think I'm going to leave them soon!")</f>
        <v>After a breaking of pipeline and a damaged ceiling, the MAIF advises us on one of their approved craftsman, who moves quickly but makes a discount quote 300 euros for the change of a placo + painting and then more news. . After many calls (more than 5 months of waiting), I must force myself to call on local craftsmen: 800 euros all! And obviously the maif is based on the quote of their craftsman less the franchise (125 euros) and well there is not much left to pay the craftsmen. I suspect them of using his so-called craftsmen to carry out quotes and not do the work. And I pay 345 euros per year! Well I think I'm going to leave them soon!</v>
      </c>
    </row>
    <row r="986" ht="15.75" customHeight="1">
      <c r="A986" s="2">
        <v>3.0</v>
      </c>
      <c r="B986" s="2" t="s">
        <v>2706</v>
      </c>
      <c r="C986" s="2" t="s">
        <v>2707</v>
      </c>
      <c r="D986" s="2" t="s">
        <v>246</v>
      </c>
      <c r="E986" s="2" t="s">
        <v>34</v>
      </c>
      <c r="F986" s="2" t="s">
        <v>15</v>
      </c>
      <c r="G986" s="2" t="s">
        <v>2708</v>
      </c>
      <c r="H986" s="2" t="s">
        <v>444</v>
      </c>
      <c r="I986" s="2" t="str">
        <f>IFERROR(__xludf.DUMMYFUNCTION("GOOGLETRANSLATE(C986,""fr"",""en"")"),"Have chosen Santiane since 2014 when we have no longer benefited from the work group mutual")</f>
        <v>Have chosen Santiane since 2014 when we have no longer benefited from the work group mutual</v>
      </c>
    </row>
    <row r="987" ht="15.75" customHeight="1">
      <c r="A987" s="2">
        <v>3.0</v>
      </c>
      <c r="B987" s="2" t="s">
        <v>2709</v>
      </c>
      <c r="C987" s="2" t="s">
        <v>2710</v>
      </c>
      <c r="D987" s="2" t="s">
        <v>13</v>
      </c>
      <c r="E987" s="2" t="s">
        <v>14</v>
      </c>
      <c r="F987" s="2" t="s">
        <v>15</v>
      </c>
      <c r="G987" s="2" t="s">
        <v>549</v>
      </c>
      <c r="H987" s="2" t="s">
        <v>52</v>
      </c>
      <c r="I987" s="2" t="str">
        <f>IFERROR(__xludf.DUMMYFUNCTION("GOOGLETRANSLATE(C987,""fr"",""en"")"),"I am satisfied with the service, however my car was park in a garden and now park in a closed parking, and the price of my insurance has not dropped")</f>
        <v>I am satisfied with the service, however my car was park in a garden and now park in a closed parking, and the price of my insurance has not dropped</v>
      </c>
    </row>
    <row r="988" ht="15.75" customHeight="1">
      <c r="A988" s="2">
        <v>5.0</v>
      </c>
      <c r="B988" s="2" t="s">
        <v>2711</v>
      </c>
      <c r="C988" s="2" t="s">
        <v>2712</v>
      </c>
      <c r="D988" s="2" t="s">
        <v>13</v>
      </c>
      <c r="E988" s="2" t="s">
        <v>14</v>
      </c>
      <c r="F988" s="2" t="s">
        <v>15</v>
      </c>
      <c r="G988" s="2" t="s">
        <v>352</v>
      </c>
      <c r="H988" s="2" t="s">
        <v>52</v>
      </c>
      <c r="I988" s="2" t="str">
        <f>IFERROR(__xludf.DUMMYFUNCTION("GOOGLETRANSLATE(C988,""fr"",""en"")"),"Trien à Redire concerning Direct Assurances. Good value for money and service always at the top. Continue like that. Affordable price in all circumstances and seriousness of the staff. It's nice")</f>
        <v>Trien à Redire concerning Direct Assurances. Good value for money and service always at the top. Continue like that. Affordable price in all circumstances and seriousness of the staff. It's nice</v>
      </c>
    </row>
    <row r="989" ht="15.75" customHeight="1">
      <c r="A989" s="2">
        <v>5.0</v>
      </c>
      <c r="B989" s="2" t="s">
        <v>2713</v>
      </c>
      <c r="C989" s="2" t="s">
        <v>2714</v>
      </c>
      <c r="D989" s="2" t="s">
        <v>13</v>
      </c>
      <c r="E989" s="2" t="s">
        <v>14</v>
      </c>
      <c r="F989" s="2" t="s">
        <v>15</v>
      </c>
      <c r="G989" s="2" t="s">
        <v>487</v>
      </c>
      <c r="H989" s="2" t="s">
        <v>128</v>
      </c>
      <c r="I989" s="2" t="str">
        <f>IFERROR(__xludf.DUMMYFUNCTION("GOOGLETRANSLATE(C989,""fr"",""en"")"),"I have been the customer for ten years and I am very satisfied. Correct prices, very good customer service. Direct insurance to advise.")</f>
        <v>I have been the customer for ten years and I am very satisfied. Correct prices, very good customer service. Direct insurance to advise.</v>
      </c>
    </row>
    <row r="990" ht="15.75" customHeight="1">
      <c r="A990" s="2">
        <v>5.0</v>
      </c>
      <c r="B990" s="2" t="s">
        <v>2715</v>
      </c>
      <c r="C990" s="2" t="s">
        <v>2716</v>
      </c>
      <c r="D990" s="2" t="s">
        <v>24</v>
      </c>
      <c r="E990" s="2" t="s">
        <v>14</v>
      </c>
      <c r="F990" s="2" t="s">
        <v>15</v>
      </c>
      <c r="G990" s="2" t="s">
        <v>543</v>
      </c>
      <c r="H990" s="2" t="s">
        <v>84</v>
      </c>
      <c r="I990" s="2" t="str">
        <f>IFERROR(__xludf.DUMMYFUNCTION("GOOGLETRANSLATE(C990,""fr"",""en"")")," I am satisfied with the customer service, good value for money, speed of responses and advice from interlocutors, to date nothing negative.")</f>
        <v> I am satisfied with the customer service, good value for money, speed of responses and advice from interlocutors, to date nothing negative.</v>
      </c>
    </row>
    <row r="991" ht="15.75" customHeight="1">
      <c r="A991" s="2">
        <v>4.0</v>
      </c>
      <c r="B991" s="2" t="s">
        <v>2717</v>
      </c>
      <c r="C991" s="2" t="s">
        <v>2718</v>
      </c>
      <c r="D991" s="2" t="s">
        <v>13</v>
      </c>
      <c r="E991" s="2" t="s">
        <v>14</v>
      </c>
      <c r="F991" s="2" t="s">
        <v>15</v>
      </c>
      <c r="G991" s="2" t="s">
        <v>738</v>
      </c>
      <c r="H991" s="2" t="s">
        <v>128</v>
      </c>
      <c r="I991" s="2" t="str">
        <f>IFERROR(__xludf.DUMMYFUNCTION("GOOGLETRANSLATE(C991,""fr"",""en"")"),"Simple and practical. The advisers are available and answer our requests.
I recommended your insurance around me because I do not regret your offer")</f>
        <v>Simple and practical. The advisers are available and answer our requests.
I recommended your insurance around me because I do not regret your offer</v>
      </c>
    </row>
    <row r="992" ht="15.75" customHeight="1">
      <c r="A992" s="2">
        <v>1.0</v>
      </c>
      <c r="B992" s="2" t="s">
        <v>2719</v>
      </c>
      <c r="C992" s="2" t="s">
        <v>2720</v>
      </c>
      <c r="D992" s="2" t="s">
        <v>45</v>
      </c>
      <c r="E992" s="2" t="s">
        <v>40</v>
      </c>
      <c r="F992" s="2" t="s">
        <v>15</v>
      </c>
      <c r="G992" s="2" t="s">
        <v>1474</v>
      </c>
      <c r="H992" s="2" t="s">
        <v>73</v>
      </c>
      <c r="I992" s="2" t="str">
        <f>IFERROR(__xludf.DUMMYFUNCTION("GOOGLETRANSLATE(C992,""fr"",""en"")"),"Insurance to flee. Damage of water damage complicated and excluding warranty apparently but waiting for many months with a lot of emails and telephone calls. No contact between insurance. Finally an expert made the visit by phone. I wonder why we had to m"&amp;"ake an observation")</f>
        <v>Insurance to flee. Damage of water damage complicated and excluding warranty apparently but waiting for many months with a lot of emails and telephone calls. No contact between insurance. Finally an expert made the visit by phone. I wonder why we had to make an observation</v>
      </c>
    </row>
    <row r="993" ht="15.75" customHeight="1">
      <c r="A993" s="2">
        <v>3.0</v>
      </c>
      <c r="B993" s="2" t="s">
        <v>2721</v>
      </c>
      <c r="C993" s="2" t="s">
        <v>2722</v>
      </c>
      <c r="D993" s="2" t="s">
        <v>71</v>
      </c>
      <c r="E993" s="2" t="s">
        <v>14</v>
      </c>
      <c r="F993" s="2" t="s">
        <v>15</v>
      </c>
      <c r="G993" s="2" t="s">
        <v>2673</v>
      </c>
      <c r="H993" s="2" t="s">
        <v>259</v>
      </c>
      <c r="I993" s="2" t="str">
        <f>IFERROR(__xludf.DUMMYFUNCTION("GOOGLETRANSLATE(C993,""fr"",""en"")"),"My grandmother has been insured at MAIF for 30 years for all risks, the most expensive formula. A few days ago, his grandson; Without a license and alcoholic takes her keys to his knowledge, and degrades the car, and gets arrested. She deposes complaints "&amp;"to prove to the assurance that she did not give her the keys to her own.
Well, the maif does not want to take care of anything on the pretext that he lives under the same roof and is on the Dr. Ma GD Mother contract for civil insurance ...
A car that sh"&amp;"e bought 1 week ago and a total refusal of care! You pay but you shouldn't have a problem
A friend was also assured and her vehicle broke down in Corsica, they replied that they did not take water (the sea) into account, and therefore she had less than"&amp;" 50km from her home so no care. ..")</f>
        <v>My grandmother has been insured at MAIF for 30 years for all risks, the most expensive formula. A few days ago, his grandson; Without a license and alcoholic takes her keys to his knowledge, and degrades the car, and gets arrested. She deposes complaints to prove to the assurance that she did not give her the keys to her own.
Well, the maif does not want to take care of anything on the pretext that he lives under the same roof and is on the Dr. Ma GD Mother contract for civil insurance ...
A car that she bought 1 week ago and a total refusal of care! You pay but you shouldn't have a problem
A friend was also assured and her vehicle broke down in Corsica, they replied that they did not take water (the sea) into account, and therefore she had less than 50km from her home so no care. ..</v>
      </c>
    </row>
    <row r="994" ht="15.75" customHeight="1">
      <c r="A994" s="2">
        <v>5.0</v>
      </c>
      <c r="B994" s="2" t="s">
        <v>2723</v>
      </c>
      <c r="C994" s="2" t="s">
        <v>2724</v>
      </c>
      <c r="D994" s="2" t="s">
        <v>13</v>
      </c>
      <c r="E994" s="2" t="s">
        <v>14</v>
      </c>
      <c r="F994" s="2" t="s">
        <v>15</v>
      </c>
      <c r="G994" s="2" t="s">
        <v>303</v>
      </c>
      <c r="H994" s="2" t="s">
        <v>128</v>
      </c>
      <c r="I994" s="2" t="str">
        <f>IFERROR(__xludf.DUMMYFUNCTION("GOOGLETRANSLATE(C994,""fr"",""en"")"),"thank you.
I appreciate that the subscription will be done on the internet and not by phone
satisfied with your online service and the price offered for car insurance")</f>
        <v>thank you.
I appreciate that the subscription will be done on the internet and not by phone
satisfied with your online service and the price offered for car insurance</v>
      </c>
    </row>
    <row r="995" ht="15.75" customHeight="1">
      <c r="A995" s="2">
        <v>2.0</v>
      </c>
      <c r="B995" s="2" t="s">
        <v>2725</v>
      </c>
      <c r="C995" s="2" t="s">
        <v>2726</v>
      </c>
      <c r="D995" s="2" t="s">
        <v>106</v>
      </c>
      <c r="E995" s="2" t="s">
        <v>14</v>
      </c>
      <c r="F995" s="2" t="s">
        <v>15</v>
      </c>
      <c r="G995" s="2" t="s">
        <v>2727</v>
      </c>
      <c r="H995" s="2" t="s">
        <v>728</v>
      </c>
      <c r="I995" s="2" t="str">
        <f>IFERROR(__xludf.DUMMYFUNCTION("GOOGLETRANSLATE(C995,""fr"",""en"")"),"In December following an increase in car rate I went to the Macif which was cheaper. The salesperson tried to sell me the RPFA that I refused. The MACIF confirmation letter contained the RPFA that I refused again. I phoned twice then because this RPFA app"&amp;"eared in the documents to be signed. I was assured that I will be able to sign only car insurance. This was impossible, and I phoned twice this morning, I was hung up twice! I then asked that I am reminded and finally the signature problem was resolved. Y"&amp;"ou have to have time and patience!")</f>
        <v>In December following an increase in car rate I went to the Macif which was cheaper. The salesperson tried to sell me the RPFA that I refused. The MACIF confirmation letter contained the RPFA that I refused again. I phoned twice then because this RPFA appeared in the documents to be signed. I was assured that I will be able to sign only car insurance. This was impossible, and I phoned twice this morning, I was hung up twice! I then asked that I am reminded and finally the signature problem was resolved. You have to have time and patience!</v>
      </c>
    </row>
    <row r="996" ht="15.75" customHeight="1">
      <c r="A996" s="2">
        <v>4.0</v>
      </c>
      <c r="B996" s="2" t="s">
        <v>2728</v>
      </c>
      <c r="C996" s="2" t="s">
        <v>2729</v>
      </c>
      <c r="D996" s="2" t="s">
        <v>24</v>
      </c>
      <c r="E996" s="2" t="s">
        <v>14</v>
      </c>
      <c r="F996" s="2" t="s">
        <v>15</v>
      </c>
      <c r="G996" s="2" t="s">
        <v>2730</v>
      </c>
      <c r="H996" s="2" t="s">
        <v>68</v>
      </c>
      <c r="I996" s="2" t="str">
        <f>IFERROR(__xludf.DUMMYFUNCTION("GOOGLETRANSLATE(C996,""fr"",""en"")"),"I am satisfied with the service and the price that challenges any competition.
The advisers are pleasant and explains the procedures to take well to take out insurance.")</f>
        <v>I am satisfied with the service and the price that challenges any competition.
The advisers are pleasant and explains the procedures to take well to take out insurance.</v>
      </c>
    </row>
    <row r="997" ht="15.75" customHeight="1">
      <c r="A997" s="2">
        <v>1.0</v>
      </c>
      <c r="B997" s="2" t="s">
        <v>2731</v>
      </c>
      <c r="C997" s="2" t="s">
        <v>2732</v>
      </c>
      <c r="D997" s="2" t="s">
        <v>416</v>
      </c>
      <c r="E997" s="2" t="s">
        <v>34</v>
      </c>
      <c r="F997" s="2" t="s">
        <v>15</v>
      </c>
      <c r="G997" s="2" t="s">
        <v>2733</v>
      </c>
      <c r="H997" s="2" t="s">
        <v>243</v>
      </c>
      <c r="I997" s="2" t="str">
        <f>IFERROR(__xludf.DUMMYFUNCTION("GOOGLETRANSLATE(C997,""fr"",""en"")"),"Insurance that misleads its customers
I had the experience during a change of optics in the Macron law framework
Mutuelld to avoid because even with mediation they do not recognize their bad faith
I see that I am not the only one to complain")</f>
        <v>Insurance that misleads its customers
I had the experience during a change of optics in the Macron law framework
Mutuelld to avoid because even with mediation they do not recognize their bad faith
I see that I am not the only one to complain</v>
      </c>
    </row>
    <row r="998" ht="15.75" customHeight="1">
      <c r="A998" s="2">
        <v>5.0</v>
      </c>
      <c r="B998" s="2" t="s">
        <v>2734</v>
      </c>
      <c r="C998" s="2" t="s">
        <v>2735</v>
      </c>
      <c r="D998" s="2" t="s">
        <v>55</v>
      </c>
      <c r="E998" s="2" t="s">
        <v>56</v>
      </c>
      <c r="F998" s="2" t="s">
        <v>15</v>
      </c>
      <c r="G998" s="2" t="s">
        <v>1052</v>
      </c>
      <c r="H998" s="2" t="s">
        <v>140</v>
      </c>
      <c r="I998" s="2" t="str">
        <f>IFERROR(__xludf.DUMMYFUNCTION("GOOGLETRANSLATE(C998,""fr"",""en"")"),"My motorcycle insurance has always been at AMV (Cross, Trial, Enduro, Route) My son and my grandson are also there. I have never had a claim until this year and two times in this year, a non -responsible and 15 days after another official. No problem in t"&amp;"he two claims of skill and rapid interactions (phones, email etc ...) great responsiveness and listening to staff no endless waiting on the phone, contracts perfectly suited to various situations, at prices competitive.
After 40 years of AMV insurance, I"&amp;" only rented from their services. I am neither shareholder nor interests, just satisfied with their services.")</f>
        <v>My motorcycle insurance has always been at AMV (Cross, Trial, Enduro, Route) My son and my grandson are also there. I have never had a claim until this year and two times in this year, a non -responsible and 15 days after another official. No problem in the two claims of skill and rapid interactions (phones, email etc ...) great responsiveness and listening to staff no endless waiting on the phone, contracts perfectly suited to various situations, at prices competitive.
After 40 years of AMV insurance, I only rented from their services. I am neither shareholder nor interests, just satisfied with their services.</v>
      </c>
    </row>
    <row r="999" ht="15.75" customHeight="1">
      <c r="A999" s="2">
        <v>5.0</v>
      </c>
      <c r="B999" s="2" t="s">
        <v>2736</v>
      </c>
      <c r="C999" s="2" t="s">
        <v>2737</v>
      </c>
      <c r="D999" s="2" t="s">
        <v>24</v>
      </c>
      <c r="E999" s="2" t="s">
        <v>14</v>
      </c>
      <c r="F999" s="2" t="s">
        <v>15</v>
      </c>
      <c r="G999" s="2" t="s">
        <v>2738</v>
      </c>
      <c r="H999" s="2" t="s">
        <v>42</v>
      </c>
      <c r="I999" s="2" t="str">
        <f>IFERROR(__xludf.DUMMYFUNCTION("GOOGLETRANSLATE(C999,""fr"",""en"")"),"Very listening advisers. I am very happy with service that you have been offering me for a while that I am at home with an interruption of course but I will always be faithful. Very welcome a very good listening especially at the level of tomorrow.")</f>
        <v>Very listening advisers. I am very happy with service that you have been offering me for a while that I am at home with an interruption of course but I will always be faithful. Very welcome a very good listening especially at the level of tomorrow.</v>
      </c>
    </row>
    <row r="1000" ht="15.75" customHeight="1">
      <c r="A1000" s="2">
        <v>2.0</v>
      </c>
      <c r="B1000" s="2" t="s">
        <v>2739</v>
      </c>
      <c r="C1000" s="2" t="s">
        <v>2740</v>
      </c>
      <c r="D1000" s="2" t="s">
        <v>134</v>
      </c>
      <c r="E1000" s="2" t="s">
        <v>56</v>
      </c>
      <c r="F1000" s="2" t="s">
        <v>15</v>
      </c>
      <c r="G1000" s="2" t="s">
        <v>2741</v>
      </c>
      <c r="H1000" s="2" t="s">
        <v>62</v>
      </c>
      <c r="I1000" s="2" t="str">
        <f>IFERROR(__xludf.DUMMYFUNCTION("GOOGLETRANSLATE(C1000,""fr"",""en"")"),"RUN AWAY ! In dispute for 2 months, I bitterly regret having trusted them. They are perfectly incompetent, even disrespectful of the customer on the phone (an operator literally sent me walking because I kindly asked how it was that my original top case w"&amp;"as not taken care of !!! hallucinating the way which you are treated with April).
You have to fight constantly, email on email to try to get the case and despite that you are still abused on the basic amount taken into account (negotiated purchase price "&amp;"reduced by 14% without any explanation instead of the amount established by the expert ...).
In short insurance without any consideration for customers.")</f>
        <v>RUN AWAY ! In dispute for 2 months, I bitterly regret having trusted them. They are perfectly incompetent, even disrespectful of the customer on the phone (an operator literally sent me walking because I kindly asked how it was that my original top case was not taken care of !!! hallucinating the way which you are treated with April).
You have to fight constantly, email on email to try to get the case and despite that you are still abused on the basic amount taken into account (negotiated purchase price reduced by 14% without any explanation instead of the amount established by the expert ...).
In short insurance without any consideration for customers.</v>
      </c>
    </row>
    <row r="1001" ht="15.75" customHeight="1">
      <c r="A1001" s="2">
        <v>5.0</v>
      </c>
      <c r="B1001" s="2" t="s">
        <v>2742</v>
      </c>
      <c r="C1001" s="2" t="s">
        <v>2743</v>
      </c>
      <c r="D1001" s="2" t="s">
        <v>28</v>
      </c>
      <c r="E1001" s="2" t="s">
        <v>14</v>
      </c>
      <c r="F1001" s="2" t="s">
        <v>15</v>
      </c>
      <c r="G1001" s="2" t="s">
        <v>2744</v>
      </c>
      <c r="H1001" s="2" t="s">
        <v>259</v>
      </c>
      <c r="I1001" s="2" t="str">
        <f>IFERROR(__xludf.DUMMYFUNCTION("GOOGLETRANSLATE(C1001,""fr"",""en"")"),"I wanted to point out that the staff and very attentive to their customers and very attentive to our expectations
Being a retiree who does not always understand very well all which is administrative the staff takes the time to listen to us to explain to "&amp;"us and especially to advise us for 20 years that I am in this agency which is located on Boulevard St Michel in The 5th
A big thank you to the whole team stay as you are
Thank you")</f>
        <v>I wanted to point out that the staff and very attentive to their customers and very attentive to our expectations
Being a retiree who does not always understand very well all which is administrative the staff takes the time to listen to us to explain to us and especially to advise us for 20 years that I am in this agency which is located on Boulevard St Michel in The 5th
A big thank you to the whole team stay as you are
Thank you</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2022-12-16T15:48:27Z</dcterms:created>
</cp:coreProperties>
</file>