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XpKA/UKLrR6eW1JSyLuwxNKI9w=="/>
    </ext>
  </extLst>
</workbook>
</file>

<file path=xl/sharedStrings.xml><?xml version="1.0" encoding="utf-8"?>
<sst xmlns="http://schemas.openxmlformats.org/spreadsheetml/2006/main" count="7011" uniqueCount="2712">
  <si>
    <t>note</t>
  </si>
  <si>
    <t>auteur</t>
  </si>
  <si>
    <t>avis</t>
  </si>
  <si>
    <t>assureur</t>
  </si>
  <si>
    <t>produit</t>
  </si>
  <si>
    <t>type</t>
  </si>
  <si>
    <t>date_publication</t>
  </si>
  <si>
    <t>date_exp</t>
  </si>
  <si>
    <t>avis_en</t>
  </si>
  <si>
    <t>avis_cor</t>
  </si>
  <si>
    <t>avis_cor_en</t>
  </si>
  <si>
    <t>claire-m-130353</t>
  </si>
  <si>
    <t>les prix au top, la facilité d'inscription et les services proposées claires
je recommande facilement cette assurance, en espérant ne jamais être déçue par la suite</t>
  </si>
  <si>
    <t>Direct Assurance</t>
  </si>
  <si>
    <t>auto</t>
  </si>
  <si>
    <t>train</t>
  </si>
  <si>
    <t>31/08/2021</t>
  </si>
  <si>
    <t>01/08/2021</t>
  </si>
  <si>
    <t>tontonlouis-90075</t>
  </si>
  <si>
    <t>je n'ai pas les moyens d'attendre 3 à 4 semaines pour le remboursement; Quand au courtier il ne sert que de courroie de transmission, aucune autre utilité</t>
  </si>
  <si>
    <t>Cegema Assurances</t>
  </si>
  <si>
    <t>sante</t>
  </si>
  <si>
    <t>30/05/2020</t>
  </si>
  <si>
    <t>01/05/2020</t>
  </si>
  <si>
    <t>fred78-132197</t>
  </si>
  <si>
    <t xml:space="preserve">Je voulais assurer une Tesla Modèle 3 LR ...
Le prix de l'assurance tout risque proposé par la Macif était exorbitant :
115 Euro par mois...  (presque 2x plus cher que d'autres)
Visiblement, la Macif n'est pas encore au courant de l'évolution des véhicules électriques (très sécurisé, fiable, inviolable, sans entretien, peu de décote, etc..) et se base uniquement sur la puissance fiscale.
De plus, l'homme que j'ai eu au téléphone le 7 septembre 21, n'était pas particulièrement aimable, et n'en avait rien à faire que je quitte la Macif..
OK, c'est noté...
</t>
  </si>
  <si>
    <t>MACIF</t>
  </si>
  <si>
    <t>10/09/2021</t>
  </si>
  <si>
    <t>01/09/2021</t>
  </si>
  <si>
    <t>sud-70690</t>
  </si>
  <si>
    <t>Je suis en arrêt de travail depuis nov 2017 ,assuré cardifff en cas de maladie ,handicap ectt. Aucune prise en charge ,et vous ballade .</t>
  </si>
  <si>
    <t>Cardif</t>
  </si>
  <si>
    <t>credit</t>
  </si>
  <si>
    <t>07/02/2019</t>
  </si>
  <si>
    <t>01/02/2019</t>
  </si>
  <si>
    <t>fofi-80683</t>
  </si>
  <si>
    <t xml:space="preserve">inadmissible... je leur ai réglé un trop perçu suite à une erreur de mon dentiste sur des dates de soins, voilà un mois et de nombreux appels téléphoniques que j'attends un simple reçu afin d être remboursée par la mutuelle concernée et je n ai rien, un reçu c est un du ! c est simple et rapide ils me mettent en difficulté car c'est une forte somme, c'est honteux !!
</t>
  </si>
  <si>
    <t>Harmonie Mutuelle</t>
  </si>
  <si>
    <t>04/11/2019</t>
  </si>
  <si>
    <t>01/11/2019</t>
  </si>
  <si>
    <t>johan-r-134693</t>
  </si>
  <si>
    <t>Client depuis quelques années avec des départs et retour suite vente du véhicule, je suis satisfait du service et les prix sont attractifs, seul la franchise est un peu élévé.</t>
  </si>
  <si>
    <t>AMV</t>
  </si>
  <si>
    <t>moto</t>
  </si>
  <si>
    <t>27/09/2021</t>
  </si>
  <si>
    <t>muller-c-136357</t>
  </si>
  <si>
    <t>Satisfait pour le moment du relationnel client et des renseignements que j'ai reçu en contactant le service client.
Les explications étaient claires et la personne a pris le temps.</t>
  </si>
  <si>
    <t>L'olivier Assurance</t>
  </si>
  <si>
    <t>07/10/2021</t>
  </si>
  <si>
    <t>01/10/2021</t>
  </si>
  <si>
    <t>vandersteen-mauduit-larive-r-133403</t>
  </si>
  <si>
    <t>Satisfait pour le moment.
A voir dans le temps.
Merci pour la gentillesse au téléphone.
Reactivité tres bien, parti pour un an avec l'olivier assurance</t>
  </si>
  <si>
    <t>18/09/2021</t>
  </si>
  <si>
    <t>dailly-l-117724</t>
  </si>
  <si>
    <t>Je suis très satisfaite
Les prix me conviennent
simple et rapide
Conseillers rapides, aimables et efficaces
Je recommande vivement L'Olivier assurance !</t>
  </si>
  <si>
    <t>21/06/2021</t>
  </si>
  <si>
    <t>01/06/2021</t>
  </si>
  <si>
    <t>mensah-djoboku-t-114413</t>
  </si>
  <si>
    <t>Je suis très satisfait du prix, de l'accueil impeccable du conseiller par téléphone,et de la rapidité d'exécution de ce que je voulais . À moi de bien rouler .
Merci :)</t>
  </si>
  <si>
    <t>20/05/2021</t>
  </si>
  <si>
    <t>01/05/2021</t>
  </si>
  <si>
    <t>alohawave-65408</t>
  </si>
  <si>
    <t xml:space="preserve">Assureur militant...surtout pour les dividendes ou comment se faire du beurre sur le dos d'une réputation usurpée.
Assuré à la MAIF depuis de nombreuses années, j'ai eu la mauvaise surprise de voir mes contrats auto et habitation résilles  du jour au lendemain. Renseignement pris auprès de la MAIF (après x courriels envoyés +3 jours de tentatives téléphoniques et de nombreuses heures d'attentes sur les serveurs): Vous n'avez pas payé vos cotisations!
En effet, j'avais prévenu la MAIF via conseiller en délégation et courriel d'un changement de situation lors de réception de l'échéancier (un véhicule vendu et non remplacé) et me suis permis d'ajuster le montant de ma cotisation avant de procéder au virement bancaire(-97,80€ sur une somme de 1960,00€).
6 mois plus tard!!! le recommandé de mise en demeure est arrivé chez moi pendant les vacances!
Il est vrai que suite à un divorce difficile, j'ai eu il y a 4-5 ans quelques retard dans mes payement, mais est-ce une raison pour virer un "sociétaire", qui n'a déclaré qu'un sinistre en 15 ans?
Pour ne pas noircir d'avantage le tableau, je ne parlerai pas des échanges "limite" avec certains conseiller.
La MAIF dans son esprit de mutuelle au service et bénéfice de ses sociétaires est belle et bien morte, seul subsiste un "ZOMBIE militant" qui s'est glissé dans sa peau pour mieux vous détrousser!
Fuyez donc!   </t>
  </si>
  <si>
    <t>MAIF</t>
  </si>
  <si>
    <t>11/07/2018</t>
  </si>
  <si>
    <t>01/07/2018</t>
  </si>
  <si>
    <t>florian-r-124823</t>
  </si>
  <si>
    <t xml:space="preserve">Je viens juste de souscrire a cette assurance, je n'est pas encore un avis mature. Nous verront bien dans l'avenir ci elle correspond a mes attentes. </t>
  </si>
  <si>
    <t>26/07/2021</t>
  </si>
  <si>
    <t>01/07/2021</t>
  </si>
  <si>
    <t>hakoum-102564</t>
  </si>
  <si>
    <t xml:space="preserve">A fuir des que vous en avez la possibilité, à ne pas choisir si vous êtes entrain de chercher une mutuelle santé, 
Même l'étoile que j'ai mise elle n'est pas méritée.(pas de choix à donner un 0)
Quand vous souhaitez résilier ils sont prêts à tout pour grappiller encore quelques mois, ils sortent des lois propres à eux !!
 </t>
  </si>
  <si>
    <t>Santiane</t>
  </si>
  <si>
    <t>13/01/2021</t>
  </si>
  <si>
    <t>01/01/2021</t>
  </si>
  <si>
    <t>victime-59401</t>
  </si>
  <si>
    <t>C'est une honte. Pas une once de cœur. Mes parents illettrés ont du payer les pots cassés parceque la Macif ne veux rien faire</t>
  </si>
  <si>
    <t>habitation</t>
  </si>
  <si>
    <t>05/12/2017</t>
  </si>
  <si>
    <t>01/12/2017</t>
  </si>
  <si>
    <t>kinglost-62833</t>
  </si>
  <si>
    <t xml:space="preserve">Ayant u un sinistre auto non responsable assuré tiers max direct assurance à pris mon véhicule rapidement en charge dans un garage agreé ensuite deux jours après passage de l'expert 3900 euros de réparation le garage à été assez rapide pour les réparations il ont fait du bon boulot véhicule comme neuve en plus lavé et nettoyer je remercie toute l'équipe de direct assurance pour la rapidité et l'efficacité de leur garage agréé </t>
  </si>
  <si>
    <t>30/03/2018</t>
  </si>
  <si>
    <t>01/03/2018</t>
  </si>
  <si>
    <t>patrick-g-107367</t>
  </si>
  <si>
    <t xml:space="preserve">je suis satisfais du service mais les prix sont trop elevé en comparaison avec la concurrence, excepter une offre commerciale intéressante ,je me doit de souscrire un nouveau contrat avec la concurrence      </t>
  </si>
  <si>
    <t>21/03/2021</t>
  </si>
  <si>
    <t>01/03/2021</t>
  </si>
  <si>
    <t>moto-98747</t>
  </si>
  <si>
    <t xml:space="preserve">Je suis satisfait du service reçu. 1 semaine entre avoir contracté une assurance au tiers simple et la réception de la carte verte. Je suis bien content car mon véhicule n était plus assuré depuis plus de 3 ans </t>
  </si>
  <si>
    <t>14/10/2020</t>
  </si>
  <si>
    <t>01/10/2020</t>
  </si>
  <si>
    <t>narbonne-f-127984</t>
  </si>
  <si>
    <t>Tres bien merci beaucoup. C'est le second véhicule que j'assure chez l'olivier. rapide et efficace quand nous voulons assurer un véhicule rapidement !!</t>
  </si>
  <si>
    <t>14/08/2021</t>
  </si>
  <si>
    <t>philippe-b-109769</t>
  </si>
  <si>
    <t>Le suis SATISFAIT très pratique je n'ai rien à reprocher sur cette solution de souscription d'assurance en ligne. J'espère que cela va continuer dans l'avenir</t>
  </si>
  <si>
    <t>APRIL Moto</t>
  </si>
  <si>
    <t>09/04/2021</t>
  </si>
  <si>
    <t>01/04/2021</t>
  </si>
  <si>
    <t>nancy-s-130965</t>
  </si>
  <si>
    <t>JE SUIS SATISFAITE assurance pas chère et complète je la recommande vivement ayant fais tout le tour et ayant vu des tarifs exorbitants mon choix se pose allègrement chez direct assurance .</t>
  </si>
  <si>
    <t>02/09/2021</t>
  </si>
  <si>
    <t>bret-138579</t>
  </si>
  <si>
    <t>Merci à DIRECT ASSURANCES pour son professionnalisme. Pour le niveau d'écoute de ses équipes, leurs sérieux. Je recommande SANS réserve cet assureur, également pour ses performances tarifaires !</t>
  </si>
  <si>
    <t>29/10/2021</t>
  </si>
  <si>
    <t>alain-b-106835</t>
  </si>
  <si>
    <t>Offre de prix via devis acceptable pour la 1 ère année, mais  les années suivantes les cotisations flambent d'année en année. Donc attendez vous a des résiliations....</t>
  </si>
  <si>
    <t>16/03/2021</t>
  </si>
  <si>
    <t>inamo-w-110074</t>
  </si>
  <si>
    <t xml:space="preserve">J’espérais payer moins cher  pour les assurer cher vous  je trouve que vos tarif de 2020 son beaucoup Tirez vers le haut surtout pour des chauffeurs comme moi
</t>
  </si>
  <si>
    <t>12/04/2021</t>
  </si>
  <si>
    <t>kabir-m-128544</t>
  </si>
  <si>
    <t>Très bien je recommande fortement très accessible et bon service à l’écoute toujours opérationnelle 
Les options sont très fiables et le prix très abordabl</t>
  </si>
  <si>
    <t>18/08/2021</t>
  </si>
  <si>
    <t>normand-k-131929</t>
  </si>
  <si>
    <t>Récupération de l'assurance par internet simple et efficace avec l'aide d'un conseiller.
Voir après un sinistre si l'assurance est à la hauteur de mes attentes.</t>
  </si>
  <si>
    <t>08/09/2021</t>
  </si>
  <si>
    <t>ganesha-54517</t>
  </si>
  <si>
    <t>Je suis assurée pour leprêt d'un véhicule en cas de panne. Ce vendredi, en panne (2 h de réparation mais immobilisation du véhicule 5 jours faute de pièce + WE du 8 mai). La Maif refuse le prêt : il faut une réparation de 3 h.!!! Un non sens. Ce n'est pas l'immobilisation et non la réparation qui est importante. Un moyen de léser l'assuré. Où est l'assureur militant. La MAIF est devenue comme toutes les assurances un moyen de gagner le plus d'argent possible. Ce n'est plus une mutuelle.</t>
  </si>
  <si>
    <t>06/05/2017</t>
  </si>
  <si>
    <t>01/05/2017</t>
  </si>
  <si>
    <t>taha-90699</t>
  </si>
  <si>
    <t xml:space="preserve">Je suis satisfaite de direct assurance il me propose des tarif imbattable. Je souhaite assurer ma première voiture c est le top. Vraiment allez-y les yeux fermés. </t>
  </si>
  <si>
    <t>13/06/2020</t>
  </si>
  <si>
    <t>01/06/2020</t>
  </si>
  <si>
    <t>stephane-b-131936</t>
  </si>
  <si>
    <t>TARIFS ET AVIS PLUTOT BONS DANS L’ENSEMBLE M’ONT AMENÉ VERS VOUS. LA SIMPLICITÉ DE SOUSCRIPTION EST AUSSI UN BON POINT SURTOUT POUR LES PLUS ANCIENS. .</t>
  </si>
  <si>
    <t>caroline-d-114718</t>
  </si>
  <si>
    <t>Je suis satisfaite du service et de la tarification. J'ai 3 contrats d'assurance au sein de cette compagnie d'assurance et pour l'instant je n'ai eu que des expériences positives.</t>
  </si>
  <si>
    <t>25/05/2021</t>
  </si>
  <si>
    <t>jacotte-129821</t>
  </si>
  <si>
    <t xml:space="preserve">J’ai eu un sinistre en mars 2021 ou je suis victime j’ai du avancer la somme de 400 euros pour la facture de réparation qui s’élevait à 4300 euros alliant m’a remboursé 3900 euros et à ce jour je suis toujours en attente du règlement au téléphone n et dit que s’est la franchise de l’autre assurance s’est quand même incroyable que ce soit moi qui règle la franchise de l’autre. au téléphone on me dit qu’il faut attendre le recours du crédit mutuel qui est l’autre assurance .
Après renseignement auprès du crédit mutuel on me dit avoir réglé cette franchise et cloture le dossier.
Voilà bientôt 6 mois que ce sinistre a eu lieu et toujours pas indemnisé !!
Je pense qu’allianz Ce moque de moi
Je ne vous recommande pas cette assurance </t>
  </si>
  <si>
    <t>Allianz</t>
  </si>
  <si>
    <t>27/08/2021</t>
  </si>
  <si>
    <t>pierrefouettard24-61835</t>
  </si>
  <si>
    <t>Mutuelle chère et dont les services se dégradent de plus en plus, catastrophique en ce qui concerne la Prévoyance Indemnisation maintien de salaire, nous sommes le 28 février 2018 et je n'ai pas été indemnisé depuis.....décembre 2017 ! "....Patientez.....votre dossier est en cours de traitement....." voilà ce qui m'est répondu par téléphone ou par mail ! Les employés de cette mutuelle accepteraient-t'ils de vivre 3 mois avec 1/2 salaire ???</t>
  </si>
  <si>
    <t>Intériale</t>
  </si>
  <si>
    <t>prevoyance</t>
  </si>
  <si>
    <t>28/02/2018</t>
  </si>
  <si>
    <t>01/02/2018</t>
  </si>
  <si>
    <t>romain-s-134810</t>
  </si>
  <si>
    <t>Prix satisfaisant et dire t assurance s occupe de tout pour les papier auprès de l ancien assureur je le conseillerais a d autre personne si l occasion ce présente</t>
  </si>
  <si>
    <t>28/09/2021</t>
  </si>
  <si>
    <t>max-107200</t>
  </si>
  <si>
    <t>AMV m'avais séduit par le style qu'elle voulait dégager sur son site et bien sur le prix proposé.
Tres content de l'assurance car je n'en avais jamais eu besoin, jusqu'au jour, ou je me suis fait renversé par une personne ne voulant pas faire de constat étant jeune conductrice sans assurance.
J'ai une témoin mais qui n'a jamais réussi à joindre l'assurance... Forcément il faut appeler entre 9H et 12H puis être envoyé en attente des heures... Le témoin est bien gentil mais n'a pas que ça à faire de passer sa vie au téléphone.... Malgré plusieurs tentative et aucun effort de la conseillère, ma témoin a lâché l'affaire (et je la comprend) et donc l'assurance aussi.... sans jamais avoir la possibilité d'avoir un espoir d'indemnisation du coups ... AMV ne sont pas trop élevé niveau tarif, je comprend mieux pourquoi....
Tout comme leur expertise... il faut déplacer sur la journée un véhicule qui ne roule pas pour être expertisé.... quand on leur explique que cela est compliqué... ils ne veulent rien entendre.</t>
  </si>
  <si>
    <t>19/03/2021</t>
  </si>
  <si>
    <t>kw91-69583</t>
  </si>
  <si>
    <t>Je trouve déplorable qu un assureur refuse de vous assuré après deux petits accidents en tort .</t>
  </si>
  <si>
    <t>20/12/2018</t>
  </si>
  <si>
    <t>01/12/2018</t>
  </si>
  <si>
    <t>rodier-87135</t>
  </si>
  <si>
    <t>Assurée chez Sogessur depuis 4 mois, je suis effarée par le manque de considération et de professionnalisme. J'ai pourtant opté pour une couverture optimale. Un tarif de plus de 2000 euros par an pour une maison ! Mais quelle mauvaise surprise ! Suite à la déclaration d'un sinistre au sein de mon domicile avec un tiers identifié et bien évidemment assuré ! Personne ne daigne prendre en compte le sinistre. Sogessur sous traite à Aviva juridique, première mauvaise surprise.  Un sous-traitant qui ne gère carrément pas votre dossier. Je suis totalement abandonnée. Je vais me tourner vers des associations de consommateurs. Je suis vraiment inquiète pour l'avenir si je rencontre un nouveau sinistre. En effet, je ne peux changer d'assurance avant la fin de l'année. 1 an d'ancienneté obligatoire avant résiliation. J'ai toujours été assurée chez des assureurs mutualistes et j'ai toujours été totalement satisfaite. Les cotisations sont plus élevées mais le service est de qualité. Mais suite à un prêt immobilier, mon banquier m'a vanté les qualités de Sogessur. Quelle énorme déception ! J'ai l'impression de mettre fait totalement avoir.
J'y ai cru... Quelle déception. Je me sens piégée. Je suis très inquiète. Je déconseille vivement cet assureur.</t>
  </si>
  <si>
    <t>Sogessur</t>
  </si>
  <si>
    <t>14/02/2020</t>
  </si>
  <si>
    <t>01/02/2020</t>
  </si>
  <si>
    <t>darkbeni--96255</t>
  </si>
  <si>
    <t xml:space="preserve">Attention à cette assurance.. Non respect délai. Injoignable et pourtant à la souscription on vous vend du rêve à fuir je ne penser pas que en France cela pouvait exister et pouvoir vendre c produits. </t>
  </si>
  <si>
    <t>Assur O'Poil</t>
  </si>
  <si>
    <t>animaux</t>
  </si>
  <si>
    <t>13/08/2020</t>
  </si>
  <si>
    <t>01/08/2020</t>
  </si>
  <si>
    <t>karine-68281</t>
  </si>
  <si>
    <t>Consultez les avis sur 60 millions de consommateurs avant de vous engagez auprès de santiane si j'avais su j'aurais eu moins de problèmes avec 2 mutuelles a payer car ils vous disent qu'ils s'occupent de résilier l'ancienne mais ne le font pas et un contrat de prévoyance glissé discrètement avec mon contrat mutuelle alors qu'il devait etre inclu</t>
  </si>
  <si>
    <t>02/11/2018</t>
  </si>
  <si>
    <t>01/11/2018</t>
  </si>
  <si>
    <t>aca-73-130165</t>
  </si>
  <si>
    <t xml:space="preserve">Je suis courtier, Axa est bon payeur en cas de sinistre, je suis très satisfaite d'eux concernant les sinistres de mes clients professionnels.
même chose pour les contrats particuliers, </t>
  </si>
  <si>
    <t>AXA</t>
  </si>
  <si>
    <t>multirisque-professionnelle</t>
  </si>
  <si>
    <t>30/08/2021</t>
  </si>
  <si>
    <t>rabiah--112641</t>
  </si>
  <si>
    <t xml:space="preserve">Dommage on ne peut pas mettre 0.
Depuis des années à payé pour rien et le jour où vous avez un sinistre le cabinet Toubon le patron de la Macif c est lui qui décide...
Une salle de bain PMR neuf payé 10000 euros remboursé 357 euros sinistre le pire ce n est même pas de ma faute.
Je ne recommande pas du tout la macif à fuir....une personne handicapées à plus de 80 pourcent une honte...
</t>
  </si>
  <si>
    <t>04/05/2021</t>
  </si>
  <si>
    <t>pierre-olivier-c-114727</t>
  </si>
  <si>
    <t>Je ne suis satisfait ni du service ni du prix ni de la communication; de trop nombreux dysfonctionnements sur l'administration de mon dossier sont à déplorer et les conseillers ne sont pas à la hauteur; en tout cas ceux avec qui j'ai été en contact.</t>
  </si>
  <si>
    <t>kevin-d-108833</t>
  </si>
  <si>
    <t>Je suis satisfait de la facilité du site, des devis et de pouvoir tout faire sans devoir se déplacer en agence. Par contre je trouves exagérer qu'on facture un mois entier lorsque le contrat ne commence que trois jours a la fin du mois.</t>
  </si>
  <si>
    <t>laurencemarie-97906</t>
  </si>
  <si>
    <t>Tarif intéressant la 1ère année mais à l’échéance de votre contrat faites jouer la concurrence et vous vous rendrez compte que vous pouvez trouver nettement moins cher( pour ma part -100€).
Aucun geste commercial de leur part, service clientèle minable bref après 1 an fuyez et vous ne peinerez pas à trouver moins cher</t>
  </si>
  <si>
    <t>27/09/2020</t>
  </si>
  <si>
    <t>01/09/2020</t>
  </si>
  <si>
    <t>roman-t-131438</t>
  </si>
  <si>
    <t xml:space="preserve">Globalement satisfait, mais: 
1 le  comparateur LeLynx proposait un tarif une bonne cinquantaine d'euros moins cher lors de la première simulation toujours chez vous et toujours celui que j'ai souscrit. J'ai fait une autre simulation sans conducteur secondaire. Quand je suis revenu pour souscrire c'était trop tard, en espace de quelques minutes. 
2 vos options qui gonflent le prix, de manière excessive 
3 les options et les choix peuvent être très peux lisibles pour un client moyen, vu le nombre et l'impact conjugué sur le tarif 
4 pourquoi cette différence entre le prélèvement mensuel et annuel ? pourquoi dans ce cas obliger le client à avancer les deux premiers mois ? </t>
  </si>
  <si>
    <t>06/09/2021</t>
  </si>
  <si>
    <t>priscillia-s-130990</t>
  </si>
  <si>
    <t>Deux collaboratrice agréable pour l'établissement de mon devis et la modification de ce dernier.
Paiement rapide et simple
Deuxième contrat et pour le moment satisfaite</t>
  </si>
  <si>
    <t>03/09/2021</t>
  </si>
  <si>
    <t>garryyy-49650</t>
  </si>
  <si>
    <t xml:space="preserve">le pire des emprunteurs, j'attends un certificat d'assurance depuis plus de 2 mois et lorsque j'appelle on me transfert 3 à 4 fois pour au final me dire que l'attestation ne peut pas etre envoyée et que le delais peut etre d'une semaine , 1 mois ou plus... sacrée blague... A fuir </t>
  </si>
  <si>
    <t>28/11/2016</t>
  </si>
  <si>
    <t>01/11/2016</t>
  </si>
  <si>
    <t>yann06-65416</t>
  </si>
  <si>
    <t xml:space="preserve">
Assuré tous risques chez AMV tout allait bien jusqu’à ce que j’ai un accident dans lequel je ne suis pas responsable : une voiture m’a renversé. AMV et l’assurance adverse reconnaissent que je n’ai aucune responsabilité. Jusqu’ici tout va bien…
Mon accident a eu lieux en Octobre 2017 ; je suis blessé sans hospitalisation mais mon état requiert un arrêt de travail, je contact AMV le jour même pour qu’ils me communiquent rapidement les documents nécessaires pour faire réparer ma moto.
Il me faudra attendre le mois de Mars 2018  pour qu’un expert soit désigné et fasse son rapport.
La moto est immobilisée depuis le jour de l’accident chez mon concessionnaire moto. Depuis Octobre 2017!
48 heures après son expertise, l’expert m’indique par téléphone avoir remis son rapport à AMV et que la moto est réparable.
Comme je l’ai fait à de nombreuses reprises, je relance AMV pour que les réparations soient faites dans les plus brefs délais car je n’ai pas d’autre véhicule que cette moto pour me déplacer.
AMV m’indique que comme j’ai subi des dommages corporels il faut avant tout compléter un dossier de demande d’indemnisation pour ces dommages.
Je leur réponds que cela ne m’intéresse pas, que tout ce que je veux c’est que ma moto soit réparé rapidement. Surprise ! Malgré mon refus de demande d’indemnisation corporelle AMV m’indique que sans ce dossier aucune réparation de ma moto ne pourra débuter. 
Et là c’est le cycle infernal qui débute ! Je complète des dossiers auquel s’ajoute à chaque fois de nouveau documents médicaux à fournir et les mois passent ; pour rappel je n’ai jamais fait de  mon propre chef demande d’indemnisation corporel.
Ma moto est immobilisée chez mon concessionnaire depuis le mois d’octobre 2017 et nous sommes en Juillet 2018 !  AMV continu à me prélever tous les mois sur la base de mon contrat tout risque comme si je continuais à rouler normalement !
 On m’a même répondu que  tant que mon dossier n’était pas complet il fallait continuer à payer plein pot !
Je suis dégouté !
Depuis le 29 Juin, par chance j’ai déménagé et AMV ne couvre pas les risques dans les DOM ce qui m’a permis de demander la résiliation de mon contrat.
AMV m’a affirmé que ma demande de résiliation ne remettait pas en cause la procédure de la prise en charge de mes réparations qui n’ont toujours pas débuté.
Je les ai à nouveau relancés hier et aujourd’hui par téléphone, par courriel et par le biais de mon espace client et la communication avec la personne que j’ai eue au téléphone a été encore un moment très éprouvante pour ma zénitude.  Avec une grande courtoisie, je me suis entendu répondre que mon dossier était en cours d’étude mais que l’on ne pouvait pas me donner de délais car de nombreuses personnes  qui travaillent chez AMV étaient en vacance ; ça m’a fait plaisir de l’entendre, et que si les choses prenaient autant de temps c’était de ma faute et qu’il m’avait même était notifié préalablement par courriel que j’aurai pu subir des mesures de rétorsions si je ne fournissais pas tous les documents que l’on me demandait ! RETORSIONS : c’est exactement le terme  utilisé par une employée d’AMV par téléphone ce mercredi 11 juillet.
Que me reste-t-il comme solutions ???
Faire appel à un conseiller juridique, et saisir le médiateur de l’assurance. 
Ce sont les démarches que je vais devoir entamer à présent, une chose est sure, je ne vais pas céder !
AMV ne vous laissez pas séduire par les tarifs ! 
AMV est une filiale de L’Equité. Le nom est bien choisi mais les réponses ne le sont pas. AMV Courage Fuyez !
</t>
  </si>
  <si>
    <t>sou-87768</t>
  </si>
  <si>
    <t>Société qui fait preuve de mauvaise fois mais au vu des commentaires précédents ce n'es pas une surprise...je vais dès la semaine prochaine changer mes assurances habitations et véhicules car comme dit votre slogan la matmutt vous assure pas mais vous en... laisse imaginer le reste
N ayant plus confiance en vous chère assurance,je vous prie d agréer mes sentiments les plus distingués</t>
  </si>
  <si>
    <t>Matmut</t>
  </si>
  <si>
    <t>28/02/2020</t>
  </si>
  <si>
    <t>noemie-levacher-94050</t>
  </si>
  <si>
    <t>Je suis satistfaite de la simulation qui m'a été adressée.
je suis encore en réflexion pour savoir si je souhaite changer d'assureur ou non.
Bien à vous</t>
  </si>
  <si>
    <t>14/07/2020</t>
  </si>
  <si>
    <t>01/07/2020</t>
  </si>
  <si>
    <t>ecko-65346</t>
  </si>
  <si>
    <t>Incapacité ou mauvaise volonté du service client pour résilier un contrat. J'ai dû appeler 3 fois et écrire deux mails pour avoir une réponse a une question simple.</t>
  </si>
  <si>
    <t>08/07/2018</t>
  </si>
  <si>
    <t>kaempfer-dos-santos-paulus-a-115531</t>
  </si>
  <si>
    <t>Je suis très satisfait de service. Parfait!
Je suis très content de mon assurance.  J'espère que cela durera. Je suis sûr que L'olivier honorera tous ses engagements et je serais ravi de rester votre fidèle client.  Merci.</t>
  </si>
  <si>
    <t>ines-65526</t>
  </si>
  <si>
    <t>Après un dégât des eaux de type infiltration par façade et murs extérieurs dans deux de mes pièces, un expert de TEXA a estimé le montant de la réparation à 800 euros TTC. Afin de respecter ce budget, L'entreprise  mandaté pour les travaux ne pourra repeindre qu'un seul mur sur 4 de chaque pièces. Un SCANDALE, en sachant que je suis cliente depuis plus de 10 ans, que le montant de mes cotisations est calculé pour un F5 (4 murs), et en plus je subis une augmentation de 21% entre 2016 et 2017.
Une lettre AR sera envoyée dans les temps afin de dénoncer la reconduction du contrat 3711615204. AU REVOIR.</t>
  </si>
  <si>
    <t>16/07/2018</t>
  </si>
  <si>
    <t>nab-68024</t>
  </si>
  <si>
    <t>C'est inadmissible  ma voiture à été  vandalisée il y a plus de 2 mois et à ce jour je n'ai même pas eu le rendez-vous avec le garagiste qui va me la réparer
Et malgré mon assurance en tout risque je dois payer 350 e de franchise plus 10 pour cent du prix de réparation en sachant que je paye plus de 80 euros  par mois pour être assuré merci Directe Assurance</t>
  </si>
  <si>
    <t>24/10/2018</t>
  </si>
  <si>
    <t>01/10/2018</t>
  </si>
  <si>
    <t>laurent-m-123288</t>
  </si>
  <si>
    <t>simple rapide et clair. tarif bas mais garanties serieuses, conseil judicieux et site internet bien pratique possibilité de choisir les options avec details de la couverture parfait</t>
  </si>
  <si>
    <t>13/07/2021</t>
  </si>
  <si>
    <t>california42-78488</t>
  </si>
  <si>
    <t>Le sinistre, voiture endommagée dans un rodéo motorisé, vandalisme, aucune responsabilité transformée par la MAIF en accident de la circulation, carambolage, donc accident responsable. impossible de faire rectifier.Radiée pour me faire taire.</t>
  </si>
  <si>
    <t>03/01/2020</t>
  </si>
  <si>
    <t>01/01/2020</t>
  </si>
  <si>
    <t>minousshhh14-98973</t>
  </si>
  <si>
    <t xml:space="preserve">Assurer chez eux même pas capable de nous rappeler pour un pres de véhicule et me fais croire d’attendre un taxi 2h alors que rien n’a était fais !!! Il décale au lendemain sans regarder si les gens travailles !! ???? je croit que je vais vite me barrer de la bas </t>
  </si>
  <si>
    <t>Pacifica</t>
  </si>
  <si>
    <t>20/10/2020</t>
  </si>
  <si>
    <t>medhy-g-133133</t>
  </si>
  <si>
    <t xml:space="preserve">Prix intéressant, reste à voir la qualité du service le jour où…je serai assuré chez vous dans 6 jours… peut être un peu tôt pour évaluer ma satisfaction si ce n’est le prix </t>
  </si>
  <si>
    <t>16/09/2021</t>
  </si>
  <si>
    <t>tania-97885</t>
  </si>
  <si>
    <t>Assuré depuis 40 ans pour nos véhicules, ceux de nos enfants et notre domicile sans avoir eu de sinistre. Très mécontent de l'accueil de l'agence d'Argentan. J'ai besoin d'une copie d'un contrat datant de plus 10 ans pour un véhicule que nous avions assuré pour notre fille pendant 6 ans parce que nous pensons que son bonus n'a pas été calculé correctement, la personne me répond assez désagréablement qu'ils n'ont pas d'archives au delà de 10 ans, qu'il faut faire une demande auprès du service de gestion mais que ce sera très long parce qu'ils ont plus de 5 semaines de retard dans le traitement des dossiers et qu'elle ne sait pas s'ils ont des archives. Je suis allé chez mon petit garagiste de campagne qui m'a vendu le véhicule objet de ma demande, lui a des archives dans son ordinateur depuis 2003 !!! Une grosse maison comme la Macif est incapable de fournir un document pour un ancien contrat vieux de plus de 10 ans. Il y a de quoi rire. Je me décide à faire la demande sur le site de la Macif avec tous les détails, ils m'envoient en retour une attestation pour mon véhicule actuel !!. je réponds en disant que ce n'est pas ce que j'ai demandé, ils m'envoient un mail me disant de les rappeler au 0969394949, ce que je fais. Je tombe sur une personne qui me dit qu'ils n'ont que 5 ans d'archives ( ça diminue ) et qu'il faut faire une demande au centre de gestion, qu'ils pourront peut-être répondre à ma demande mais faudra être patient. Impossible d'avoir quelqu'un de fiable, on tourne en rond en permanence. Quand on a commencé avec la Macif en 1981, on avait des gens à notre écoute et compétents mais maintenant tout le monde s'en fout. Je ne sais pas si je vais continuer avec eux, en tout cas je vais me renseigner ailleurs des prix.</t>
  </si>
  <si>
    <t>26/09/2020</t>
  </si>
  <si>
    <t>baptiste-62371</t>
  </si>
  <si>
    <t>Un service client catastrophique... On m'appelle pour un sinistre qui a eu lien en octobre 2017 (tentative d'effraction sur ma voiture) pour prendre des nouvelles.. Jusque là c'est normal aucun souci. Je décide de ne pas faire les réparations parce que le garagiste m'a remis en place ma portière et qu'aucun choc n'est apparent. C'est mon choix je l'assume. Le problème étant que je tombe sur une femme très (très) désagréable.. Aucun bonjour, on se fout de moi parce que je me trompe de numéro sur mon contrat d'assurance, des insultes (P****, m****), la dame parle à ses collègues quand j'essaye d'expliquer quelque chose.. Cette personne ne veut rien comprendre à ce que je lui explique et s'énerve uniquement parce qu'elle n'est pas d'accord avec moi. Je veux juste comprendre la situation parce que tout ça est nouveau pour moi mais apparemment cela énerve les gens. Dommage c'est le seul point négative cette assurance est vraiment bien mais le service client n'est pas au niveau. On nous dit que les conversations peuvent être enregistrées, j'espère que celle là l'a été.</t>
  </si>
  <si>
    <t>15/03/2018</t>
  </si>
  <si>
    <t>regul-93123</t>
  </si>
  <si>
    <t>Service client complètement pourri.
Incompétent, méprisant et tous les adjectifs concernant la médiocrité de cette assurance!
Un bon conseil ne jamais vous assurer dans cette filiale.</t>
  </si>
  <si>
    <t>03/07/2020</t>
  </si>
  <si>
    <t>kevin-p-138472</t>
  </si>
  <si>
    <t>Le Remboursement sous 24h et le prix raisonnable, le plus important pour moi sont les dents j’espère être couvert au maximum pour m’éviter de sortir trop d’argent lors de mes consultations.</t>
  </si>
  <si>
    <t>APRIL</t>
  </si>
  <si>
    <t>28/10/2021</t>
  </si>
  <si>
    <t>juliette-55777</t>
  </si>
  <si>
    <t>Grosse deception, ils ne prennent rien en charge, même les petites consultations, ne parlons meme pas d'un imprevu, quand vous payez avec la carte avance santé ils vous débitent derriére. Exclusion de garantie abusive, delai de carence interminable, jamais d'explications ni de justifications. En un an et demi je n'ai jamais été remboursé, ils m'ont couté plus cher que les frais de véto eux même sur la même période hahaha!!! Fuyez!!!!</t>
  </si>
  <si>
    <t>Crédit Mutuel</t>
  </si>
  <si>
    <t>03/07/2017</t>
  </si>
  <si>
    <t>01/07/2017</t>
  </si>
  <si>
    <t>yannick-50166</t>
  </si>
  <si>
    <t xml:space="preserve">Assurance à éviter à tout prix pour tout nouveau conducteur. Très gentil une fois le devis en ligne fait, mais bizarrement plus de réponses sur leur numéro en ligne qui ne fonctionne pas quand on est à un mois de l'échéance de son contrat et que celui ci est automatiquement renouvelé pour un an supplémentaire ... Mon numéro client est le 135578 et j'aimerais faire le nécessaire pour assurer mon nouveau véhicule si vous daignez bien me répondre ou alors résilier mon contrat dans les plus brefs délais si là encore vous daignez répondre. </t>
  </si>
  <si>
    <t>Active Assurances</t>
  </si>
  <si>
    <t>12/12/2016</t>
  </si>
  <si>
    <t>01/12/2016</t>
  </si>
  <si>
    <t>mary38560-85763</t>
  </si>
  <si>
    <t>Impossible de résilier malgré  2 recommandés. En attente de remboursements dentaires depuis le 8/11/2019.Ne répondent jamais aux mails.  Vraiment déçue de cette mutuelle. A éviter!!!!!!!!</t>
  </si>
  <si>
    <t>Néoliane Santé</t>
  </si>
  <si>
    <t>10/01/2020</t>
  </si>
  <si>
    <t>jacob-11-25693</t>
  </si>
  <si>
    <t>depuisn3 ans à eurofil prix intéressant au début qui augmente systématiquement chaque année sans sinistre 
avec des justificatifs pas convaincants. les nouveaux adhérents payent moins cher que les anciens ?</t>
  </si>
  <si>
    <t>Eurofil</t>
  </si>
  <si>
    <t>11/08/2017</t>
  </si>
  <si>
    <t>01/08/2017</t>
  </si>
  <si>
    <t>gilbert--f-123131</t>
  </si>
  <si>
    <t>Assurance au top, rapidité, efficacité, compréhension, très réactif, prix raisonnable seul point noir on doit avancer 3 mois d'assurance au départ. 
bref je recommande amv.</t>
  </si>
  <si>
    <t>12/07/2021</t>
  </si>
  <si>
    <t>marek-75725</t>
  </si>
  <si>
    <t>Cette assurance brille par sa négligence. J'ai fait l'erreur de payer un premier devis en ligne qui a été refusé, puis quand j'ai reçu un nouveau devis majoré de 51.10 euros, je me suis rétracté par mail et par lettre recommandée le 23/03/2019 et ceci dans les délais sans avoir signé un quelconque contrat. J'ai envoyé un nouveau mail resté sans réponse et j'attends toujours un remboursement de 146.70 euros. Il y a de fortes probabilités pour que je sois contraint de faire appel au médiateur. Au cas où cette société daignerait me répondre, je précise que j'ai été brièvement le client 369711 et que mon premier devis refusé était le 4060478, le second était le 4080801.</t>
  </si>
  <si>
    <t>16/05/2019</t>
  </si>
  <si>
    <t>01/05/2019</t>
  </si>
  <si>
    <t>cricri-77726</t>
  </si>
  <si>
    <t xml:space="preserve">Suite à mon contact avec Sabrina j'ai été très satisfaite de ses explications et de la proposition qu'elle m'a faite </t>
  </si>
  <si>
    <t>18/07/2019</t>
  </si>
  <si>
    <t>01/07/2019</t>
  </si>
  <si>
    <t>roger-r-131676</t>
  </si>
  <si>
    <t>Je suis satisfait du service. rapport qualité prix exellent. Service client disponible et à l écoute. je recommande direct assurances. bonne journée !!</t>
  </si>
  <si>
    <t>07/09/2021</t>
  </si>
  <si>
    <t>ugur-a-109099</t>
  </si>
  <si>
    <t xml:space="preserve">Super service je suis content de leur service abordable et sérieux 
Pour une assurance à un bon prix avec des options adapté.                           </t>
  </si>
  <si>
    <t>03/04/2021</t>
  </si>
  <si>
    <t>viviane-d-133492</t>
  </si>
  <si>
    <t>Prix moitié mois cher que mon assurance actuelle pour les mêmes prestations.
Franchise bris de glace ne moins. Souscription en ligne facile et claire.</t>
  </si>
  <si>
    <t>19/09/2021</t>
  </si>
  <si>
    <t>stoicste-62915</t>
  </si>
  <si>
    <t>J'avais souscris avec eux. Ils se sont bien cachés au téléphone de m'expliquer tous les détails en cas de résiliation (je leur avais expliqué que j'allais devoir pendre la mutuelle obligatoire du travail et que j'avais besoin d'eux pour une petite periode seulement). Du coup aujourd'hui je me retrouve a devoir payer 2 mutuelles pour rien!! Si au moins ils répondaient au téléphone et que les 2 courriers que j'ai envoyé ne s'étaient pas "égarés" je n'en serais pas la...</t>
  </si>
  <si>
    <t>Génération</t>
  </si>
  <si>
    <t>03/04/2018</t>
  </si>
  <si>
    <t>01/04/2018</t>
  </si>
  <si>
    <t>dominique-g-108782</t>
  </si>
  <si>
    <t>Avec la pandémie, il y aurait pu y avoir des gestes sur le montant des cotisations mais au contraire elles ont augmentées.
Un sociétaire fidèle depuis plus de 40 ans</t>
  </si>
  <si>
    <t>GMF</t>
  </si>
  <si>
    <t>philippe--95754</t>
  </si>
  <si>
    <t xml:space="preserve">J’ai un contrat mrh et PJ matmut 
C’est une catastrophe 
Ils sont incompétents, refusent la prise en charge des sinistres, leurs correspondances sont de mauvaise foi
Ils font traîner les dossiers d’indemnisation des années, toujours indisponibles et refusant d’appliquer les garanties du contrat </t>
  </si>
  <si>
    <t>30/07/2020</t>
  </si>
  <si>
    <t>aurores-80373</t>
  </si>
  <si>
    <t xml:space="preserve">Suite à un accident de voiture récent sur le périphérique de Paris. J'aurais apprécié que les multiples personnes de la MAIF que j'ai eu au téléphone m'informent que je pouvais bénéficier d'un taxi couvert par l'assurance pour rentrer chez moi à 50km. C'est le dépanneur qui m'en a informé. Dans une situation comme celle-là, après 3 heures passées sur le bord de la route, j'aurais apprécié. </t>
  </si>
  <si>
    <t>24/10/2019</t>
  </si>
  <si>
    <t>01/10/2019</t>
  </si>
  <si>
    <t>vernet-a-127988</t>
  </si>
  <si>
    <t>Assistance téléphonique, compétents et efficaces
Le prix me semble correct, nouveau contrat alors je ne peux pas juger de la gestion des sinistres mais comme j'espère bien ne pas en avoir...</t>
  </si>
  <si>
    <t>liethana94-79077</t>
  </si>
  <si>
    <t>COMPLETEMENT INCOMPETENTS
C'est grave à ce point ! 
Plus de 10 mails envoyés sans retour de leur part à la plupart. Les quelques retours sont des demandes répétés alors que je leur renvoie systématiquement tout ce qu'ils me demandent ! Dernière réponse : ils ne me trouvent pas !!! Ca fait juste 7 ans que je suis chez eux !
Report de l'assignation pour le 22 octobre 2019. Je ne sais toujours pas quoi faire !</t>
  </si>
  <si>
    <t>26/09/2019</t>
  </si>
  <si>
    <t>01/09/2019</t>
  </si>
  <si>
    <t>boussalmi-s-111148</t>
  </si>
  <si>
    <t>Bonjours, l'équipe le service et Simple et pratique. Les prix sont abordables l'équipe répond rapidement et avec clarté aux informations demandées. Satisfait du service.</t>
  </si>
  <si>
    <t>21/04/2021</t>
  </si>
  <si>
    <t>chantal-h-131686</t>
  </si>
  <si>
    <t xml:space="preserve">Très bon accueil clair et précis et courtois bonne connaissance du système 
Je recommande cette assurance pour mes amis et ma famille
Je suis tres contente m. Reste a l'écoute et ne s'énerve pas
On garde le contrôle et on peut changer sans problème </t>
  </si>
  <si>
    <t>clem--113840</t>
  </si>
  <si>
    <t xml:space="preserve">Après 10 ans d assurance ponctuel à la mutuelle motard , je souhaite ré assure une nouvelle moto .
Et la stupéfaction il ne reprenne pas mon bonus auto de 0,50 mais un bonus moto  antérieur !!!
PUBLICITEE MENSONGÈRE Qd ils 
Disent qu il reprennent le
Bonus auto !!!! 
Après appel Ils me répondent q c est comme ça Et ne ferons
 rien de plus car je n ai pas eu de moto pendant qq mois.
Super réponse pr un societaire de + de 
10 ans .
Donc pr eux un motard avec aucune expérience on reprend son bonus auto et si on a déjà eu une moto C est + chère car on prend son bonus moto !!!
Je vais à la concurrence et pas soucis de bonus .
TARIF divisé par 2 !!!  
Bye bye mutuelle motard </t>
  </si>
  <si>
    <t>Mutuelle des Motards</t>
  </si>
  <si>
    <t>15/05/2021</t>
  </si>
  <si>
    <t>yelizcarole123456-96824</t>
  </si>
  <si>
    <t xml:space="preserve">Conseiller à l écoute très patient agréable compréhensible pas du tous enerver ni qu’on entend un soufflement ou autre on est bien quand on lui pose n importe quel question merci beaucoup </t>
  </si>
  <si>
    <t>Euro-Assurance</t>
  </si>
  <si>
    <t>30/08/2020</t>
  </si>
  <si>
    <t>jmpro83-89812</t>
  </si>
  <si>
    <t>Mon scooter en stationnement a été renversé par une auto qui se fait et voyant sa bévue s'est enfuie... Déclaration de sinistre, on me dit pas besoin de porter plainte ( j'avais numéro de la plaque et un témoin), et après visite de l'expert, scooter économiquement irréparable. Valeur du scooter estimée 500€ et devis réparations 980€ avant démontage ... Je veux garder mon scooter roulant parfaitement,seul la carrosserie a été impactées par la chute ... Pas de nouvelles quand je demande à faire jouer la protection juridique pour obtenir le montant total de la réparation... Carte grise gelée par la préfecture et depuis ... Blackout... On se moquer de moi et l'entente entre assureurs est un peu grosse...</t>
  </si>
  <si>
    <t>21/05/2020</t>
  </si>
  <si>
    <t>lialy-54718</t>
  </si>
  <si>
    <t>Je remercie tout particulièrement ma conseillère Lucie pour son efficacité sa réactivité et sa patiente....c'est une conseillère qui est très à l'écoute de son client....je suis très contente de son service</t>
  </si>
  <si>
    <t>16/05/2017</t>
  </si>
  <si>
    <t>anneclap-86532</t>
  </si>
  <si>
    <t xml:space="preserve">Je deconseille totalement ce groupe. Conseillers incompetents et irrespectueux (non reponse aux emails) et de mauvaise foi, plateforme tres opaque (historique tres limite pour ne pas dire inexistant), prix eleves. Ils sont tres forts pour demarcher les clients et leur promettre des taux de rentabilite qui n'ont rien a voir avec les taux reels dont vous beneficierez. </t>
  </si>
  <si>
    <t>vie</t>
  </si>
  <si>
    <t>30/01/2020</t>
  </si>
  <si>
    <t>bof54-36719</t>
  </si>
  <si>
    <t>Souscrit un contrat assurance vie avec une mensualité fixe et un capital fixe non revalorisble dans le temps, mais depuis cette année il décide d'augmenter mes mensualités de + de 20% mais par contre pas touche au capital décès ??? Et de plus aucun courrier pour annoncer cette augmentation. Visiblement le respect du contrat signé n'est pas leur cheval de bataille.</t>
  </si>
  <si>
    <t>14/05/2021</t>
  </si>
  <si>
    <t>phil-78128</t>
  </si>
  <si>
    <t>Ma femme et moi avons 72 ans et nous avons un contrat prévoyance CNP depuis 8 ans et demi. Au départ il nous avait été dit que les primes mensuelles étaient fixes et effectivement ce fut le cas jusqu'à maintenant. Or nous venons de recevoir tous les 2 une lettre de la CNP qui annonce que l'évolution démographique et l'augmentation des maladies dégénératives les conduit à augmenter les cotisations mensuelles de 15 pourcents. Ils justifient leur décision sur une phrase perdue dans les conditions générales disant que les cotisations sont révisables. Mais dans le même alinéa ils écrivent aussi que les cotisations sont fixes sur la période sans définir ce qu'ils entendent par période. De plus dans les conditions particulières communiquées à la souscription ils écrivent que les cotisations viagères suivantes seront par exemple de 30 euros par mois, ce qui suppose une prime constante, et ne parlent pas de révision possible. A notre âge nous ne pourrons plus souscrire un nouveau contrat prévoyance et donc tout ce qu'on a versé jusqu'à maintenant, environ 6400 euros, en prévision d'une éventuelle dépendance quand nous serons vieux, est remis en question. Soit on arrête ces contrats CNP, on perdra toute couverture en prévoyance et on aura cotisé pour rien, soit on accepte l'augmentation mais alors qu'est ce qui les empêchera à la CNP de ré-augmenter les primes mensuelles tous les ans et pourquoi pas de 20 ou 30 pourcents. On a l'impression de s'être fait piéger. Je n'ai jamais vu non plus un assureur augmenter brusquement la cotisation de 15 pourcents après près de 9 ans de tarifs inchangés. Quand j'ai téléphoné à la CNP la personne que j'ai eue m'a dit qu'elle avait reçu de nombreux appels de gens très mécontents qui sont dans la même situation. J'ai envoyé une lettre à la CNP et j'ai prévenu l'UFC Que Choisir. Si nous sommes nombreux à remonter cette info à l'UFC une enquête sera lancée. Je trouve tout ça lamentable.</t>
  </si>
  <si>
    <t>CNP Assurances</t>
  </si>
  <si>
    <t>01/08/2019</t>
  </si>
  <si>
    <t>mabu68-88208</t>
  </si>
  <si>
    <t>Pas du tout satisfait de cette mutuelle !</t>
  </si>
  <si>
    <t>11/03/2020</t>
  </si>
  <si>
    <t>01/03/2020</t>
  </si>
  <si>
    <t>palanque-p-139268</t>
  </si>
  <si>
    <t>Je suis satisfait. Bon contact, informations claires, rapidité et efficacité. Tout est en place et je vous en remercie. je me tiens à votre disposition si vous avez besoin de renseignements complémentaires lorsque vous aurez mes documents.
Cordialement.</t>
  </si>
  <si>
    <t>09/11/2021</t>
  </si>
  <si>
    <t>01/11/2021</t>
  </si>
  <si>
    <t>lolo-104703</t>
  </si>
  <si>
    <t xml:space="preserve">Je suis extrêmement déçue de l'agence maaf de Bethune. 
En effet après un rendez vous pour revoir la tarification de mes assurances je souhaitais également un devis pour assurer un camping-car et une multirisques Habitation. Le conseiller m'a dit qu'il n'était pas marchand de tapis et m'a mis dehors. 
Je suis cliente depuis de nombreuses années j'ai le bonus à vis et je suis cliente privilège . Ce monsieur me pousse vers la sortie et m'a manqué de respect il était très agressif. Ce monsieur n'a rien à faire dans le commerce . Voila l'image de la Maaf. 
</t>
  </si>
  <si>
    <t>MAAF</t>
  </si>
  <si>
    <t>24/02/2021</t>
  </si>
  <si>
    <t>01/02/2021</t>
  </si>
  <si>
    <t>ally-50433</t>
  </si>
  <si>
    <t>A FUIR !!!! apres la vente du vehicule le montant d'assurance na jamais ete rambourse.suite a une sinistre non responsable apres les reparation ça fait 4 mois et je toujours pas de reglement de la facture ... Soit disent "je il faut attendre "</t>
  </si>
  <si>
    <t>joelle-g-107199</t>
  </si>
  <si>
    <t>Les prix me conviennent ;le service est à voir dans la durée, surtout en cas de litige ou accident.
L'inscription est simple et rapide
Avis suite à une 1ère inscription</t>
  </si>
  <si>
    <t>maissa-d-131175</t>
  </si>
  <si>
    <t xml:space="preserve">Je ne suis pas satisfaite du prix … mais très bon site très rapide pour s’assurer , super pratique , mais le prix reste a revoir car je le trouve un peu elevé . </t>
  </si>
  <si>
    <t>thomas-r-107603</t>
  </si>
  <si>
    <t>J'ai pris une assurance annulation avec Allianz lors d'un trajet avec Ouigo. Quand je leur fait part de ma demande d'annulation, ils me disent qu'il faut justifier la raison de l'annulation. Apparemment le confinement dû au covid et l'interdiction de sortir de ma région n'est pas une raison suffisante ...
Ne vous faites pas avoir et ne prenez pas cette assurance !</t>
  </si>
  <si>
    <t>23/03/2021</t>
  </si>
  <si>
    <t>jp95520-95187</t>
  </si>
  <si>
    <t>Roulant en R1200R (de 2008 ABS, valeur 7000 €) depuis 12 ans, assuré pour la dite moto chez AMV pour la même durée, je paie 735 € en tous risques avec 0.50 de bonus et aucun sinistre sur 12 ans, je roule depuis 30 ans. Un de mes amis qui ne roulait plus depuis 25 ans, achète une 1200GS de 2016 (valeur 14000 €) se retrouve avec 0,64 de bonus (???) et paie 643 € !!! Cherchez l'erreur…. Je suis parti ce mois à la Mutuelle des Motards, leur tous risques était à 338 € !!!! Je me suis fendu d'un courrier à AMV en demandant des comptes, mon répondu 10 jours après (ils doivent répondre en 3 jours, pas de réponse en 10 jours j'ai résilié), la personne que j'ai eu au téléphone n'avait rien à me dire, juste pas contente parce que j'ai abrégé la conversation.
Qu'on se le dise n'allez pas chez AMV !!!</t>
  </si>
  <si>
    <t>25/07/2020</t>
  </si>
  <si>
    <t>seeker08-80271</t>
  </si>
  <si>
    <t xml:space="preserve">Très disponible. Réponse très rapide de leur part. Toujours courtois au téléphone. </t>
  </si>
  <si>
    <t>21/10/2019</t>
  </si>
  <si>
    <t>eleinade-138307</t>
  </si>
  <si>
    <t>J'ai assuré ma chienne au mois de juillet 2021. Je n'ai pas testé les remboursements fort heureusement pour le moment ma chienne est en parfaite santé.
Cependant, les contacter est un véritable parcours du combattant. 
Par téléphone : une attente interminable. 
Par mail, on reçoit des réponses stéréotypées. 
Pas moyen de consulter son compte sur internet... on m'a répondu que ce n'était pas possible
Il faut donc passer par l'application : "Mon compagnon". J'essaie depuis juillet de créer mon compte mais je reçois chaque fois un message d'erreur. La réponse que l'on me donne est toujours la même : message standard me renvoyant toujours le même code d'activation.
Un des signes de la folie est de recommencer toujours les mêmes erreurs en croyant que cela va marcher... Donc je me demande s'il y a quelqu'un de sensé qui gère cette assurance.
Sans aucun doute, cet assureur recevra ma lettre de résiliation 2 mois avant la date anniversaire !</t>
  </si>
  <si>
    <t>Solly Azar</t>
  </si>
  <si>
    <t>26/10/2021</t>
  </si>
  <si>
    <t>herve-j-130462</t>
  </si>
  <si>
    <t>Je suis satisfait des informations et du service rendu. ce qui m'a fait changer d'assurance est le prix et les garanties. J' espère ne pas me tromper sur le suivi. 
Très bon contact avec la personne qui m' a reçu</t>
  </si>
  <si>
    <t>soeur-alex-68446</t>
  </si>
  <si>
    <t>Suite à un démarchage abusif auprès de mon frère celui-ci se retrouve avec 3 contrats chez Néoliane en moins d'un an ! Coût mensuel 60 euros  pour des contrats doublon puisqu'il est déjà adhérents pour les mêmes garanties ailleurs ! j'ai téléphoné au service clientèle et malgré le fait de leur avoir expliqué que mon frère avait été abusé et qu'il était en situation de faiblesse ; il suit un traitement médical lourd depuis plus d'un an suite à un choc psychologique. j'ai également expliqué qu'il avait de faibles revenus -800 euros par mois- et que les prélèvements allaient être rejetés par la banque. Mais tout ce qu'on m'a répondu c'est que Néoliane n'était pas responsable car il avait été contacté par un courtier -Assurances et Mutuelles du Sud à Marseille- que les contrats seraient résiliables à l'échéance -donc dans plusieurs mois- et de faire une réclamation par courrier en fournissant un certificat médical. En attendant si mon frère se retrouve dans une situation catastrophique car ce courtier lui a fait prendre des assurances auprès d'autres compagnies ! j'espère que ces dernières seront plus compréhensives et plus humaines</t>
  </si>
  <si>
    <t>08/11/2018</t>
  </si>
  <si>
    <t>ontheroadagain-56123</t>
  </si>
  <si>
    <t>Compagnie sans garanties franchise elevée assistance trés trés limitée et service client incompétent.</t>
  </si>
  <si>
    <t>20/07/2017</t>
  </si>
  <si>
    <t>christophe-t-132805</t>
  </si>
  <si>
    <t>Les services en ligne sont  bien "pensés" , c'est intuitif et rapide
Un seul bémol , une impression "directe" des attestations n'est pas possible... il faut transmettre l'attestation sur un boite mail pour ensuite l'imprimer...dommage</t>
  </si>
  <si>
    <t>14/09/2021</t>
  </si>
  <si>
    <t>kko-96391</t>
  </si>
  <si>
    <t xml:space="preserve">Une mutuelle qui met plus de 2 mois à rembourser. Des prestations plus chères que la moyenne. 
Aucun espace de transmission de documents. Aucun numéro pour les joindre, ne répondent pas aux mails et ne traitent pas les demandes de modifications web. </t>
  </si>
  <si>
    <t>17/08/2020</t>
  </si>
  <si>
    <t>jean-claude-b-109413</t>
  </si>
  <si>
    <t>bonjour 
je suis assez reçu de voir que malgré une reduction drastique de l'usage des vehicules particuliers en France en 2020 et 2021 (pandémie covid), le prix des primes d'assurance n'a pas baissé. il est incontestable que les français ont bcp moins roulé et que le nombre des sinistres a fortement diminué.</t>
  </si>
  <si>
    <t>07/04/2021</t>
  </si>
  <si>
    <t>mimi-93121</t>
  </si>
  <si>
    <t>A éviter. Lenteur dans les remboursements. Tant que vous n'avez rien tout va bien. Le jour où vous en avez besoin c'est là où les problèmes commencent. A ce jour je n'ai toujours pas reçu ma carte d'adhérent pour l'année 2020 par contre l'augmentation de ma cotisation et les prélèvements sur le compte se passe très bien. Regrette fortement et déconseille fortement...</t>
  </si>
  <si>
    <t>gaelle78-89425</t>
  </si>
  <si>
    <t>Nous avons fais une demande d'indeminisation pour incapacité temporaire de travail de mon conjoint depuis mi-février. J'ai relancé une seconde fois Cardiff aujourd'hui et on me dit qu'un dossier à remplir et parti hier. Cela fait trois mois que nous attendons et nous allons devoir encore attendre 1 mois. Nous sommes dans une situation financière extrêmement compliqué mais aucune considération de Cardiff. Ils mettent la faute sur le Covid-19 alors que nous avons envoyé notre dossier 1 mois avant.
Honteux!!!!</t>
  </si>
  <si>
    <t>06/05/2020</t>
  </si>
  <si>
    <t>delagroffe-85535</t>
  </si>
  <si>
    <t>j'ai pris la neoliane formule vitalité y'a environ 3 mois franchement j'avais un doute pour les remboursement quand j'ai lu quelques commentaire mais tout a étais fait dans l'ordre la vérité j'ai pas eu de complication peut être que j'avais de la chance :) une conseillère qui m'a beaucoup aidé et accompagner pour un début ca va ! je valide</t>
  </si>
  <si>
    <t>06/01/2020</t>
  </si>
  <si>
    <t>sylvie-d-113210</t>
  </si>
  <si>
    <t xml:space="preserve">je suis satisfait de votre cite très bien fais facile a ce servir bonne journée  et merci pour les bon conseil. Bonne continuation  . Mme dumas  a bientôt </t>
  </si>
  <si>
    <t>10/05/2021</t>
  </si>
  <si>
    <t>danko-66641</t>
  </si>
  <si>
    <t xml:space="preserve">Ayant subi un accident 2 roues contre voiture en allant au travail, j’ai eu le résultat de mon assureur et surprise je suis responsable total.
Venant d'une rue perpendiculaire à un boulevard, rue à double sens avec un cédez le passage et m'engageant sur le boulevard vers la droite, lui-même à double sens, en fin de journée à une heure d'affluence, je fus surpris par un véhicule doublant un bus à l'arrêt suite au passage du feu tricolore au rouge en empiétant la voie de la circulation à sens inverse, j'ai percuté la voiture de face.
Le conducteur du véhicule et ses passagers se sont empressés de prendre des nouvelles de leur pare-chocs alors que je finissais ma course au sol contre un véhicule en stationnement, heureusement pour moi pas de bobo.
Constat fait sur place avec connaissances du conducteur venus en nombre pour l’influencer et lui dire quoi marqué sur le constat. 
Conducteur n’étant déjà pas franc, ne sachant pas exactement s'il allait tout droit malgré la file de véhicules arrêtés au feux tricolores ou s'il se rendais dans la rue d'où je venais, et même là, le véhicule n’était pas encore arrivé à l’intersection avec la rue.
Je ne comprends pas la décision du totalement responsable car le véhicule qui doublait le bus à l’arrêt ne pouvait se rabattre devant puisqu’il y avait une file d’autres véhicules qui attendaient le passage au vert du feu tricolore.
De plus, photos à l’appui il n’était ni à un arrêt, ni en panne. Le conducteur qui doublait tournait dans la rue d’où je venais avant d’être arrivé à l’intersection…Chose revue par les nombreux amis du conducteur arrivés en renfort. Moi choqué je n’ai pu vraiment me défendre.
Au final la voiture une légère égratignure sur le pare-chocs, mon scooter de presque 3 ans considérer comme épave par l’expert désigné et aucuns remboursements de mon assureur, qui selon les éléments qu’il dispose, lui permet de penser que ma responsabilité est totalement engagée.
Obligé de prendre la voiture car travaillant en poste de 12 heures, de laisser femme et enfants à pied, des trajets d’1 heure avec la circulation de Lyon, payement du stationnement etc…
Totalement déçu et dépité.
</t>
  </si>
  <si>
    <t>06/09/2018</t>
  </si>
  <si>
    <t>01/09/2018</t>
  </si>
  <si>
    <t>titi16-78358</t>
  </si>
  <si>
    <t>Impossible d'avoir une personne au téléphone sur un numéro surtaxé, résiliation en loi chatel impossible et sans raisons.</t>
  </si>
  <si>
    <t>SwissLife</t>
  </si>
  <si>
    <t>12/08/2019</t>
  </si>
  <si>
    <t>manon-r-113628</t>
  </si>
  <si>
    <t xml:space="preserve">Satisfaite, plus qu'à rouler à présent ! 
En toute sécurité surtout !!! 
Merci beaucoup pour le prix plus que raisonnable ! 
</t>
  </si>
  <si>
    <t>13/05/2021</t>
  </si>
  <si>
    <t>bertrand-55822</t>
  </si>
  <si>
    <t>17 ans à la MACIF et le jour où mon dégât des eaux survient, cette société s'est montrée non réactive : erreur dans le devis de l'expert, deux ans d'attente. Je me retrouve obligé de mandater un autre expert qui a prouvé les erreurs factuels de la première expertise. Et pour couronner le tout, nouvelle erreur factuelle au moment du règlement : en infraction avec la loi, la MACIF a payé l'expert que j'ai mandaté avec une partie de la somme qu'elle me devait. Conclusion : Ils ont été nuls avec moi, je ne les conseille pas</t>
  </si>
  <si>
    <t>05/07/2017</t>
  </si>
  <si>
    <t>alba-e-111389</t>
  </si>
  <si>
    <t>Rien à signaler, tout est clair, rapide et vos agents sont à l'écoute. De plus j'ai déjà un premier véhicule assuré chez vous, et c'est parce que j'en suis satisfait que je continue à m'assurer à L'Olivier.</t>
  </si>
  <si>
    <t>23/04/2021</t>
  </si>
  <si>
    <t>julien-d-133467</t>
  </si>
  <si>
    <t>je suis satisfait du prix et du service que propose direct assurance qui a était le plus bas prix du comparateur d'assurance le linx . merci a vous je conseille cette assurance</t>
  </si>
  <si>
    <t>lotfi--c-128669</t>
  </si>
  <si>
    <t>Je suis très satisfait des prix qui sont  correct on m'avait parlé de cette assurance que je ne connaissais pas j'ai d'autres véhicules un autre véhicule assuré ailleurs que je pense transférer chez vous</t>
  </si>
  <si>
    <t>19/08/2021</t>
  </si>
  <si>
    <t>jean-pierre-g-134902</t>
  </si>
  <si>
    <t>Dommage que l'assistance 0 km ne démarre pas de suite ! Je vais chercher ce véhicule d'occasion demain à 400km de chez moi, et ça aurait été rassurant pour moi de savoir que je pouvais compter sur cette assistance en cas de panne !</t>
  </si>
  <si>
    <t>kingnono-55663</t>
  </si>
  <si>
    <t xml:space="preserve">Je suis très déçu de votre assurance je voulais pas avoir une assurance mutuelle je voulais une assurance qui diminue mon échéancier si je ne commets pas d'accident.  C'est ma dernière année avec vous à moins que ça diminue de moitié l'année prochaine.  </t>
  </si>
  <si>
    <t>27/06/2017</t>
  </si>
  <si>
    <t>01/06/2017</t>
  </si>
  <si>
    <t>kamelpascontent-104116</t>
  </si>
  <si>
    <t>Mauvaise assurance que je ne conseille à personne. J'ai arrêté mon assurance fin août et je suis toujours, en février 2021, prélevé. C'est une honte...
Vivement la fin de toutes mes assurances chez vous.</t>
  </si>
  <si>
    <t>13/02/2021</t>
  </si>
  <si>
    <t>mickael-v-122415</t>
  </si>
  <si>
    <t>Je suis satisfait jusqu'ici du sevice et de la simplicité du site internet ainsi que des tarifs qui sont plutot attractifs , j'espère que la suite sera aussi bien en cas de besoin...</t>
  </si>
  <si>
    <t>05/07/2021</t>
  </si>
  <si>
    <t>marie-94066</t>
  </si>
  <si>
    <t>Credit mutuelle animaux .j'ai beaucoup de mal à comprendre le fonctionnement de cette mutuelle exemple facture véto 600 €rembourser 480€ je paye don 120 € 7 jours après je suis prélevé du montant total de la facture explique moi ?</t>
  </si>
  <si>
    <t>nicolas-l-121956</t>
  </si>
  <si>
    <t>Prix élevé par rapport à la concurrence mais service de qualité.
Dommage de ne plus pouvoir joindre les agences locales en direct par téléphone car l'attente est souvent longue sur les lignes dédiées</t>
  </si>
  <si>
    <t>serge-96545</t>
  </si>
  <si>
    <t>Gentillesse en matière d'écoute, mais ce n'est que le seul cas positif..........pour le reste, vous serez surpris par l'augmentation des cotisations (exemple : 2020/2021 = + 10%) et vous n'êtes prévenu qu'au moment de payer..........mais le service AXA a la bonne solution tout de même !  pour alléger cette nouvelle cotisation : il vous propose  de diminuer toutes vos garanties en conséquence, et cela ni vu ni connu, je t'embrouille  !!!!............pratique plus que douteuse, pour les nouveaux assurés, je conseille surtout de passer son chemin............</t>
  </si>
  <si>
    <t>21/08/2020</t>
  </si>
  <si>
    <t>nicolas06-81001</t>
  </si>
  <si>
    <t xml:space="preserve">Ma compagne a eu un accident nn responsable il y a maintenat un mois. le constat montre la total responsabilite de l'autre conducteur. La voiture est dans un premier temsp du coup transporter dans un premier garage sur NICE. Au bout d'une semaine toujours aucune nouvelle d'un eventuel passage d'expert et aucune information ne peux soi disant etre donnees par telephone. le temsp passse et puis soudain au bout de 2 semaines et demi on appren que notre voiture a etais envoye a puget sur argent a 1h de nice dans un garage partenaire de l'olivie assuarnce. 
AUCUN coup de telephone rien absolument rien!!!!! C'est nous en appellant le premier garage que nous avons apris le deplacement de notre voiture.
Nous appellons l'assuarnce et celle ci ne veux toujours pas nous dire le resultats de l'expertise. 
Aujourd'hui un mois apres láccident toujours rien, nous avons pas de nouvelle le neant!!!!!
</t>
  </si>
  <si>
    <t>14/11/2019</t>
  </si>
  <si>
    <t>rodrigue-o-119085</t>
  </si>
  <si>
    <t>Je remarques une augmentation du prix d'assurance du logement et du véhicule.Pourtant les conditions n'ont pas beaucoup changées et je déménage dans une ville plus calme.</t>
  </si>
  <si>
    <t>24/06/2021</t>
  </si>
  <si>
    <t>jazmin-v-109145</t>
  </si>
  <si>
    <t xml:space="preserve">Ce qui serait bien, c'est de pouvoir régler tous les contrats à la même date.
J'ai payé 741.82 € pour mon CRV et là vous m'écrivez pour régler pour ce même véhicule la somme de 684€. Je pense que vous devriez me rembourser la différence, Non ?
</t>
  </si>
  <si>
    <t>04/04/2021</t>
  </si>
  <si>
    <t>mehenni-a-123601</t>
  </si>
  <si>
    <t>Je suis satisfait du service de souscription de contrat. Les signatures électroniques sont un vrai plus. Continuez comme ça. La gestion du remplacement de l'ancien véhicule par le nouveau s'est bien passé et de manière très rapide.</t>
  </si>
  <si>
    <t>16/07/2021</t>
  </si>
  <si>
    <t>david-l-123368</t>
  </si>
  <si>
    <t>Bonjour, l'impossibilité de resilier par téléphone n'est pas acceptable. Les arguments sont surprenants car la souscription elle est possible par téléphone. En espérant une amélioration de ce service</t>
  </si>
  <si>
    <t>bourgeois-r-129258</t>
  </si>
  <si>
    <t>Ayant souscrit le contrat par téléphone, le contact client a été parfait, très clair. Les prix sont compétitifs. Je recommenderai votre compagnie sans hésitation</t>
  </si>
  <si>
    <t>24/08/2021</t>
  </si>
  <si>
    <t>zouhair-b-106884</t>
  </si>
  <si>
    <t>Une fois de plus aucune réponse des coupures par téléphone et pas de rappels. Une expérience client horrible. Nous attendons un service qui n'est jamais suivi des actes. OU sont les services ??</t>
  </si>
  <si>
    <t>17/03/2021</t>
  </si>
  <si>
    <t>yann-54785</t>
  </si>
  <si>
    <t>Démarches abusifs par  téléphone</t>
  </si>
  <si>
    <t>18/05/2017</t>
  </si>
  <si>
    <t>leguellec-107842</t>
  </si>
  <si>
    <t>la pire des compagnies d'assurance que j'ai connue et j'ai plus de 70 ans;LA HONTE....encaisser pas de problème mais ,alors qu'ils sont les plus importants du marché,ils sont incapables de décaisser;à ÉVITER ABSOLUMENT</t>
  </si>
  <si>
    <t>10/06/2021</t>
  </si>
  <si>
    <t>vicini-y-127895</t>
  </si>
  <si>
    <t>Prix très compétitifs, adhésion simple et rapide, assistance téléphonique très efficace...
La signature des actes en ligne permet de finaliser très rapidement les démarches et sans tracas... 
Vous etes sans nul doute les meilleurs... 
Merci et bravo!</t>
  </si>
  <si>
    <t>13/08/2021</t>
  </si>
  <si>
    <t>jef-87976</t>
  </si>
  <si>
    <t xml:space="preserve">j étais artisan dans le bâtiment j avais une décennale chez AXA je payé cher mais bien assuré.
en 2015 j ai étais contacté par un agent MMA qui ma fais une offre prix raisonnable moins cher que AXA donc j ai changer d'assurance ( 8 véhicules , dépôt et décennale) .
en 2016 j ai un problème de santé j ai arrêter mon entreprise .
en 2019 j ai un client qui a un problème de fuite sur une toiture contacte MMA  avec mon numéro de dossier et il réponde que je ne suis pas assuré et pas envoyé d'expert.
ils veulent rien savoir  
</t>
  </si>
  <si>
    <t>MMA</t>
  </si>
  <si>
    <t>garantie-decennale</t>
  </si>
  <si>
    <t>phalla-62550</t>
  </si>
  <si>
    <t>Impossible à joindre par téléphone le service sinistre pour client assurer en habitation! C'est juste scandaleux! On a forcer la cave de ma mère depuis le 1er Janvier et j'essaie de joindre par téléphone car n'étant seulement qu'assurer impossible de le faire sur internet! J'ai appelé de nombreuse fois en patientant la plupart du temps 30 min sans que personne ne répond. Peut-être que quelqu'un pourra nous contacter par ce moyen!</t>
  </si>
  <si>
    <t>21/03/2018</t>
  </si>
  <si>
    <t>momo-97078</t>
  </si>
  <si>
    <t>Je suis Pas satisfait au niveau prix et service non plus et au téléphone vous expliquez mal et vous parlez mal aussi ...................................</t>
  </si>
  <si>
    <t>06/09/2020</t>
  </si>
  <si>
    <t>logan-h-108513</t>
  </si>
  <si>
    <t>Satisfait des prix proposés, simple, rapide et efficace. Je recommande cet assureur. Mon contrat a été fait sur internet le temps entre ma recherche d'assurance et la souscription c'est faite en a peine 20 minutes.</t>
  </si>
  <si>
    <t>30/03/2021</t>
  </si>
  <si>
    <t>xx-61861</t>
  </si>
  <si>
    <t>Lorsque l'on veut assurer un véhicule qui fait moins de 5000 km par an la cotisation est sensiblement la même que pour une utilisation quotidienne. Idem pour une moto.</t>
  </si>
  <si>
    <t>cyrille-113822</t>
  </si>
  <si>
    <t xml:space="preserve">J'ai choisi april comme assurance emprunteur, mais je m'en mords les doigts. 
Quand on leur fournit toutes les pièces qui viennent des banques, ils prétendent qu'il y a toujours une info qui leur manque, donc on fait un aller retour avec les banques qui nous disent qu'il ne manque rien... et alors qu'est ce qu'on fait ? Ce n'est pas arrivé qu'une seule fois, j'en suis au moins à la 6eme fois que cela arrive !!!! Cette assurance ne fait rien pour vous faciliter les démarches. Ne prenez surtout pas April, je ne suis pas particulièrement rebuté aux choses administratives , mais la c'est pire que dans le film brazil (pour ceux qui connaissent !), c'est l'hérésie administrative !! </t>
  </si>
  <si>
    <t>dolo59-97121</t>
  </si>
  <si>
    <t>Scandaleux la façon dont la GMF, t le services risques spécifiques traitent ses clients. J'ai subi un sinistre le 17 juin dans mon habitation, j'ai du insister auprès de la personne qui était en charge de mon dossier pour qu'elle prenne bien compte les dégâts et qu'elle fasse passer un expert. Aucun coup de téléphone, car personne disponible de 14h à 17h, mais si vous l'appelez, elle ne répond pas. Uniquement échange via mail et encore il faut insister. 
Depuis le sinistre je n'ai plus de chauffage et je fais ma vaisselle dans ma baignoire. L'expert est passé, a envoyé le compte rendu et depuis pas de nouvelles. impossible de joindre quelqu'un au téléphone, et mes mails ne recoivent aucune réponse. Même pas un point sur l'avancement du dossier, c'est tout ce que je demande. 
Même pas la politesse de vous répondre, la GMF ne peut rien faire et est désolée mais je m'en fiche, je désire simplement une réponse, ce qui me semble est la moindre des choses. 
Je trouve l'attitude des risques spécifiques, plus qu'impoli et intolérable. 
Dolores</t>
  </si>
  <si>
    <t>07/09/2020</t>
  </si>
  <si>
    <t>phior-137200</t>
  </si>
  <si>
    <t>Les dossiers sont traités rapidement dans l ensemble. Il y a aussi de la compétence et de l amabilité lors de mes appels à la MGP. De même les tarifs sont à mon sens au juste prix.</t>
  </si>
  <si>
    <t>MGP</t>
  </si>
  <si>
    <t>12/10/2021</t>
  </si>
  <si>
    <t>01/11/2020</t>
  </si>
  <si>
    <t>chrisdom-93485</t>
  </si>
  <si>
    <t>Une étoile juste parce qu'il n'est pas possible de mettre moins. Des rigolos qui ne respectent pas le contrat si vous ne les menacez pas pas d'engager une procédure judiciaire. Personnel aimable mais avec une capacité de réflexion bien en dessous de celle d'un gastéropode</t>
  </si>
  <si>
    <t>08/07/2020</t>
  </si>
  <si>
    <t>sindh-108987</t>
  </si>
  <si>
    <t xml:space="preserve">adhérent depuis plus de 50 ans à la mutuelle santé de la police nationale, je n ai jamais regretté mon chois. A chaque problème de santé j ai toujours pu compter sur les conseilles avisés de mon correspondant. </t>
  </si>
  <si>
    <t>02/04/2021</t>
  </si>
  <si>
    <t>mohamed-b-124548</t>
  </si>
  <si>
    <t>Je suis satisfait du service le prix me convient . Moins cher que mon ancien assureur  Ma femme est satisfaite de cette assurance pas trop cher merci .</t>
  </si>
  <si>
    <t>24/07/2021</t>
  </si>
  <si>
    <t>armelle-d-122649</t>
  </si>
  <si>
    <t>Je suis satisfaite de vos prestations et prix ainsi que du service rendu.
Seul bémol, ne pas pouvoir joindre mon agence à Lille par téléphone directement.</t>
  </si>
  <si>
    <t>07/07/2021</t>
  </si>
  <si>
    <t>daniel-l-110148</t>
  </si>
  <si>
    <t>Je suis satisfait du service proposé. Les prix proposés me conviennent parfaitement. La façon de procéder est simple et pratique.
Acceptez mes salutations respectueuses.</t>
  </si>
  <si>
    <t>francois-j-135917</t>
  </si>
  <si>
    <t xml:space="preserve">Bien comme assurance merci beaucoup je reviens vers vous dès que j'ai mon attestation d'assurance en espérant l'avoir rapidement j'en n'es vraiment besoin merci </t>
  </si>
  <si>
    <t>04/10/2021</t>
  </si>
  <si>
    <t>victor-50645</t>
  </si>
  <si>
    <t xml:space="preserve">Aillant pris mon crédit immobilier au crédit mutuel j'avais donc l'assurance de mon crédit chez eux jusque la tout va bien.
Sauf que quand j'ai voulu changé d'assurance durant ma première année pour celle de la Macif 3x moins chers.
Le Crédit Mutuel a tout fait pour bloquer et empêcher ce changement d'assurance, et ceci même après 3 recommandé de la Macif et 2 de ma part, ils ont fait traîné en disant que les garantie n’était pas équivalente alors qu'elle l’était depuis le début.
Ensuite une fois que l'affaire avait traînée en longueur plus de 9 mois et également les 1 ans pour le changement d'assurance sans frais.
Ceci me disent que finalement les garantit son équivalente mais vu que ce n'est plus la 1er année les conditions du changement ne sont plus les mêmes et donc qu'il faut refaire une demande, or dans cette histoire de 1er année si j'avais pu avoir ce refus par écrit comme à leur habitude la Macif aurait pu se défendre mais il sont malin et ne m'on dit cela que par téléphone.
De ce fait j'étais coincé a payer 2 assurances pour rien.
HEUREUSEMENT l'assurance Macif Sécurimut et très facilement joignable et compétant la Macif m'a donc remboursé ce que je leur avait payé sans sourciller.
Du coup j'ai fait racheter mon prêt immobilier à la caisse d’épargne celle ci me proposant une offre très alléchante 20 000€ d’économie sur mon crédit et en prenant l'assurance chez Generali.
</t>
  </si>
  <si>
    <t>26/12/2016</t>
  </si>
  <si>
    <t>nat-107086</t>
  </si>
  <si>
    <t>Rapide et efficace, e collent accueil téléphonique, rapidité pour les envois postaux et clarté dans les explications, je les recommande pour les contrats assurances auto</t>
  </si>
  <si>
    <t>18/03/2021</t>
  </si>
  <si>
    <t>franck-97804</t>
  </si>
  <si>
    <t>Bonne réactivité de la correspondante locale, madame Hélène P. Ce qui est très appréciable.
Sinon... mutuelle chère qui couvre moyennement les dépenses. (Avec le meilleur contrat, je précise).
La limitation du nombre de remboursements de séances d'ostéopathie à 3 par an est très insuffisante,  il serait souhaitable d'améliorer cela.
Problème de refus d'un renouvellement de prise en charge à 100% pour des soucis cardiaques alors que je suis traité depuis plusieurs années pour cela au prétexte que mon médecin traitant aurait omis de fournir des éléments... Je trouve celà choquant.
Client MGP depuis 1987, je nai cessé de voir son fonctionnement décroître, c'est dommage.</t>
  </si>
  <si>
    <t>24/09/2020</t>
  </si>
  <si>
    <t>julia-d-124597</t>
  </si>
  <si>
    <t xml:space="preserve">Je suis satisfaite du service,très bon accompagnement téléphonique.
Le prix é restel élevé pour le modèle de voiture,en espérant que le boîtier connecté fonctionne réellement.
</t>
  </si>
  <si>
    <t>domingos-b-114905</t>
  </si>
  <si>
    <t>Il serait appréciable et bienvenu de recevoir un avis d'échéance avant le prélèvement automatique de la totalité de la somme.
L'assuré peut ainsi prévoir et anticiper.
Je vous remercie pour votre compréhension.</t>
  </si>
  <si>
    <t>26/05/2021</t>
  </si>
  <si>
    <t>gilles1955-89988</t>
  </si>
  <si>
    <t>dossier sinistre tres mal pris en charge 4 mois pour refuser la prise en charge , je deconseille AXA; ma mis en difficulté et me laisse me débrouiller.</t>
  </si>
  <si>
    <t>27/05/2020</t>
  </si>
  <si>
    <t>kiki25-115847</t>
  </si>
  <si>
    <t xml:space="preserve">Contact dépersonnalisé par excellence ! Pas de proximité client . Malheur aux sociétaires réfractaires à internet et au tél ( temps d’attente scandaleusement longs) les agences locales refusent de donner leur nº de tél ! Baisse de qualité de service ! Sauf pour pour vous envoyer votre quittance et pour vendre d’autres prestations </t>
  </si>
  <si>
    <t>03/06/2021</t>
  </si>
  <si>
    <t>cochise-113195</t>
  </si>
  <si>
    <t xml:space="preserve">je paye mon assurance santé 210€ par moi depuis le premier janvier je n'ai reçu aucun remboursement, je me suis connecté à mon espace client ils ne me connaissent même pas, pourtant ils me tirent les 210€ de cotisation, c'est une assurance à fuir </t>
  </si>
  <si>
    <t>09/05/2021</t>
  </si>
  <si>
    <t>karim-a-132634</t>
  </si>
  <si>
    <t>Trop bon prix pour jeune conducteur, je trouve que le site est bien accessible et compréhensif. Le prix est abordable et les options sont variées. Merci</t>
  </si>
  <si>
    <t>13/09/2021</t>
  </si>
  <si>
    <t>amegble-k-125122</t>
  </si>
  <si>
    <t>Je suis satisfait du service proposé, le prix sont simple et moins cher. Super sympa. Après à voir par la suite, pour savoir si les services proposés seront respectés.</t>
  </si>
  <si>
    <t>27/07/2021</t>
  </si>
  <si>
    <t>mohamed-b-108665</t>
  </si>
  <si>
    <t>J'aime bien, je ne regrette pas d'être venu chez DIRECT ASSURANCE.
J'aime aussi l'application internet, et le fait d'apeller sur un numéro non surtaxé, quand besoin.</t>
  </si>
  <si>
    <t>31/03/2021</t>
  </si>
  <si>
    <t>ben-60360</t>
  </si>
  <si>
    <t>client depuis 8 ans en assurance habitation avec protection juridique. J ai été attaqué par un voisin pendant 7 ans qui nous a fait 4 procès pour finir en cassation. Allianz a pris à sa charge tous les frais en sachant que nous avons gagné à chaque fois.</t>
  </si>
  <si>
    <t>10/01/2018</t>
  </si>
  <si>
    <t>01/01/2018</t>
  </si>
  <si>
    <t>g-f--104852</t>
  </si>
  <si>
    <t xml:space="preserve">je regrette qu'il ne soit plus possible d'être directement en contact avec les Délégués mutualistes! Délégués, que nous désignons mais que nous, retraités, nous ne connaissons même pas. Il serait utile, comme auparavant d'avoir une liaison locale M.G.P. à Limoges afin de traiter les dossiers de manière humaine et précise.
Dans cette attente !
Un très ancien adhérent M.G.P.
G. FARDET  </t>
  </si>
  <si>
    <t>26/02/2021</t>
  </si>
  <si>
    <t>florent-l-132859</t>
  </si>
  <si>
    <t xml:space="preserve">Sastisfait de la facilité d’obtention du devis. Satisfait de la faciliter de souscription. Satisfait du tarif. Reste a voir le service rendu apres souscription. </t>
  </si>
  <si>
    <t>zouheir-i-138305</t>
  </si>
  <si>
    <t>Très bien, les commerciaux très professionnels. Une bonne écoute je recommande l'olivier assurance à mon entourage.
Les.prix attractifs pour des garanties optionnelles</t>
  </si>
  <si>
    <t>isabelle-a-105987</t>
  </si>
  <si>
    <t>Les tarifs me conviennent mais les couvertures sont finalement décevantes... ce n'est pas mieux ici qu'ailleurs mais au moins c'est moins cher !!!
cependant, je trouve dommage de ne pas pouvoir télécharger l'attestation d'assurance "carte verte" directement sur mon espace personnel</t>
  </si>
  <si>
    <t>09/03/2021</t>
  </si>
  <si>
    <t>bruno-b-125956</t>
  </si>
  <si>
    <t xml:space="preserve">Très satisfait des prix des garanties de l’interface pour procéder à la souscription du contrat assurance automobile . Dommage que le code direct parrain ne fonctionne pas si on souhaite payer par mensualités </t>
  </si>
  <si>
    <t>02/08/2021</t>
  </si>
  <si>
    <t>xxxx-138501</t>
  </si>
  <si>
    <t>c'est bien de dire sur une pub télé que vous êtes les moins chers, ça serait mieux si c'était vrai, j'ai demandé un devis chez vous aujourd'hui et 3 devis dans des agences de ma ville, vous êtes le plus cher des 4 et quand votre conseiller appelle et qu'on lui dit ça ne lui plait pas et il raccroche, c'est lamentable, à fuit le plus vite possible</t>
  </si>
  <si>
    <t>lourmiere-m-125147</t>
  </si>
  <si>
    <t>Satisfaite de la rapidité et des prix. A voir sur le temps car je n'ai pas encore eu de sinistres donc je ne sais pas vraiment. Mais ils répondent vite au téléphone c est un bon point!</t>
  </si>
  <si>
    <t>28/07/2021</t>
  </si>
  <si>
    <t>pat-99970</t>
  </si>
  <si>
    <t>personnel tres compètant sociètè serieuse .egalement pour ceux qui du mal avec internet n esitè pas il vous guiderons pas a pas sans difficutlèe et tarif egalement intèrèssant</t>
  </si>
  <si>
    <t>10/11/2020</t>
  </si>
  <si>
    <t>laetitia-r-130790</t>
  </si>
  <si>
    <t>Nous sommes satisfait des tarifs, mais nous avons eu plusieurs sinistre ces dernières années et avons du nous battre pendant plus d'un an pour les remboursements.</t>
  </si>
  <si>
    <t>laurent31-52361</t>
  </si>
  <si>
    <t xml:space="preserve">Lamentable.
Outre tous les soucis que j'ai eu avec cette assurance depuis le début, ils se plantent même sur les choses faciles !
Cela fait depuis le mois de novembre 2016 que je les ai informés d'un changement de domiciliation bancaire !! Et ce mois-ci encore ils me prélèvent sur l'ancienne banque !!
Du jamais vu ! ils ont tous les papiers tous les mails tous les RIB toutes les autorisations ! Et ils continuent à me prélever sur l'autre banque !!!!
Cette fois-ci le compte est fermé ! Et il y aura un impayé ! J'irai jusqu'au procès si il le faut !
Que chacun se fasse son idée mais pour moi fuyez cette assurance !!
</t>
  </si>
  <si>
    <t>13/02/2017</t>
  </si>
  <si>
    <t>01/02/2017</t>
  </si>
  <si>
    <t>baptista-marques-o-117352</t>
  </si>
  <si>
    <t>Je suis satisfaite de la rapidité et de l’accueil réservé. Tarif correct et abordable pour un jeune conducteur. Site très réactif et de bon conseil. Merci</t>
  </si>
  <si>
    <t>17/06/2021</t>
  </si>
  <si>
    <t>bastienbalmet-70247</t>
  </si>
  <si>
    <t xml:space="preserve">si je pouvais mettre moins, je le ferai, je déteste donner un avis négatif.
Mais là... il le faut, pour le bien de l'ensemble des usagers.
Quand on laisse un client plus de 6 mois vous envoyer l'ensemble des informations demandées, que l'on ne lui envoi pas de carte verte définitive pour pouvoir rouler en toute légalité, que malgré des relances à chaque refus on persiste à lui envoyer des messages automatiques et qu'au téléphone on se sait même pas trouver une solution... pour à la fin lui dire qu'il payera une assurance qu'il n'a jamais eue...
j'estime que même le faible prix n'est pas justifié et que c'est très cher pour payer de l'incompétence ! </t>
  </si>
  <si>
    <t>15/01/2019</t>
  </si>
  <si>
    <t>01/01/2019</t>
  </si>
  <si>
    <t>ariane-c-131174</t>
  </si>
  <si>
    <t>Simple et pratique de souscrire, les prix sont imbattables d'après les comparateur d'assurance aussi n'ai-je pas hésité. Après pour le rapport qualité prix, j'attends d'en savoir plus car je viens juste de souscrire...</t>
  </si>
  <si>
    <t>celine-72180</t>
  </si>
  <si>
    <t>J'ai souscrit il y a quelques mois un contrat Ampli Grain 9 en raison de son rendement et de sa bonne notoriété. 
J'ai mis en place un prélèvement mensuel, et j'ai récemment effectué un virement exceptionnel de 1000 euros. 
Quelle ne fut pas ma surprise de constater que 30 euros avaient été prélevés sur cette somme pour frais de gestion ! Les conditions générales qui m'avaient été communiquées au moment de la souscription mentionnent des frais de gestion pouvant aller de 1 à 3 %, sans précisions des montants auxquels ces pourcentages s'appliquent...
J'ai fait part de mon mécontentement au service clients, qui par courrier postal, m'a précisé les frais de gestion applicables en fonction des montants versés.  Aucun "geste commercial" ne m'a été proposé en contrepartie de cette absence de transparence manifeste...
Désormais, lorsque j'aurai de l'argent à placer, je ne le mettrai certainement pas sur mon contrat Ampli Grain.</t>
  </si>
  <si>
    <t>14/03/2019</t>
  </si>
  <si>
    <t>01/03/2019</t>
  </si>
  <si>
    <t>frederic-b-105433</t>
  </si>
  <si>
    <t xml:space="preserve">Bonne réactivité lors des demandes 
Prix intéressants - on verra sur la 2e année d'assurance si il y a une différence de prix à l'échéance
dommange de facturer autant pour avoir un prèlévement mensuel
</t>
  </si>
  <si>
    <t>04/03/2021</t>
  </si>
  <si>
    <t>azalee-57877</t>
  </si>
  <si>
    <t xml:space="preserve">J'ai souscrit un contrat auto par internet, j'ai renvoyé tout les papiers nécessaire à la finalisation de mon contrat mais j'ai eu en retour par mail 4 contrats différents : 4 tarifs différents avec à chaque fois un coef bonus/malus différent. Comme j'ai le permis depuis de nombreuses années et aucun accident j'ai donc signé le dernier contrat reçu (celui qui me paraissait le plus logique) avec le coefficient le plus bas et donc le tarif le plus avantageux. Résultat? On m'a finalement attribué le contrat le plus cher (60euros/an de différence quand même!). J'ai envoyé des mail à toutes les adresses que j'ai pu trouver : aucune réponse, silence total! Bref, à fuir! J'irai voir ailleurs dès que je le pourrais.
</t>
  </si>
  <si>
    <t>06/10/2017</t>
  </si>
  <si>
    <t>01/10/2017</t>
  </si>
  <si>
    <t>clisson-74883</t>
  </si>
  <si>
    <t>J'ai choisi April, car cet organisme proposait une prise en charge intéressante pour les audioprothèses. Aujourd'hui je suis satisfait des services d'April, mais il est vrai que cette complémentaire n'est intervenue que pour les audioprothèses, étant en ALD 100% pour les autres soins. Je n'ai aucun autre commentaire à faire au sujet des "plus" et des "moins". Je n'ai mis que 3 étoiles pour le niveau prix, car, me semble-t-il, les mensualités sont un peu élevées. Les complémentaires sont une lourde charge pour les retraités âgés !</t>
  </si>
  <si>
    <t>08/04/2019</t>
  </si>
  <si>
    <t>01/04/2019</t>
  </si>
  <si>
    <t>nestor-g-139370</t>
  </si>
  <si>
    <t>Le tarif proposé est tout à fait intéressant pour un 2 roues 50 cm2 conduit par un jeune conducteur. La souscription en ligne est facile, simple et rapide. Je recommande April Moto.</t>
  </si>
  <si>
    <t>10/11/2021</t>
  </si>
  <si>
    <t>dorin-j-128981</t>
  </si>
  <si>
    <t>Simple e pratique  et le prix est convenable. Je espère que tout vas bien. Et on espère à pas avoir de problème en avenir. Tous mes salutations 
 Cordialment</t>
  </si>
  <si>
    <t>21/08/2021</t>
  </si>
  <si>
    <t>kais--113764</t>
  </si>
  <si>
    <t xml:space="preserve">Conseillé à l'écoute, démarches administratives rapides et simples mais c'est cher pour une vieille Touran comme la mienne, je la recommande, mais il faut revoir le prix </t>
  </si>
  <si>
    <t>karilonaco06-99477</t>
  </si>
  <si>
    <t>A FUIR!!
Pas cher à la souscription, mais lisez bien entre les lignes car en cas de soucis, jakpot pour eux! Je me suis fait percuter par l'arrière, comme le conducteur a fait un délit de fuite, c'est pour moi et 100% responsable! Comme j'ai eu un accrochage 3 ans auparavant, résiliée directe et inscrite au fichier des "Indésirables"!! Super pour retrouver une autre assurance!
A fuir!</t>
  </si>
  <si>
    <t>poli-m-127216</t>
  </si>
  <si>
    <t>Parfait je suis satisfaite , on m’a bien conseillé , très sympathique , merci d’avance de votre fiabilité , les prix sont correct , pour des jeunes conducteur c’est  top !</t>
  </si>
  <si>
    <t>09/08/2021</t>
  </si>
  <si>
    <t>amaury-t-133216</t>
  </si>
  <si>
    <t xml:space="preserve">Je suis satisfait des prix que vous proposez (-200€ par rapport à la concurrence pour les mêmes garanties), la simplicité de votre site est également a souligner! Bravo! </t>
  </si>
  <si>
    <t>17/09/2021</t>
  </si>
  <si>
    <t>fleur2016-46976</t>
  </si>
  <si>
    <t>Bonjour, 
à propos du geste commercial concernant le confinement depuis mars 2020, voici le choix que la MATMUT fait :
- 75 € de remise sur cotisation annuelle 2020 auto pour ceux qui sont ou ont perdu leur emploi.
- une attention particulière aux infirmiers libéraux et médecins retraités mobilisés sur des missions temporaires en lien avec le COVID-19, se traduisant par la prise en charge de la moitié de leur cotisation de responsabilité civile médicale.
Les kinésithérapeutes et les ostéopathes dont le cabinet médical a été réquisitionné se verront quant à eux offrir un trimestre de cotisation sur le contrat d'assurance garantissant leur local dédié.
Au total, ces mesures représentent un effort financier de 50 000 000 € environ d'après la MATMUT.
Si vous ne faites pas partie des ces cas, il n'est pas prévu de remboursement de l'ordre d'une cinquantaine d'euros pour les deux mois de mars et avril comme il l'était réclamé publiquement par "que choisir". 
Les autres devront donc se contenter d'une promesse de gel des tarifs auto/moto jusqu'à la fin de l'année 2021.</t>
  </si>
  <si>
    <t>28/04/2020</t>
  </si>
  <si>
    <t>01/04/2020</t>
  </si>
  <si>
    <t>rabe-c-129604</t>
  </si>
  <si>
    <t>Satisfait du service, la demande par internet et très facile et simple d'utilisation.
Je recommande l'assurance L'OLIVIER a tous sans exeption, avec des bon tarifs adapter a votre demande d'assurance.</t>
  </si>
  <si>
    <t>26/08/2021</t>
  </si>
  <si>
    <t>raffin-t-108319</t>
  </si>
  <si>
    <t>Bonjour, tarif très intéressant, démarche simple et efficace, il n'y a plus qu'à voir en cas d'accident / incident, comment ça réagit. J'espère ne pas être en galère au moindre problème.</t>
  </si>
  <si>
    <t>28/03/2021</t>
  </si>
  <si>
    <t>mohus38-121981</t>
  </si>
  <si>
    <t>C'est une mutuelle qui a un bon rapport qualité/prix. Avec une conseillère Nisrine très aimable, serviable, à l'écoute de mes attentes et surtout très efficace.</t>
  </si>
  <si>
    <t>arnaud49--135195</t>
  </si>
  <si>
    <t>Service rapide et efficace !
Dommage qu’il y ai eu des soucis au démarrage de la mise en place de cette mutuelle santé….
Sinon service clientèle disponible et efficace.</t>
  </si>
  <si>
    <t>30/09/2021</t>
  </si>
  <si>
    <t>mohamed-m-106879</t>
  </si>
  <si>
    <t>compliqué a joindre ,aucun personnalisation du service ,personne différente a chaque fois ,expéditif, standardisation des traitements a la chaine.
je n'ai rien d'autre a direct on paie un service minimum ,avant assure chez axa je reconnais leur façon de faire</t>
  </si>
  <si>
    <t>steph-95720</t>
  </si>
  <si>
    <t>Assurance A FUIR !!! 
Devis en ligne effectué et assurance de un mois reçu mais dans les faits nous n'avions pas droit à cette assurance car pour assurer un 125 il faut 2 ans de permis. Nous ne savions pas. Or les informations transmises lors de la souscription sont correctes et le permis à été envoyé en meme temps que les autres documents.
L'acompte de 119e ne nous est pas remboursé alors que cest une erreur de leur part de nous avoir permis de souscrire.
Enfin, les promesses de rappel et d'envoi de mail reste utopiques et a présent le service de gestion est INJOIGNABLE ! 
INADMISSIBLE !!!</t>
  </si>
  <si>
    <t>Assur Bon Plan</t>
  </si>
  <si>
    <t>karine-63561</t>
  </si>
  <si>
    <t xml:space="preserve">Contrat retraite madelin je me retrouve au rsa et sdf j’ai besoin du rachat de mon contrat au vu de ma situation et Swiss Life me le refuse malgré les justificatifs fournis c’est maintenant que j’en ai besoin pas à ma retraite j’en ai besoin pour me trouver un appartement </t>
  </si>
  <si>
    <t>25/04/2018</t>
  </si>
  <si>
    <t>abdel-majid-d-133196</t>
  </si>
  <si>
    <t xml:space="preserve">Je suis satisfait de direct Assurance meilleure qualité prix rien à dire je vous recommanderai à mes proches sans hésitation très rapide et simple de compréhension </t>
  </si>
  <si>
    <t>cussigh-i-130419</t>
  </si>
  <si>
    <t xml:space="preserve">Lors de notre conversation téléphonique j'ai précisé que j'avais un code parrainage, mais il n'a pas fonctionner car je suis passée par un comparateur il faudrait le préciser avant de souscrire car vous attiré le client pour des offres et comme d'habitude une fois souscrit on y a pas droit. </t>
  </si>
  <si>
    <t>xxx-102731</t>
  </si>
  <si>
    <t xml:space="preserve">Adhérent depuis longtemps à la MGP j'ai toujours été satisfait des prestations, pas de problème de remboursement, prise en charge immédiate lors d'hospitalisation la seule réserve que j'émettrais serait la prise en charge même partielle des dépassements d'honoraires qui à une forte tendance à se généraliser. Mais c'est sans doute aux autorités d'éviter ces débordements de dépassements à la "tête du client" ou de la mutuelle présentée.
 Continuez à vous battre pour nous, pour notre protection ; nous en avons tous bien besoin ces temps-ci.
Merci pour votre investissement quotidien.
</t>
  </si>
  <si>
    <t>15/01/2021</t>
  </si>
  <si>
    <t>morandiere-c-114313</t>
  </si>
  <si>
    <t>Je suis très satisfait du service proposé. Les prix sont attractifs et les démarche simple et rapide. 
Je recommanderais vivement à mes proches de m'assurer chez vous</t>
  </si>
  <si>
    <t>19/05/2021</t>
  </si>
  <si>
    <t>alain-c-117385</t>
  </si>
  <si>
    <t>correct mais je trouve qu'il manque de primes de fidélité car je suis chez vous depuis si longtemps. un geste commercial significatif serait apprécié cordialement</t>
  </si>
  <si>
    <t>bichon-87085</t>
  </si>
  <si>
    <t xml:space="preserve">malgré un bonus de 50% je viens d'avoir un accident considéré comme responsable et la gmf me vire comme un  malpropre  et me renvoie vers un autre assureur "joker" .ma cotisation se trouve doublée !  </t>
  </si>
  <si>
    <t>13/02/2020</t>
  </si>
  <si>
    <t>gaelle-139461</t>
  </si>
  <si>
    <t xml:space="preserve">Service très à l'écoute, toujours arrangeant dans la mesure du possible. C'est agréable. On a toujours réponse à nos questions. Malgré les retards de l'ensap. </t>
  </si>
  <si>
    <t>12/11/2021</t>
  </si>
  <si>
    <t>christine-65948</t>
  </si>
  <si>
    <t>Contrat assurance voiture, moto résiliés pour cette fin d'année car malgré le paiement d'une assurance dépannage, ils ne sont pas contents de mes deux pannes+ deux sinistres non responsables. Incroyable......A la Maaf, ce qu'ils préfèrent, ce sont les clients qui n'ont aucun sinistre mais alors aucun. Pour info, ils vous conseillent de partir avant la résiliation pour que cela n'apparaisse pas sur votre dossier. Ils font de vous un coupable alors qu'ils ne sont, visiblement, que dans la recherche de gain financiers.</t>
  </si>
  <si>
    <t>02/08/2018</t>
  </si>
  <si>
    <t>01/08/2018</t>
  </si>
  <si>
    <t>kiki17-46979</t>
  </si>
  <si>
    <t>Je suis en plein processus de règlement suite au décès de mon conjoint survenu en janvier 2017. j'ai entamé les premières démarches dès janvier, et à ce jour mon dossier n'est toujours pas réglé. Comme les différentes personnes qui se sont exprimées, j'ai connu les pertes de documents, les demandes en double, les justificatifs à n'en plus finir, les reports de semaines en semaines...les communications par lettres postales, alors que je communique par email avec l'agence etc...impossible de joindre le moindre responsable et la personne qui répond au téléphone ne peut rien faire ! bref, je sens une véritable volonté de ralentir au maximum le traitement du dossier pour ne pas payer ce qui nous revient de droit. Je suis extrêmement déçue et ne recommanderai jamais cette institution à un proche. Je vis au Québec et je peux vous dire que la clientèle à une toute autre importance et une toute autre considération.</t>
  </si>
  <si>
    <t>Afer</t>
  </si>
  <si>
    <t>13/07/2017</t>
  </si>
  <si>
    <t>audreyyy-70243</t>
  </si>
  <si>
    <t>A fuir ! J'ai souscris un contrat d'assurance auto le 14/12/2018. J'ai envoyé tous les documents qui m'ont été demandés par l'assureur (dans une proportion assez impressionnante d'ailleurs, du jamais vu). La semaine dernière, on me contacte pour m'informer que mon dossier est complet et que je recevrais ma carte verte après vérification de mon relevé d'informations auprès de mon ancien assureur. Et le lendemain, ho surprise, je reçois un appel me précisant qu'il manque la carte grise du véhicule que j'avais pourtant déjà envoyée. Depuis, après de multiples envois depuis mon espace client via mobile, ordinateur, par mail...(une bonne vingtaine d'envoi en tout); personne au service client n'est capable de me dire si mon document a bien été reçu et mon attestation d'assurance provisoire arrivais à échéance au 14/01. Résultat je me retrouve avec un véhicule que je ne peut plus utiliser puisque je n'ai pas de carte verte. Service client incompétent, irrespectueux. Quand je vois comment cela se passe pour une simple finalisation de contrat, j'ose à peine imaginer le déroulement de la résolution d'un litige. Un conseil: FUYEZ !!!</t>
  </si>
  <si>
    <t>bufon-95-112225</t>
  </si>
  <si>
    <t>assurance a éviter absolument . j'ai été contacté par téléphone pour souscrire deux contrats prévoyance santé en 2016 pour moi et ma concubine , j'ai demandé la résiliation des deux contrat et aujourd'hui on me réclame toujours des cotisations pour le contrat de ma concubine . nous avons payé par chèque la somme de 150 euros pour les cotisations et les frais de  recommandés . un gros abus pour des clients assuré pendent plus de six années et que cette assurance ne nous a servie a rien pendent toutes ces années . malgré mon numéro de téléphone et mon adresse mail que cette compagnie d'assurance avait , nous n'avons jamais été contacté .</t>
  </si>
  <si>
    <t>30/04/2021</t>
  </si>
  <si>
    <t>jean-marc-q-109547</t>
  </si>
  <si>
    <t>Je suis globalement satisfait, je n'ai jamais eu besoin de faire appel à vos services
Mais le montant n'est pas le moins cher du marché
Très bonne journée</t>
  </si>
  <si>
    <t>08/04/2021</t>
  </si>
  <si>
    <t>jma-109801</t>
  </si>
  <si>
    <t xml:space="preserve">Bonjour je suis fort mécontent de la Macif qui  missionne un cabinet d'experts ELEX pour différents sinistres et litiges. En effet j'ai actuellement un litige avec mon voisin pour une histoire d'arbre. Aussi la 1ere expertise a été annulé par le cabinet ELEX cause pas dispo. L'expert adverse fixe une nouvelle expertise pour laquelle j'informe toutes les parties de mon indisponibilité. Je propose plusieurs nouvelles dates qui ne sont pas retenues par l'expert adverse qui m'informe que la convocation sera maintenue. Mon Avocat et moi même informons et insistons à nouveau qu'il nous est impossible d'être présent à cette date , que notre présence est indispensable, en plus  ne sachant pas clairement de quoi il en retourne. Malgré mon interdiction écrite au cabinet ELEX de ne pas se présenter à la convocation , ils ont tout de même assisté à l'expertise nous mettant dans une situation fâcheuse qu'il faudra expliquer. Aussi je précise que l'expert n'a aucune connaissance de mon dossier puisque il ne m'a jamais contacté pour échanger. Cette pratique doit être habituelle dans ce cabinet d'experts ELEX d'assister à des expertises contradictoire sans même avoir entendu son client. ELEX n'a jamais défendu mon report de date auprès du cabinet adverse. On se demande à quoi sert une telle expertise si ce n'est à faire de l'abattage d'encaissement d'expertise . Par ricochet je suis donc très déçu et très mécontent de la Macif, sachant que j'ai découvert dernièrement que mon contrat Formule Protectrice ne comprend pas la Protection juridique qui ne m'a jamais été proposée. je viens donc de la souscrire avant qu'un nouveau désagrément ne survienne.     </t>
  </si>
  <si>
    <t>mbarka-k-110075</t>
  </si>
  <si>
    <t>bonjour je suis  tres satisfaites de vous service et les conseiller sont très a l écoute  et la gestion des dossier rien a dire  merci et bonne journee</t>
  </si>
  <si>
    <t>xxyyyy-58965</t>
  </si>
  <si>
    <t>Je viens de changer d'assurance au bénéfice de l'olivier assurances et je dois avouer que tout s'est très bien déroulé. La résiliation auprès de mon ancienne assurance n'a rencontré aucune difficulté. J'ai reçu ma nouvelle carte verte très rapidement. Pour le moment, je n'ai rien à redire et je conseille l'olivier assurances à mon entourage.</t>
  </si>
  <si>
    <t>20/11/2017</t>
  </si>
  <si>
    <t>01/11/2017</t>
  </si>
  <si>
    <t>brigitte-61214</t>
  </si>
  <si>
    <t>L'assurance juridique de la Matmut ne sert qu'à faire joli. Sur le fond, les conseillers juridiques ont juste pour consigne de limiter la dépense de la compagnie et se moquent totalement de leurs souscripteurs. mais c'est le gros défaut de toutes les assurances en général. Il serait peut-être temps que les usagers de ce pays inventent autre chose comme par exemple se regrouper au sein d'une association qui proposerait une vraie protection.</t>
  </si>
  <si>
    <t>07/02/2018</t>
  </si>
  <si>
    <t>charlotte-m-125927</t>
  </si>
  <si>
    <t>Je suis satisfaite du service et des tarifs.
Je recommande fortement cette assurance. 
Simple et rapide à souscrire, tout est bien expliqué et les prix sont abordables.</t>
  </si>
  <si>
    <t>nuggs-116456</t>
  </si>
  <si>
    <t xml:space="preserve">J’ai appelé suite à un envoi de devis qui avait mal été traité par la plateforme internet. J’ai été reçu par Lamia qui a été très patiente à l’explication de mon problème. J’ai même eu des explications en plus. Échange fort appréciable avec quelqu’un de très polie. </t>
  </si>
  <si>
    <t>09/06/2021</t>
  </si>
  <si>
    <t>latu-r-139332</t>
  </si>
  <si>
    <t xml:space="preserve">Simple et pratique, les prix sont avantageux et défie toute concurrence. L'olivier assurance nous rassure et nous guide efficacement et nous tiens informés de toute les procédures et l'explication sont fourni avec. Un grand plaisir de m'assurer chez L'olivier assurance </t>
  </si>
  <si>
    <t>paula-52297</t>
  </si>
  <si>
    <t xml:space="preserve">Accident survenue voilà aujourd'hui 15 jours et toujours pas de véhicule réparé ... L'olivier nous demande de faire la déclaration par téléphone et 10jours après nous demande de leur envoyer une déclaration par mail , pourquoi ne pas nous le demander dès le début ? J'ai appelé il y a 4 jours pour avoir des nouvelles, le conseiller qui s'occupe de mon dossier est en téléphone on me dit il vous rappelle, j'attends toujours son appel . Par contre pour vous radier ils sont très rapide , lettre recommandée reçu 1 semaine après . </t>
  </si>
  <si>
    <t>gilles-b-106291</t>
  </si>
  <si>
    <t>Prix compétitifs mais validation après paiement laborieuse car  demande d'autorisation de résiliation malgré option loi Hamon. et scan carte grise annoncé illisible pourtant HD</t>
  </si>
  <si>
    <t>11/03/2021</t>
  </si>
  <si>
    <t>hamlaoui-f-113442</t>
  </si>
  <si>
    <t xml:space="preserve">Je suis satisfaite du prix mais je n'ai pas encore essayé le service. A voir avec le temps mais niveau prix je trouve que c'est correct pour une 3ème année d'assurance </t>
  </si>
  <si>
    <t>11/05/2021</t>
  </si>
  <si>
    <t>danic-morieul-f-111303</t>
  </si>
  <si>
    <t xml:space="preserve">Je suis vraiment satisfaite. Échanges clairs et simples et rapides.
Passation de pouvoir entre devis et souscription.
Bon rapport qualité prix. 
Cordialement. </t>
  </si>
  <si>
    <t>22/04/2021</t>
  </si>
  <si>
    <t>gilot-b-107963</t>
  </si>
  <si>
    <t>Très satisfait ! Je recommande l'olivier assurance a mon entourage.
Personnel répondant bien au attente du client, à l’écoute du client.
Très poli, parle avec respect.</t>
  </si>
  <si>
    <t>25/03/2021</t>
  </si>
  <si>
    <t>lm-96730</t>
  </si>
  <si>
    <t>Une assurance vraiment catastrophique, ne respecte pas les engagements, c fait 2 semaines que j'appelle et j'envoie des mails pour résilier mon contrat, pas de réponse de leur part, je demande une résiliation alors qu'ils ont fait juste un changement d'adresse et moi ma demande était claire résilier le contrat tout simple et à chaque fois que j'appelle ils m'ont " on peut rien faire ", donc, une mauvaise expérience je ne recommande absolument pas cette assurance, et je ne suis plus satisfaite malheureusement.</t>
  </si>
  <si>
    <t>27/08/2020</t>
  </si>
  <si>
    <t>ridgeback--96163</t>
  </si>
  <si>
    <t xml:space="preserve">Fuir cet assureur, prix attractif au départ et ensuite augmentation exorbitante les années suivantes et sans sinistres !!!! Ex: De 600€ vous passer à 1100€ en trois ans . Très compliqué et mal conseillé pour résiliation ?? le plus mauvais assureur que j’ai pu connaître en 30 ans d'assurance auto . Passer votre chemin </t>
  </si>
  <si>
    <t>11/08/2020</t>
  </si>
  <si>
    <t>chamousset-a-116887</t>
  </si>
  <si>
    <t>Conditions d'assurance en cas d'un remplacement de véhicule vraiment pas claires et limite litigieuses. Ancien véhicule soit disant assuré 30 jours mais aucun document qui le précise et ensuite obligation de reprendre un nouveau contrat (ancien véhicule pas encore vendu) avec plein de frais de dossier et de taxes, juste pour prolonger les garanties d'un mois supplémentaire.</t>
  </si>
  <si>
    <t>13/06/2021</t>
  </si>
  <si>
    <t>yves-55623</t>
  </si>
  <si>
    <t>Souscription en ligne il y a un mois. On me demande mes codes cartes avant de me donner les conditions et le prix. Au résultat les conditions et le prix ne me vont pas mais au dire du conseiller je serais quand même débité et obligé de résilier si je veux récupérer mon argent. En effet le lendemain même je suis prélevé. Je lance la résiliation le lendemain par recommandé et reçois une confirmation une semaine après que je serais remboursé sous deux semaines. Un mois est passé toujours aucun remboursement..... je déconseille FORTEMENT cette assurance et vais en parler à l'ensemble des collègues de travail afin qu'il passent l'information autour d'eux sur ces pratiques.</t>
  </si>
  <si>
    <t>25/06/2017</t>
  </si>
  <si>
    <t>pueyo-j-136982</t>
  </si>
  <si>
    <t>Simple et pratique, téléconseiller efficace, formule adaptée aux demandes des assurés.
Système en ligne très performant permettant de s'assurer simplement</t>
  </si>
  <si>
    <t>11/10/2021</t>
  </si>
  <si>
    <t>louis-m-132633</t>
  </si>
  <si>
    <t xml:space="preserve">Je suis satisfait du service, les prix me conviennent, super merci beaucoup
Je conseille fortement direct assurance service de qualité et rapide tout et facile à comprend </t>
  </si>
  <si>
    <t>almeti-65901</t>
  </si>
  <si>
    <t>Globalement très satisfait d'AMV. Suite à un sinistre "corporel", ma passagère a été bien indemnisée (malgré l'absence de blessures / séquelles, elle a été environ 4 fois mieux indemnisée qu'une connaissance ayant eu de vraies blessures). De plus, j'ai conservé mon bonus à l'identique l'année suivante (quand un ami a perdu 25% de bonus pour un rétro cassé dans les remontées de files, chez un autre assureur).
Enfin, le dossier du sinistre a été bien traité et les conseillers ont toujours été joignables.
Dans l'ensemble, je recommande vivement.</t>
  </si>
  <si>
    <t>31/07/2018</t>
  </si>
  <si>
    <t>smp-122568</t>
  </si>
  <si>
    <t xml:space="preserve">Merci a lamia pour son efficacité et sa patience pour la création de mon espace adhérent ainsi que pour les renseignements dont j'avais besoin. Merci </t>
  </si>
  <si>
    <t>06/07/2021</t>
  </si>
  <si>
    <t>marie-pierre-p-111429</t>
  </si>
  <si>
    <t>Rapidité, efficacité, prix abordables, voilà pourquoi je suis chez Direct assurance.
Le site est intuitif et il y plusieurs propositions a des prix variés.</t>
  </si>
  <si>
    <t>bourillon-j-111875</t>
  </si>
  <si>
    <t>je suis contente de l'interlocuteur et des proposition qu'il ma faite
le prix est convenable et attrayant 
je le recommanderai a d'autre personne de mon entourage</t>
  </si>
  <si>
    <t>27/04/2021</t>
  </si>
  <si>
    <t>greenbull-63193</t>
  </si>
  <si>
    <t>Attiré par un tarif très bas pour assurer mon ancienne 307sw, je me suis tourné vers cette assurance. 
Il y a peu j'ai du changer de véhicule, et j'ai donc fait un devis pour voir à quoi m'attendre niveau tarif. Celui ci m'indiquait 381€ par an en tiers confort. Pas mal, me dis-je ! J'étais même prêt à prendre le tout risque...
Seulement voila, le transfert de garantie me revient finalement à 544€ en tiers confort, avec exactement les mêmes informations que sur le devis. La raison d'après le service client: 
En gros, le calcul est basé sur mon dossier client, mon "passé" d'assuré, ce qui n'est pas le cas pour une nouvelle souscription d'un nouveau client (devis).
Ça fait tout de même une sacrée différence, surtout en considérant que je n'ai jamais déclaré aucun sinistre, ni chez eux, ni dans mes anciennes assurances.
Alors oui, j'aurai pu résilier avec mon changement d'auto, mais voila... J'ai dit oui par téléphone et, même si je n'avais pas signé l'avenant, ça vaut apparemment tout comme. Puis, on me dit aussi que si j'avais résilié, j'aurai perdu mon bonus sur l'année...
Alors, j'ai envoyé tous les documents nécessaires à la réception de ma carte verte définitive. Aujourd'hui, je reçois un mail m'indiquant un nouvel avenant, tarifé bien évidemment 15€ (comme toutes modifications, autant être abusif jusqu'au bout) m'indiquant une augmentation de 84,99€ à l'année...
La raison: 
- la date de 1ere mise en circulation communiquée à la base était le 18/03/2013 mais, sur la cg, il est indiqué 18/06/2013... Je n'avais pas encore la cg et c'est la concession qui m'avait indiqué le 18/03/2013... 
- un sinistre du conducteur secondaire n'a pas été déclaré... Il s'agit d'un rétroviseur qui a été cassé par un autre véhicule sur la voiture de ma femme, en 2015. Je ne savais même pas qu'elle l'avait signalé à son assurance et, même si, 89€ de plus pour ça ???!!!
Cette assurance prend vraiment ses clients pour des pigeons. Je me sens pris en otage, et le service client ne peux même pas me faire une réduction car je ne suis pas chez eux depuis un an. C'est bien beau d'afficher les tarifs les plus bas du marché à la souscription, mais derrière on se fait bien entuber pour le moindre changement au contrat.
Je ne vais pas me priver pour leur faire de la pub sur le net... de la très mauvaise pub !</t>
  </si>
  <si>
    <t>12/04/2018</t>
  </si>
  <si>
    <t>sierka-f-136039</t>
  </si>
  <si>
    <t>Je suis assez satisfait du prix par contre ça fait plusieurs fois que j'envoie mes documents et signe et toujours pas ma carte définitive . j'espère que cette fois si c la bonne</t>
  </si>
  <si>
    <t>30/10/2021</t>
  </si>
  <si>
    <t>melelo-92261</t>
  </si>
  <si>
    <t xml:space="preserve">Je suis étonnée du prix. Qu'est ce qui explique cette différence par rapport à la concurrence ?
Assistance 0€ à valider ?
En cas de sinistres, véhicule détruit, à quelle hauteur est remboursé le véhicule ?
Franchise ?
</t>
  </si>
  <si>
    <t>25/06/2020</t>
  </si>
  <si>
    <t>dudule-86259</t>
  </si>
  <si>
    <t>inadmissible !!!! viré pour cause 1 accident matériel responsable voiture et deux  d'accidents non responsable voiture ! vraiment humain !!!! c'est marrant il vire la voiture et non la moto !!! bref j'enlève les deux et bonjour la pub !!!</t>
  </si>
  <si>
    <t>23/01/2020</t>
  </si>
  <si>
    <t>canalbus-69957</t>
  </si>
  <si>
    <t>Je me suis fait cambriolé entre 15h et 9h du matin et la MACIF refuse de considérer mon dossier car il faut fermer les volets entre 22h et 6h du matin. C'est impensable d'appliquer de telles conditions et je ne parle même pas de leur service. J'ai uniquement reçu un scan par email m'indiquant qu'ils rejettaient ma demande. Aucune communication officielle, pas de courrier, pas d'appel téléphonique. Les conditions générales qu'ils appliquent ne couvrent pas du tout les assurés.</t>
  </si>
  <si>
    <t>02/07/2018</t>
  </si>
  <si>
    <t>palice-100878</t>
  </si>
  <si>
    <t>Bonsoir, mon experience avec la MATMUT a etez tres interressente au niveau de la responsabilite civile dossier parfaitement suivi.
LES PRIX POUR MOI SONT UN PEU TROP ELEVER AVEC 60pour cent de bonus chez eux avec des franchises importantes.</t>
  </si>
  <si>
    <t>02/12/2020</t>
  </si>
  <si>
    <t>01/12/2020</t>
  </si>
  <si>
    <t>jacky-l-106416</t>
  </si>
  <si>
    <t>Je suis satisfait ,simplicité et clarté. Intuitif et rapide..C'est rare d avoir un service simplifié et rapide, prix attractif et logique,sa fait plaisir d avoir le choix des assurances aussi...</t>
  </si>
  <si>
    <t>12/03/2021</t>
  </si>
  <si>
    <t>--107868</t>
  </si>
  <si>
    <t>Je suis très satisfaite de la réponse et de l'efficacité d'Emeline qui a su débloquer mon dossier auprès de mon opticien qui ne savait pas comment finaliser le dossier de commande de mes lentilles. 
Un grand merci à Emeline.</t>
  </si>
  <si>
    <t>24/03/2021</t>
  </si>
  <si>
    <t>hm-62248</t>
  </si>
  <si>
    <t xml:space="preserve">C'est une assurance à éviter  pour souscription sont présents  mais en cas d'accident tout le monde s’éloigne de toi en plus service client comptant pas de réponse direct il faut attendre 4 à 6 semaines pour te dire que sont  incapable de résoudre tes soucis Mois je regrette d'avoir un contrat avec eux quand j'ai paye bc que prévue en plus tous les réclamation sont à remontre au chefs sans reponses franchement   si  tu aime la paix et la securite mieux  d’éviter cette assurance     </t>
  </si>
  <si>
    <t>12/03/2018</t>
  </si>
  <si>
    <t>eric-l-105750</t>
  </si>
  <si>
    <t>Les prix augmentent chaque année alors que la valeur du véhicule assuré baisse... c'est incompréhensible.... cela ne valorise pas les anciens clients et pousse à changer d'assureur...</t>
  </si>
  <si>
    <t>07/03/2021</t>
  </si>
  <si>
    <t>ah-63579</t>
  </si>
  <si>
    <t xml:space="preserve">Résiliation du contrat car nous ne remplissons plus leurs critères? Sans courrier juste un email jamais reçu!! Inadmissible! Ne tombez pas en panne 1fois avec cet assureur ou vous serez résilié! Le voilà leur critère!! </t>
  </si>
  <si>
    <t>26/04/2018</t>
  </si>
  <si>
    <t>jam75-77078</t>
  </si>
  <si>
    <t xml:space="preserve">Bonsoir,
Le 17 Décembre 2018, j ai été victime d un cambriolage. J effectue dans les délais impartis toutes les démarches nécessaires afin que mon assurance habitation matmut me dédommage. Je fournis toutes les factures d achats. Fin janvier visite de l expert. Il constate que les biens dérobés appartenaient en grande partie à ma fille (étudiante et figurant sur le contrat) et à partir de cela plus rien ne va. La matmut essaie de trouver un motif en me réclamant des documents ne figurant pas dans les clauses du contrat (relevés bancaires.....) 
Je trouve ça scandaleux et très déprimant de savoir que dès qu on se trouve confronté à un litige la matmut ne répond plus.
7 mois d attente alors que le dossier était transmis 48 h après le cambriolage avec toutes les factures des biens volés (conformément au contrat) ainsi que le certificat de scolarité de ma fille.
J ai contacté à plusieurs reprises la gestionnaire qui me dit qu elle a beaucoup de dossiers en attente voilà la réponse après tous ces mois qui passent. </t>
  </si>
  <si>
    <t>24/06/2019</t>
  </si>
  <si>
    <t>01/06/2019</t>
  </si>
  <si>
    <t>g-star10-50172</t>
  </si>
  <si>
    <t xml:space="preserve">impossible de contacte le service client .
augmentation des prix . malgré que je suis un bon conducteur </t>
  </si>
  <si>
    <t>hansali-f-114298</t>
  </si>
  <si>
    <t>Je suis vraiment satisfait 
Services calite es prix bravo
Je vais faire même mon assurance Habitation car j'ai des avantages plus es meilleurs part  rapport a mon encienne assurence .</t>
  </si>
  <si>
    <t>poulette-80933</t>
  </si>
  <si>
    <t>Bonjour je lisai souvent les commentaires mais je n'ai jamais eu besoin d'y apporter le mien jusqu'a aujourd'hui. Depuis une semaine, j'appelle CARDIF tous les jours voir 2 fois par jour. Ce n'est jamais la meme personne qui vous répond et personne ne vous dit la meme chose concernant votre dossier. C'est affolant mais je ne vais pas les lacher je vais continuer a téléphoner. Ce n'est pas par plaisir si on est obligé de faire valoir nos droits aupres de CARDIF</t>
  </si>
  <si>
    <t>12/11/2019</t>
  </si>
  <si>
    <t>fatiha-d-128165</t>
  </si>
  <si>
    <t>Prix pas mal et mes amis ils mont conseillé de faire l'assurance en ligne  c'est moins cher c'est ma première expérience j'espère que tout se passe bien</t>
  </si>
  <si>
    <t>16/08/2021</t>
  </si>
  <si>
    <t>jo-97846</t>
  </si>
  <si>
    <t>Très satisfaite de cette mutuelle neoliane à  DOULLENS 80 que ce soit du côté remboursement ou contact toujours à notre écoute et surtout le prix. Assuré auparavant chez " en famille" à 150€ mensuel pour 1 personne et 100€ chez eux. A recommander</t>
  </si>
  <si>
    <t>25/09/2020</t>
  </si>
  <si>
    <t>charriere-g-134855</t>
  </si>
  <si>
    <t xml:space="preserve">Vraiment très limpide et efficace ! L'étude est claire et concise et les conseillers sont polis, patients, et à l'écoute
Je recommanderai donc les yeux fermés! </t>
  </si>
  <si>
    <t>jef88-79343</t>
  </si>
  <si>
    <t>J'ai toujours eu un bon service, le bureau local est pratique car on parle à des humains "en vrai", je trouve peut-être un peu cher, alors maintenant, je compare les prix...</t>
  </si>
  <si>
    <t>20/09/2019</t>
  </si>
  <si>
    <t>robert-104408</t>
  </si>
  <si>
    <t>Il n'est pas possible de joindre cette mutuelle par téléphone, et  de plus ne répond pas aux mails qui lui sont adressés , exemple : mail adresse le 4 févr et tjrs pas de reponse le 18 fev malgré une relance</t>
  </si>
  <si>
    <t>Mercer</t>
  </si>
  <si>
    <t>18/02/2021</t>
  </si>
  <si>
    <t>romanais26-33370</t>
  </si>
  <si>
    <t>Suite à ma résiliation la macif refuse de me rembourser le trop perçu de cotisation et évoque un délais de 64 jours pour me rembourser, hors selon l'article L113-15-2 du code des assurances l'assureur doit rembourser dans un délais de 30 jours suite à la résiliation, le service téléphonique ne veut rien savoir, vous voulez pas respecter les règles je vous dit à bientôt au tribunal de grande instance pour votre condamnation !</t>
  </si>
  <si>
    <t>20/03/2018</t>
  </si>
  <si>
    <t>hs1984-68394</t>
  </si>
  <si>
    <t xml:space="preserve">Sinistre-vandalisme service client au top des solution rapides a tout type de problème   à recommander </t>
  </si>
  <si>
    <t>06/11/2018</t>
  </si>
  <si>
    <t>molly-110704</t>
  </si>
  <si>
    <t xml:space="preserve">PAS EU DE SOUCIS PARTICULIER AVEC AMV DANS LA MESURE OU DE MON COTE JE N AI EU D'ACCIDENT, OU DE VOL OU AUTRE. PRIX COMPETITIF. AMV REPOND ASSEZ RAPIDEMENT PAR INTERNET . </t>
  </si>
  <si>
    <t>16/04/2021</t>
  </si>
  <si>
    <t>solene85-78630</t>
  </si>
  <si>
    <t>Voilà 3 semaines que je suis en vacances et que je me bats avec l assurance du syndic Nexity de la copropriété et Pacifica pour un dégât des eaux pluviales par infiltration et  remontée capillaire par le sol occasionnant des auréoles sur le tapis    en coco de ma chambre. 
J ai l impression d être une balle de ping pong entre le syndic Nexity de la copropriété et Pacifica.....
On fait traîner au maximum l affaire en ne répondant pas aux mails ou au tel la personne qui s occupe du dossier n est pas là où n a pas encore traité ma demande  : Je relance sans cesse au tel et par mail......
Je suis découragée de ce comportement .</t>
  </si>
  <si>
    <t>23/08/2019</t>
  </si>
  <si>
    <t>sabet-z-114174</t>
  </si>
  <si>
    <t xml:space="preserve"> Je suis Satisfaite mais reste un peu cher. Personnel super sympa au telephone merci pour les services. Que vous proposer. Salutations distinguées. Mne Sabet</t>
  </si>
  <si>
    <t>18/05/2021</t>
  </si>
  <si>
    <t>arena-58227</t>
  </si>
  <si>
    <t xml:space="preserve">Attention Attention DANGER ??
Bonjour,
Je vous envoie cette mail pour réclamer mon attestation d’assurance ainsi que la carte verte .
L’attestation provisoire d’un mois et expire le 12/10/2017 , et depuis cette date ma voiture garé dans mon garage faute d’assurance!!!.
Aujourd’hui je ne suis même pas assuré malgré tout les mail et les relances auprès de votre assurance .
??Si je ne suis pas assuré chez vous rembourser moi , pour je puisse assuré ma voiture chez un autre assurance !?.
</t>
  </si>
  <si>
    <t>20/10/2017</t>
  </si>
  <si>
    <t>lamba-51575</t>
  </si>
  <si>
    <t xml:space="preserve">Affiliée depuis deux mois seulement par le biais de mon employeur, cet assureur me laisse sans voix. Site internet totalement inutile. Le contact téléphonique relève de l'exploit. A ce jour j'attends toujours un remboursement qui ne vient pas, ils ont pourtant mon RIB fourni par mon employeur. Pas d'interlocuteur. Ne surtout pas conseiller AG2R  à qui que ce soit. </t>
  </si>
  <si>
    <t>Ag2r La Mondiale</t>
  </si>
  <si>
    <t>23/01/2017</t>
  </si>
  <si>
    <t>01/01/2017</t>
  </si>
  <si>
    <t>faustinecmps-55200</t>
  </si>
  <si>
    <t>Très mécontents, service client: 0! Nous venons d'acheter une maison fin novembre et depuis faisons la demande de résiliation de notre contrat assurance habitation car nous avons souscrit dans notre nouvelle banque, le pb c'est que nous sommes en juin et nous payons toujours une assurance d'une maison dans laquelle nous ne vivons plus depuis novembre! Contact téléphonique + courrier avec accusé de réception et toujours le même pb notre demande n'est toujours pas prise en compte! Et de même pour nos garanties décès! De plus ma banquière fait elle aussi le nécessaire en envoyant des recommandés mais rien à faire!!!! Ce sont vraiment des incompétents! Nous les déconseillons vivement!!!</t>
  </si>
  <si>
    <t>07/06/2017</t>
  </si>
  <si>
    <t>guiguen-l-138820</t>
  </si>
  <si>
    <t>Je suis satisfait du service pour la souscription au contrat.
La qualité d'une assurance se juge surtout sur son efficacité lors d'un sinistre.
Pour l'instant je ne peux me prononcer sur ce point.</t>
  </si>
  <si>
    <t>03/11/2021</t>
  </si>
  <si>
    <t>marie-52413</t>
  </si>
  <si>
    <t>J'avais cette mutuelle obligatoire en tant que salariée, mais à la fin de mon contrat, j'ai voulu continuer à adhérer en tant que particulier, mais le prix de la cotisation mensuelle était inabordable.</t>
  </si>
  <si>
    <t>30/03/2017</t>
  </si>
  <si>
    <t>01/03/2017</t>
  </si>
  <si>
    <t>cerci-c-135893</t>
  </si>
  <si>
    <t xml:space="preserve">Je suis satisfait du produit et de son tarif attractif mon véhicule est bien assuré et je suis extrêmement content aussi du service client qui est facilement joignable </t>
  </si>
  <si>
    <t>rostagni-d-132186</t>
  </si>
  <si>
    <t xml:space="preserve">Très bon accueil et compétences de agents au téléphone. Merci à tous. Très bon accueil et compétences de agents au téléphone. Merci à tous. Très bon accueil et compétences de agents au téléphone. Merci à tous. </t>
  </si>
  <si>
    <t>dany-57968</t>
  </si>
  <si>
    <t>J'ai envoyé un courrier à AG2R en septembre 2017 pour dénoncer mon contrat santé au 31 déc .Je reçois un courrier en octobre m'informant que mon contrat prends fin au 1er oct. Mon compte bancaire à été débité pour oct.nov.déc.
Le service client est nul et ne m'apporte aucun soutient.Je souhaitais que mon contrat se termine au 31 déc.</t>
  </si>
  <si>
    <t>11/10/2017</t>
  </si>
  <si>
    <t>od1-78014</t>
  </si>
  <si>
    <t>Client depuis de longues années, j'étais le premier à louer cette assurance mais lorsque mon premier sinistre est arrivé, j'ai vu l'autre face de la GMF... Une assurance qui prône de belles valeurs mais lorsque vous avez besoin d'elle (vous défendre, être réactive) est absente! 
Bref, je n'ai plus confiance ...</t>
  </si>
  <si>
    <t>29/07/2019</t>
  </si>
  <si>
    <t>lopes-y-108203</t>
  </si>
  <si>
    <t>Les prix et les services me conviennent. Je trouve également que l'ergonomie du site internet est très agréable. Je n'ai rencontré aucun problème durant mes démarches en ligne.</t>
  </si>
  <si>
    <t>27/03/2021</t>
  </si>
  <si>
    <t>laure-pensin-117714</t>
  </si>
  <si>
    <t>très mauvaise assurance. Tarde à rembourser ou ne rembourse pas du tout les frais médicaux. Prévoyance inexistante, aucun contact possible. Invente des histoires pour ne pas verser de complément d'indemnités. Par contre, toujours là pour encaisser les cotisations...
Dommage de ne pas pouvoir mettre 0 étoile. A éviter comme la peste.</t>
  </si>
  <si>
    <t>chris26-58522</t>
  </si>
  <si>
    <t>Résilié pour sinistralité après 3 déclarations:
- 2 fois des gravillons reçus sur le pare-brise (pas de chance à 2 mois d'intervalles) que j'ai fait colmater chez Carglass 
-1 fois pour une collision non responsable
Évidemment, si j'avais connu cette politique au préalable je n'aurais jamais déclaré les bris de glace pour lesquelles des pub TV nous martèle qu'il faut les faire réparer de suite et que c'est pris en charge par les assurances... et je les aurais pris à ma charge. (2 x 90€)
Maintenant j'ai des difficultés à me réassurer à des conditions raisonnables... (prime presque doublée et franchises très élevées)
Bref, ce que j'ai gagné en souscrivant chez Direct Assurance, je l'ai plus que perdu par la suite... sans parler du temps passé à trouver une nouvel assureur.</t>
  </si>
  <si>
    <t>sandrinehdn-77571</t>
  </si>
  <si>
    <t>Suite à un bris de glace j'ai voulu voir si j'étais assurée contre ce sinistre, au téléphone j'ai eu une première personne qui n'avait pas l'air bien renseignée et m'a demandé de rappeler, ce que j'ai fais le lendemain en réexpliquant le problème (pas d'historique d'appel chez la MAIF ?) deuxième personne qui a pu me donner une réponse mais avec une amabilité hallucinante, en me prenant pour une gamine ignorante, me répétant à tout va que comme maintenant je travaillais je ne devais plus être sous le contrat de "papa", que j'étais dans l'obligation de prendre un contrat à mon nom parce que je n'étais plus étudiante(je suis sous le contrat auto de mes parents depuis mes 18 ans, j'en ai maintenant 23 et nous avons toujours eu cet arrangement car je n'avais pas de travail stable), agacée par cet échange j'ai préféré couper court. Entre temps, l'assurance de la personne qui m'avait causé le bris de glace a demandé à avoir une preuve écrite du refus de remboursement de la MAIF donc j'ai du recontacter cette dernière pour avoir un justificatif de leur refus de remboursement, c'est reparti pour un troisième appel, encore une ré explication du problème, je demande à l'opératrice de me fournir une trace écrite par mail, elle me dit "Oui oui je fais ça", sauf qu'elle n'avait pas mon adresse e-mail (heureusement que je lui ai demandé si elle l'avait...), je me dis que j'en ai enfin terminé avec eux et bah non... 2h après mon appel je reçois un mail de la MAIF qui m'envoie mon justificatif sauf que c'est le justificatif d'un sinistre qui n'a rien à voir avec le mien, pas la bonne date, pas le bon lieu, vraiment rien à voir !
Je répond à ce mail en réexpliquant le sinistre et en demandant le bon justificatif, à ce jour je n'ai toujours pas de réponse, cela fait 9 jours.
Conclusion : je suis passée chez une autre assurance (celle qui couvrait la personne qui m'a causé le bris de glace) qui m'a fait un geste commercial en prenant en charge toutes les réparations de mon sinistre.</t>
  </si>
  <si>
    <t>12/07/2019</t>
  </si>
  <si>
    <t>adeline-h-130111</t>
  </si>
  <si>
    <t>Le service sur Internet pour la souscription est rapide et efficace avec des prix attractifs.
On verra avec l'usage et en cas de problème si le service est toujours le même.</t>
  </si>
  <si>
    <t>david-b-131923</t>
  </si>
  <si>
    <t>Le moins cher du marché avec une différence de 150 euros sur un prix qui était déjà intéressant sur mon précédent assureur. Facilité à souscrire.
A préciser que mon véhicule fait 180 CV. Tarif imbattable</t>
  </si>
  <si>
    <t>nana-106235</t>
  </si>
  <si>
    <t>Bonjour,
Je suis contente d'avoir assuré mes primes, et en cas de décès mes enfants toucheront l'allocation obsèques, bien pratique étant donné la chèreté de ceux-ci. Le même bémol que pour ma garantie mutuelle, un peu trop onéreuse à mon avis.
Un plus, grande disponibilité et amabilité des conseillers, je n'ai pas eu encore de sinistre à déclarer (Dieu merci).</t>
  </si>
  <si>
    <t>smc59800-64739</t>
  </si>
  <si>
    <t>Bon contact relation client
Remboursements rapides et contact e-mail
*******</t>
  </si>
  <si>
    <t>13/06/2018</t>
  </si>
  <si>
    <t>01/06/2018</t>
  </si>
  <si>
    <t>andriamiarisoa-m-110864</t>
  </si>
  <si>
    <t>Je suis surpris de l'augmentation du prix au moment de la souscription.
J'ai commencé la souscription avant l'expiration de mon ancien contrat. J'attendais le jour d'après pour souscrire à un contrat Multiauto pour avoir une réduction de 10%. Sauf qu'on m'a appliqué une pénalité car l'ancien contrat est expiré moins de 2 jours. Je ne suis pas content car on ne m'a pas expliqué cette pénalité si j'attend la souscription.</t>
  </si>
  <si>
    <t>19/04/2021</t>
  </si>
  <si>
    <t>fg1970-56616</t>
  </si>
  <si>
    <t>Injoignable au téléphone et service téléphonique zéro . Suite à un accident moto , je commence à mesurer le niveau de compétence de mon assureur .Le prix attire toujours le client et je comprends aujourd'hui , le prix du service se paie 
Pour les joindre , il faut s'armer de patience et pour être remboursé aussi.Ne pas prendre de contrat chez eux ou temps pis pour vous....</t>
  </si>
  <si>
    <t>AssurOnline</t>
  </si>
  <si>
    <t>mamasita31-50870</t>
  </si>
  <si>
    <t>Je n ai jamais étais rembourser mon surplus  Aucun suivis clientèle (sauf pour le paiement bien sûr ) aucun courrier reçu, on m'a retirer mon assurance voiture sans être avertis j'ai rouler en voiture pendant 15 jour sans assurance, aucun assurance n'a voulu me reprendre, j'ai perdu tout mon bonus de 5 ans je paye une assurance auto a plus de 100 euros à cause de direct assurance si je n'avais pas recu mon étiquette verte de voiture jamais j'aurais su que je n'étais plus assurer je
Hais cette  assurance franchement ne vous laisser pas berner elle ma mise dans une merde pas possible à neuf mois de grossesse . Le pire dans tous sa cest quil vous assure qu'il vous ont laisser dès message et dès courrier .
Le plateau téléphonique se trouve au Maroc on parle à des conseillers qui comprenne la moitié dès chose .
Cela fais 1 ans que je n'ai pas était rembourser mon mois non assurer .
Dans la semaine 1 plainte sera faite et croyez moi je vais demander des dommages et intérêt.</t>
  </si>
  <si>
    <t>03/01/2017</t>
  </si>
  <si>
    <t>michel-75954</t>
  </si>
  <si>
    <t xml:space="preserve">Ne jamais avoir de contrat chez eux
Ils ne veulent jamais rien payer et ils vous envoie balader pour le moindre soucis.
Aucune prise en charge de mes réparations, conseillers incompétents.. et j'en passe
A fuir </t>
  </si>
  <si>
    <t>15/05/2019</t>
  </si>
  <si>
    <t>gisele-111167</t>
  </si>
  <si>
    <t>Je n'ai pas touché ma rente d'éducation (trimestrielle) début avril et personne ne répond au téléphone ni aux emails. En désespoir de cause, je poste mon appel au secours ici ...</t>
  </si>
  <si>
    <t>Malakoff Humanis</t>
  </si>
  <si>
    <t>vincent--138135</t>
  </si>
  <si>
    <t xml:space="preserve">Je suis satisfait du produit bon prix simple et super efficace je recommande 
Bonne assurance 
Mon fils et assuré chez vous il en et satisfait 
Merci cordialement </t>
  </si>
  <si>
    <t>23/10/2021</t>
  </si>
  <si>
    <t>danielle-m-108762</t>
  </si>
  <si>
    <t xml:space="preserve">Je suis très satisfait de l accueil qui m'a été réservé ainsi que la simplicité pour établir et finaliser le devis. Les tarifs pour assurer une moto sont très bien placés. </t>
  </si>
  <si>
    <t>jlb-89055</t>
  </si>
  <si>
    <t>Ancien militaire la GMF à été mon premier assureur, et cela durant 25 année avec pratiquement aucun sinistre arrivé au Bonus maxi majoré etc ... Puis mon épouse à eu 2 accrochages responsable j'ai bien marqué accrochage pas de gros dégâts et pas de blessés même léger. Suite à cela la GMF à refusée de m'assuré lors de mon changement de véhicule (elle aurait acceptée si j'avais eu plus de contrat chez eux). Donc la publicité la GMF assurément humain on oubli. Depuis j'ai changé d'assureur mes 3 enfants aussi et je ne supporte plus la pub de la GMF.</t>
  </si>
  <si>
    <t>22/04/2020</t>
  </si>
  <si>
    <t>stephanie--92571</t>
  </si>
  <si>
    <t xml:space="preserve">Je ne suis pas encore Cliente je n’ai pas encore d’avis mais les prix me paraissent correct. 
Je veux comparer avec d’autres assurance voiture et habitation. </t>
  </si>
  <si>
    <t>28/06/2020</t>
  </si>
  <si>
    <t>lourenco-n-122457</t>
  </si>
  <si>
    <t>Je suis satisfait des services les prix sont abordables surtout en temps que jeune chauffeur encore merci , je recommande vivement c’est top merci beaucoup.</t>
  </si>
  <si>
    <t>vanessa-l-107991</t>
  </si>
  <si>
    <t>Satisfaite du tarifs même si il faut rajouter des options . il y avait moins chère mais vous avez bien compris mes besoins donc me voilà assurée chez vous</t>
  </si>
  <si>
    <t>federico-l-115035</t>
  </si>
  <si>
    <t xml:space="preserve">Tout est bien on verra le suivi.
Il faut voir si au besoin l’assurance sera prête et disponible en ligne ou par téléphone afin de pouvoir résoudre toutes complications </t>
  </si>
  <si>
    <t>isabelle-d-131489</t>
  </si>
  <si>
    <t>facile et rapide simple d'utilisation pour nous retraités c'est important! MERCI!Votre sérieux a attiré mon attention et je vous ai repéré par la pub à la télé.</t>
  </si>
  <si>
    <t>raphael-l-110401</t>
  </si>
  <si>
    <t>Je suis satisfait des tarifs, ils sont corrects. Mais les prestations peuvent toujours être améliorées. Les services sont eux aussi corrects. Bonne fin de journée</t>
  </si>
  <si>
    <t>14/04/2021</t>
  </si>
  <si>
    <t>gazzarin-v-125074</t>
  </si>
  <si>
    <t xml:space="preserve">je suis totalement satisfait du service que ce soit au niveau tarifaire ou les explications indiquées par votre collaboratrice dans le cadre d'assurance du véhicule 
</t>
  </si>
  <si>
    <t>ralbol31-52996</t>
  </si>
  <si>
    <t xml:space="preserve">Très mécontente de cet assureur qui augmente les cotisations tous les ans et cela depuis des années. Le plus incroyable c'est lorsque je reçois le courrier m'indiquant un montant de 142euros (augmentation de 20euros par rapport à l'an dernier ) pour me rendre compte que c'est la somme de 176,52 qu' il a l'intention de prélever.  Bref opposition à ce prélèvement et résiliation immédiate du contrat habitation en allant chez MMA. </t>
  </si>
  <si>
    <t>04/03/2017</t>
  </si>
  <si>
    <t>david-b-114864</t>
  </si>
  <si>
    <t>Simple, rapide efficace et clair de plus les tarif sont nettement plus raisonnable qu'une banque classique. Personnellement le tarif est divisé par 3.</t>
  </si>
  <si>
    <t>Zen'Up</t>
  </si>
  <si>
    <t>sarah-d-107570</t>
  </si>
  <si>
    <t>Je suis satisfaite de vos service, les franchises sont un peu élevées mais le prix global reste intéressant par rapport à mon ancienne assurance auto.</t>
  </si>
  <si>
    <t>22/03/2021</t>
  </si>
  <si>
    <t>oscar-81770</t>
  </si>
  <si>
    <t xml:space="preserve">Bonjour, AXA cotisation à pure perte, en cas de sinistre, tout est bon pour ne pas rembourser, des experts qui ne sont pas de la compagnie, sont la juste pour diminuer les remboursements </t>
  </si>
  <si>
    <t>10/12/2019</t>
  </si>
  <si>
    <t>01/12/2019</t>
  </si>
  <si>
    <t>jimmy-p-131797</t>
  </si>
  <si>
    <t>J AURAIS AIMER AVOIR LA POSSIBILITE DE PAYER AU MOIS PLUTOT QU A L ANNEE.. JE N AI PAS SU TROUVER CETTE OPTION SUR VOTRE SITE 
POUR LE RESTE JE SUIS SATISFAITE DU SITE</t>
  </si>
  <si>
    <t>brs-93927</t>
  </si>
  <si>
    <t>Suite à un sinistre ayant eu lieu en mars 2018 (pour lequel il a fallu attendre 18 mois pour l'indemnisation) j'ai maintenant besoin de la copie du rapport d'expertise. Lors d'un contact avec le service client le 25 juin dernier, il m'a été dit que l'on prendrait contact avec moi par mail. Depuis, plus rien et il s'avère impossible de recontacter le service client: tous les conseillers sont occupés, quelle que soit l'heure de l'appel, aucune indication d'un délai d'attente probable et de toute façon, la communication est automatiquement coupée. Ayant vu des avis similaires, il ne me reste qu'à m'armer de patience....</t>
  </si>
  <si>
    <t>13/07/2020</t>
  </si>
  <si>
    <t>samadam-63940</t>
  </si>
  <si>
    <t>Allianz pas d'aléa dans l'exécution des contrats une fois le sinistre déclaré ; fin de non recevoir coûte que coûte! Il faut s'accrocher et prendre un avocat pour mettre en échec les stratégies de contournement de leurs gestionnaires.</t>
  </si>
  <si>
    <t>12/05/2018</t>
  </si>
  <si>
    <t>01/05/2018</t>
  </si>
  <si>
    <t>emi-flo-103343</t>
  </si>
  <si>
    <t xml:space="preserve">J'aurais mis 0 étoile si c'était possible !
Être radié car pas rentable, 2 accidents déclarés mais 1 seul réparé car l'assurance considère que la voiture est trop vieille pour être réparée.... La cotisation d'assurance est bien payée par contre ! Des mytho !
À fuir absolument !! </t>
  </si>
  <si>
    <t>27/01/2021</t>
  </si>
  <si>
    <t>mathis-d-108518</t>
  </si>
  <si>
    <t xml:space="preserve">Super meilleur prix du marché, le conseiller était plutôt compréhensif, je vous remercie de laisser chance à un jeune conducteur avec un prix modéré. 
</t>
  </si>
  <si>
    <t>tuffal-m-137476</t>
  </si>
  <si>
    <t>Je suis satisfaite du service et j'ai été très bien conseillée.
Je recommande L'olivier assurance qui va me faire baisser les mensualités pour de bonnes garanties</t>
  </si>
  <si>
    <t>14/10/2021</t>
  </si>
  <si>
    <t>levenrek-64598</t>
  </si>
  <si>
    <t>Quand, après 2 mois et demi à te galérer à retourner des documents pour être indemnisé d'un arrêt de travail, ton contact (pro) Swiss Life t'annonce dans la même journée qu'elle à l'accord de sa responsable puis 5min après se rend compte que l'arrêt était trop court pour atteindre la franchise...tu as bien le sentiment que ton dossier avait été bien suivi consciencieusement, un grand bravo à Swiss Life, du grand professionnalisme !</t>
  </si>
  <si>
    <t>08/06/2018</t>
  </si>
  <si>
    <t>lala--112680</t>
  </si>
  <si>
    <t xml:space="preserve">J’attend  toujours un retour concernant mon cambriolage qui concerne le mois de septembre 2020 nous somme en mai 2021 et toujours pas de nouvelle du sinistre mon dossier a étais transmis au siège social de la Matmut qui et soit disant charger de mon dossier , j’arrête pas de les contactées chaque semaine ont me dit qu’on vas ouvrir mon dossier mes rien n’ai fait à ce jour !!! je commence à avoir rat le bol je suis outré de cette assurance je la déconseille fortement quand il s’agit d’un problème il y’a plus personne !!!! </t>
  </si>
  <si>
    <t>05/05/2021</t>
  </si>
  <si>
    <t>celo-109907</t>
  </si>
  <si>
    <t xml:space="preserve">Après avoir reçu rapidement une proposition d'assurance, nous nous sommes inscrits sur le site. Il nous a été indiqué que nous recevrions un code sous 48H que nous n'avons jamais reçu. Nous avons relancé ce courtier qui nous a dit avoir fait le nécessaire mais une semaine après rien a signaler. 
Donc ce service est O
</t>
  </si>
  <si>
    <t>Magnolia</t>
  </si>
  <si>
    <t>10/04/2021</t>
  </si>
  <si>
    <t>fanny-85761</t>
  </si>
  <si>
    <t>UNE CATASTROPHE .....je pense qu'il n'y a plus AUCUNE gestion chez AXA ...services au Maroc aucune réponse aux courriers , des agents qui ne connaissent RIEN en placements, impossibilité de contacter des responsables ....PERTES d'argent car AUCUNE gestion ....A FUIR ....</t>
  </si>
  <si>
    <t>samuel-d-108715</t>
  </si>
  <si>
    <t>N'ayant jamais eu de sinistre, comment noter votre service...
Concernant les prix, il faut toujours faire la demande d'une année à l'autre pour avoir une modeste remise.
Mon bonus augmente, les cotisations aussi ??? Sachant que mon véhicule personnel n'a quasiment pas roulé en 2020, confinement oblige.</t>
  </si>
  <si>
    <t>zhegong-s-134708</t>
  </si>
  <si>
    <t>c'est bon and c'est simplec'est bon and c'est simplec'est bon and c'est simplec'est bon and c'est simplec'est bon and c'est simplec'est bon and c'est simplec'est bon and c'est simple</t>
  </si>
  <si>
    <t>cnico66-34586</t>
  </si>
  <si>
    <t xml:space="preserve">tout simplement du vol il vous donne un tarif très intéressant au départ puis ensuite vous contacte pour vous dire qu'ils ont fait des erreurs concernant le modèle du véhicule et vous augmente de 140 euros votre cotisation  </t>
  </si>
  <si>
    <t>16/08/2018</t>
  </si>
  <si>
    <t>marjo77-67484</t>
  </si>
  <si>
    <t xml:space="preserve">Bonjour, voiture volé depuis le 22 juin, au jours d'aujourd'hui toujours pas de remboursement, dossier traité par gestionnaire manque de communication et et d'information échange de mail aucun appel aujourd'hui je reçois un courrier comme quoi pas reçu le courrier mais le mail est bien réceptionné </t>
  </si>
  <si>
    <t>09/10/2018</t>
  </si>
  <si>
    <t>cassidy-64107</t>
  </si>
  <si>
    <t xml:space="preserve">Le service de gestion des sinistres est sourd et aveugle. Ce service decide, selon des criteres obscures et il est impossible de discuter . On decide, donc,et on raccroche. Aucune cosideration pour un adherent depuis 45 ans et qui, pendant ces 45  ans, a touche de la GMF, sur l assurance habitation et l assurance de 2 voitures, au grand maximum 500euros . A La Poste, c est pas plus cher et ils ne peuvent pas faire pire pour les prises en charge..... Page 33 du cahier des charges Habitation, affirme la prise en charge de la recherche de fuite d eau, pour tout le monde mais pas pour moi !
</t>
  </si>
  <si>
    <t>20/05/2018</t>
  </si>
  <si>
    <t>bella--98577</t>
  </si>
  <si>
    <t>Direct assurance est une assurance nullissime.
Les personnes qui vous répondent ne sont même pas basées en France et se permettent de se faire passer pour des experts ou pseudo gestionnaires en attendant vous payez franchise et % sur les frais de réparations lorsque vous êtes victime d'un accident.
A FUIR !!!</t>
  </si>
  <si>
    <t>09/10/2020</t>
  </si>
  <si>
    <t>barbier-j-137403</t>
  </si>
  <si>
    <t>Professionnalisme, écoute, conseil. A chaque étape, j'ai eu le sentiment d'être autre chose qu'un numéro. C'est parfait!!!
Continuez ainsi, ça me réconcilie avec les assureurs.</t>
  </si>
  <si>
    <t>chris-95274</t>
  </si>
  <si>
    <t>Toujours pas indemnisé, cela fait 4 mois que ca dur. Tout est fait pour vous faire casquer un max, ne vous laissez pas berner par le prix qui est, certes attractif mais ne vous attendez pas à être rembourser rapidement en cas de sinistre.</t>
  </si>
  <si>
    <t>26/07/2020</t>
  </si>
  <si>
    <t>pm-98597</t>
  </si>
  <si>
    <t>Une mutuelle très réactive quand il s'agit de prélever de l'argent. Par contre, pour ce qui est de la résolution de problèmes quand ce n'est pas dans leur intérêt, il n'y a plus personne ! Ils raccrochent au nez. Ne répondent pas aux mails, et interprètent la loi à leur convenance. PM</t>
  </si>
  <si>
    <t>10/10/2020</t>
  </si>
  <si>
    <t>veronique-96558</t>
  </si>
  <si>
    <t>Qu elle horreur pour se faire rembourser sa part de mutuelle .Ils trouvent toujours des excuses pour ne pas rembourser leur part pour l orthodentie .Santiane ,non merci .</t>
  </si>
  <si>
    <t>22/08/2020</t>
  </si>
  <si>
    <t>rauwdzuel-89358</t>
  </si>
  <si>
    <t>Très bonne assurance , qualité services remarquable , qualités très correcte , c'est juste le pris que un petit poils trop chère , 5 euros de moins serai le bienvenue .</t>
  </si>
  <si>
    <t>04/05/2020</t>
  </si>
  <si>
    <t>schraen-z-116910</t>
  </si>
  <si>
    <t>Je suis satisfaite des offres offertent par l'Olivier assurance. Les prix sont en dessous de ceux des autres assurances. Cette assurance est intéressante pour un jeune permis.</t>
  </si>
  <si>
    <t>pat80250-99108</t>
  </si>
  <si>
    <t>Ayant subi un chômage partiel avec grosse baisse de salaire et ensuite des soucis de santé direct assurance m a radié menu militari pour paiement de cotisation sans me proposer un étalement de mon dette</t>
  </si>
  <si>
    <t>22/10/2020</t>
  </si>
  <si>
    <t>laurentv-114842</t>
  </si>
  <si>
    <t xml:space="preserve">Un très bon premier abord: l’offre est bien conçue ,  le service commercial est compétent et  efficace. 
Ensuite, les choses se gâtent très sérieusement: 
le site fonctionne mal; les remboursements sont aléatoires; les e-mails ne sont pas traités au delà d’un auto-reply générique; le support téléphonique est quasi-impossible à joindre et avoue son incompétence (“je ne suis qu’un sous traitant du centre d’appel, je n’ai pas été formé, je dois juste transcrire votre appel dans un mail, je suis trop désolé” ... sic...); le services “relations clients”, encore plus difficile à joindre n’a aucune volonté pour résoudre un problème (“je vais envoyer un mail, en interne,  at votre soucis ne relève pas de mon département, ce n’est pas ma faute à moi”... ! ) et ne tient pas ses promesses (“on vous rappellera”)  ... Bref, une caricature pitoyable.
Il est également impossible de parler à un Manager pour essayer de débloquer la situation, et de leur donner des retours constructifs sur l’expérience de leur clients.
Après 3 mois à patauger devant une telle somme d’incompétences, j’en ai conclu que le Department “clientèle privée” de Mercer n’est pas stratégique et n’a ni les moyens ni les compétences (a tous les niveaux) pour faire leur mission correctement. J’ai donc exigé de résilier mon contrat: réponse du “services client”: “C’est impossible” ... La je me suis mis en colère (froide) et je leur ai donné  une semaine point résilier sans quoi je publierais sur les réseaux sociaux un transcript factuel et précis de mes échanges. Ils ont résilié mon contrat (sans frais) deux jours plus tard...
Conclusion: Fortement déconseillé. Incapacité flagrante à délivrer le service venu, ce qui est un comble pour une assurance. Aucune volonté de s’améliorer. Désastreux pour les clients et pour la marque Mercer (par ailleurs fiable, quoiqu’un peu rigide, du côté de services aux entreprises dont mon entreprise est cliente).
Cordialement </t>
  </si>
  <si>
    <t>nabil-a-134914</t>
  </si>
  <si>
    <t>Satisfait du service, rapidité dans le traitement du contrat, tarif attractif 
Le service à distance est vraiment rapide et complet 
J’ai déjà un contrat voiture et habitation chez vous dommage qu’il n’y ai pas de remise</t>
  </si>
  <si>
    <t>odile-t-133636</t>
  </si>
  <si>
    <t>Je suis satisfaite de vos services. J'ai toujours eu affaire à des conseillers compétents. La gestion sur internet s'est simplifié au fil du temps. Cordialement.</t>
  </si>
  <si>
    <t>20/09/2021</t>
  </si>
  <si>
    <t>yves-d-128712</t>
  </si>
  <si>
    <t>JE SUIS TRES SATISFAIT DES SERVICES D AMV LES RESULTATS SONT RAPIDE LORS DE RENSEIGNEMENTS DE TARIFS DE DEVIS ET DE MISE EN PLACE CONCERNANT LES CONTRATS</t>
  </si>
  <si>
    <t>corinne-91268</t>
  </si>
  <si>
    <t>Je suis satisfaite en attente de validation du crédit de la voiture.
Je vous re contacte dès que possible
Votre compagnie nous a été recommandée par un ami</t>
  </si>
  <si>
    <t>17/06/2020</t>
  </si>
  <si>
    <t>sahnoune-r-129849</t>
  </si>
  <si>
    <t>parfait mais pour les fonctionnaire ya t-il des avantages , votre tarif est plutot correct et je suis sur mon compte et je ne rouve pas la carte verte provisoire</t>
  </si>
  <si>
    <t>ginie1809-78000</t>
  </si>
  <si>
    <t>Merci à Allison pour son professionnalisme et son écoute durant une période d'un décès d'un proche. Ca fait toujours plaisir d'être écouté et conseillé quand on a énormément de papiers administratifs à gérer. Encore merci</t>
  </si>
  <si>
    <t>prixain-j-139195</t>
  </si>
  <si>
    <t>Collaborateur à l’écoute du client et tarif attractif dommage que nous ayons eut une conversation interrompue suite a un bug mais le collaborateur qui a repris la conversation avait toutes les informations pour finaliser mon contrat</t>
  </si>
  <si>
    <t>08/11/2021</t>
  </si>
  <si>
    <t>zorro04-66119</t>
  </si>
  <si>
    <t>Maif à fuir d urgence. C est oui oui qui fait de l assurance. Client fidele raqvam depuis 30 ans. Gestion catastrophique par Maif Manosque. Aucune aide et resolution du probleme . Braves gens fuyez vite. Si vous voulez qu il s occupe bien de votre problème devenez délégué departemental, là il n y aura aucun probleme.</t>
  </si>
  <si>
    <t>10/08/2018</t>
  </si>
  <si>
    <t>anne-91527</t>
  </si>
  <si>
    <t>J attends depuis debut mai le dossier papier pour la prise en charge par cardiff
Chaque semaine leur reponse est nous l avons envoyé, donc pourquoi je ne le reçois pas, l adresse est bonne.
Je ne comprends pas</t>
  </si>
  <si>
    <t>19/06/2020</t>
  </si>
  <si>
    <t>miller-v-115331</t>
  </si>
  <si>
    <t>Pour ce qui est du prix je suis forcément satisfait étant donné que je vous ai choisis, en revanche vous auriez pu me relancer pour les documents.. j’ai donc payé 2-3 mois pour rien?</t>
  </si>
  <si>
    <t>30/05/2021</t>
  </si>
  <si>
    <t>kylian-l-125809</t>
  </si>
  <si>
    <t>Facile d utilisation l assurance ce fait très vite le prix reste correct je recommande april moto sans aucun problème réponse rapide si questions posées</t>
  </si>
  <si>
    <t>31/07/2021</t>
  </si>
  <si>
    <t>patrick-59015</t>
  </si>
  <si>
    <t>Radiation de ma fille, majeur mais rattaché à mes impots, des bénéficiaires  malgré l'envoie de 4 courriers et mails. Tous les ans, une vraie bataille. Service client raccroche au nez, personne ne rappelle.
Tous les ans c'est la même chose</t>
  </si>
  <si>
    <t>22/11/2017</t>
  </si>
  <si>
    <t>sabrey-58089</t>
  </si>
  <si>
    <t>Résilié pour sinistre par la GMF j'ai 50 de bonus depuis plus de trois ans  J'ai subi malheureusement 3 sinistres non responsable sur les trois dernières années.1 seul chez eux.
-01/2017 vandalisme,vouture griffée d'un côté
-11/2015 vandalisme,voiture griffée des deux côtés
-04/2015 bris de glace, un anti brouillard
Avant résiliation 750 € par an avec franchise 388€ chez GMF
Après résiliation 864€ par an avec franchise 515€ chez autre assureur, des tarifs dépassant 1300 € avec franchise allant jusqu'à plus de 1000 €.
Un des rare à me proposer un tarif raisonnable L'olivier assurance
Je n'ai même plus accès à la plus part des offres assureurs et comparateurs à cause de la résiliation du côté assureur. Sauf un, Assurland
Ah oui, la GMF m'a juste envoyer un recommandé pour m'avertir qu'il résilié or suite à nos vacances d'été ,le délai pour récupérer le recommandé était dépassé, donc j'ai découvert la résiliation à l'échéance du contrat aucun message téléphonique ,mail ou courrier papier ! Lamentables ;Au bureau local GMF le conseiller ne peut rien faire. Merci ,au revoir.</t>
  </si>
  <si>
    <t>15/10/2017</t>
  </si>
  <si>
    <t>michel-h-132418</t>
  </si>
  <si>
    <t xml:space="preserve">Je suis satisfait pour le moment malgré les assistances non inclus à mon offre (assistance 0km + prêt de véhicule  =  5 étoiles) . Les prix sont compétitifs . </t>
  </si>
  <si>
    <t>11/09/2021</t>
  </si>
  <si>
    <t>france-60936</t>
  </si>
  <si>
    <t>J'y suis assurée depuis 54 Ans</t>
  </si>
  <si>
    <t>29/01/2018</t>
  </si>
  <si>
    <t>mehdi-t-128550</t>
  </si>
  <si>
    <t>Hyper pratique et rapide De s’assurer en ligne tout est fluide clair et limpide beaucoup d’options disponibles tarifs plus que raisonnable bref rien à redire.</t>
  </si>
  <si>
    <t>joce-66070</t>
  </si>
  <si>
    <t>niveau garanties "initial+3" NUL. Ne rembourse pas les dépassements d'honoraires en ce qui concerne les actes techniques médicaux, et très peu les dépassements pour IRM</t>
  </si>
  <si>
    <t>08/08/2018</t>
  </si>
  <si>
    <t>tom-126625</t>
  </si>
  <si>
    <t>Bon au niveau tarif, par contre niveau réactivité... Exemple : ils ne regardent pas les pièces jointes quand on envoie un mail et répondent qu'il manque des documents, il faut parfois demander 3 fois la même chose pour avoir une réponse, ils ont une fois changé mon adresse pour une raison toujours inconnue, bref, niveau compétence on a déjà vu mieux. Il ne faut pas hésiter à taper le clou plusieurs fois pour que ça rentre.</t>
  </si>
  <si>
    <t>05/08/2021</t>
  </si>
  <si>
    <t>duclos-f-123241</t>
  </si>
  <si>
    <t xml:space="preserve">Je suis satisfaite du service les prix me conviennent malgré que les franchises soient un peu élevées. Je recommanderai a des amis                              </t>
  </si>
  <si>
    <t>christophe-c-128263</t>
  </si>
  <si>
    <t>Les tarifs me conviennent ainsi que les garanties et les options. Je suis satisfait de ma souscription en ligne, simple et pratique. On verra dans le temps.</t>
  </si>
  <si>
    <t>17/08/2021</t>
  </si>
  <si>
    <t>pat-85681</t>
  </si>
  <si>
    <t>Versements sur mon compte AFER, débités sur ma banque, mais non crédités sur mon compte, cela n'est pas rassurant, je pense qu'il va y avoir un très gros problème.</t>
  </si>
  <si>
    <t>09/01/2020</t>
  </si>
  <si>
    <t>mika-101124</t>
  </si>
  <si>
    <t xml:space="preserve">Très bonne assurance.  Réactivité positive réponse rapide. Mai un peut trops pointieux sur les sinistre comme pour changer ou faire réparer un par brise. Un peut cher aussi. </t>
  </si>
  <si>
    <t>08/12/2020</t>
  </si>
  <si>
    <t>mendelssohn-21305</t>
  </si>
  <si>
    <t>Agence Lyon, cours Vitton. Je suis venue pour réaliser un devis permettant d'assurer ma voiture. Accueil était désagréable, avec une agente incompétente. Je suis partie rapidement.</t>
  </si>
  <si>
    <t>21/08/2017</t>
  </si>
  <si>
    <t>muriel-g-106641</t>
  </si>
  <si>
    <t>Prix intéressant, à suivre pour le service maintenant... En espérant n'y avoir jamais recours. La facilité de compréhension et la présentation du site sont cependant remarquables.</t>
  </si>
  <si>
    <t>15/03/2021</t>
  </si>
  <si>
    <t>onniegmail-55261</t>
  </si>
  <si>
    <t>pas bon du tout lors d un sinistre. refus, ...</t>
  </si>
  <si>
    <t>10/06/2017</t>
  </si>
  <si>
    <t>florent598-110340</t>
  </si>
  <si>
    <t>Bonjour, On ma volé ma moto assurer tout risque et ils n'ont rien voulu savoir, j'ai été pieger par leur clause caché dans le contrat et je me suis fait avoir car j'ai trop été honnete.
Amv c'est tout sauf un assurance c'est des traideur en assurance qui sont ni pas chere ni competent.</t>
  </si>
  <si>
    <t>guillaume-g-107548</t>
  </si>
  <si>
    <t>augmentation des prix abusif, vous savez résiliez les contrats dès lors que vous avez 3 sinistres dans l'année NON RESPONSABLE par contre dés que l'on veut résiliez son contrat tout est fait pour complexifier la choses pour nous décourager seul l'argent compte très mauvaise expérience!! Je nous recommanderai pas!</t>
  </si>
  <si>
    <t>popole-63183</t>
  </si>
  <si>
    <t>plus on demande un réduction comme bon chauffeur plus on vous répond c est pas possible les assurance son plus cherre si a pare me donner une réduction de 5 euro  pour l Année c est  foutre du client</t>
  </si>
  <si>
    <t>greuvier-v-133260</t>
  </si>
  <si>
    <t>Je suis un peu déçu..
Suite à un devis sur le site on m’indique un tarif de 231€, ensuite on me rappel pour finaliser le devis, au téléphone on m’indique un premier prélèvement de 544€ avec des  mensualités de 231€ (mensualité identique au devis sur internet) au final lorsque j’active mon espace personnel et que je vais pour signer mon contrat je m’aperçois que le premier prélevé est de 586€ avec des mensualités a 254€ à peu près soit 20€ par mois en plus environ… ayant signé le contrat on ne peux malheureusement rien faire…</t>
  </si>
  <si>
    <t>amicel-m-123883</t>
  </si>
  <si>
    <t>Très simple et rapide. Déjà client pour mon premier véhicule, le devis est peut-être un peu long à réaliser, surtout quand on est déjà client. Contact téléphonique très bien</t>
  </si>
  <si>
    <t>19/07/2021</t>
  </si>
  <si>
    <t>lucie-117844</t>
  </si>
  <si>
    <t xml:space="preserve"> ASSUREUR A EVITER    A FUIR      AUCUN RESPECT DU CLIENT
    AUCUN ECHANGE MALGRE  RELANCES ET RELANCES
  ARGENT PLACE ENCAISSE LE 5.12.2020  JAMAIS SUR LE COMPTE 
  A FALLU ANNULER TOUTES LES ASSURANCES VOITURE APPARTEMENT POUR LES FAIRE BOUGER... 
   SERVICE LAMENTABLE    ATTENDS TOUJOURS EXPLICATIONS  </t>
  </si>
  <si>
    <t>Generali</t>
  </si>
  <si>
    <t>22/06/2021</t>
  </si>
  <si>
    <t>giovanni-r-125616</t>
  </si>
  <si>
    <t>Je suis satisfait du prix et des services proposés la signature a était très rapide reste à voir  la qualité des services proposés je pense que cela peut être une bonne assura nce</t>
  </si>
  <si>
    <t>30/07/2021</t>
  </si>
  <si>
    <t>djelassi-k-112442</t>
  </si>
  <si>
    <t xml:space="preserve">Je suis satisfait de la prestation et le service client qui est très rapidement répondu et le prix me convient parfaitement Merci l'olivier assurance </t>
  </si>
  <si>
    <t>03/05/2021</t>
  </si>
  <si>
    <t>antoine-r-106275</t>
  </si>
  <si>
    <t>J'ai quitter mon appart de Rouen (rendu a l'agence, demenagé) il y a 2 ans, et vous me facturez toujours l'assurance d'un appart que je n'ai plus !!!! Alors que je vous l'ai ecrit il y a bien longtemps.</t>
  </si>
  <si>
    <t>zebulon-53529</t>
  </si>
  <si>
    <t xml:space="preserve">agence alavoine arras 62000 axa , pour répondre a ma demande de devis assurance auto on me dit clairement que si je n'ai qu'une voiture ou autre assurance a mettre chez eux il me prenne pas , avec la raison qu'il seront trop chère donc ils ne sont pas intéressé.  </t>
  </si>
  <si>
    <t>23/03/2017</t>
  </si>
  <si>
    <t>jobike16-106828</t>
  </si>
  <si>
    <t>Bonjour à tous, je suis fidèle à la Mutuelle des Motards depuis plusieurs années. A tel point que j'y assure tous mes véhicules à 2 comme à 4 roues. Egalement tous mes bâtiments. Surprise de constater pour cette année 2021 des hausses de 7,3% à 20,3% !!!! Pardon ? Cause évoquée : accidentologie en forte progression. Heureusement qu' en 2020 on a très peu roulé du fait Des confinements, des annulations et autres couvre feu... Renseignements pris auprès d'autres assurés moto : hausse de 0% à 2,2%... Je vais prendre rdv et si pas de négociation possible, adieu. Je ne suis pas certain que l'alcool, le tabac et le carburant augmentent autant. Aucune justification acceptable !</t>
  </si>
  <si>
    <t>sylvain-96270</t>
  </si>
  <si>
    <t>super assurances, tant que le chien n'a pas de problèmes de santé ,à éliminer lors de la sélection .la pire assurance que je connaisse. mon chien à 12ans et pas de gros soucis de santé,sauf avec la canicule , il a eu un coup de chaleur, veto en urgence et aucun remboursement ,j'ai pourtant la formule complète à54.88€ mensuel je suis outré .</t>
  </si>
  <si>
    <t>Eca Assurances</t>
  </si>
  <si>
    <t>pierre9-109527</t>
  </si>
  <si>
    <t xml:space="preserve">A fuir ! Ils font tout pour ne pas résilier notre assurance de prêt immobilier souscrite chez eux alors que notre banque a déjà tout validé et que nous sommes largement dans les délais. Le service client ne répond jamais au téléphone et se contente de laisser des messages vides de sens sur l'espace client. </t>
  </si>
  <si>
    <t>Suravenir</t>
  </si>
  <si>
    <t>kevin-93662</t>
  </si>
  <si>
    <t xml:space="preserve">Satisfait très facile A la souscription très bon prix bravo à l’équipe personne n’est meilleur en prix en tout cas vraiment étonner une bonne continuation merci </t>
  </si>
  <si>
    <t>09/07/2020</t>
  </si>
  <si>
    <t>jhsr-82170</t>
  </si>
  <si>
    <t>Ca fait 1an que juis la avec 2voitures mais de debut ca commence mal avec de prix differents des simulations apres de informations erroree comme de dates etc que on ne applique de frais pour rectifier leurs erreurs et mantemant se juis en retard et ils nos duplique le montant a payer ce nest pas normal.  la  Je vai surement partir ce nest pas bien tout ca</t>
  </si>
  <si>
    <t>21/12/2019</t>
  </si>
  <si>
    <t>philippe-l-110498</t>
  </si>
  <si>
    <t xml:space="preserve">Simple, pratique, réactif, dynamique et opérationnel. 
Une efficacité redoutable.
Je ne changerai pas d'assurance. Direct Assurance me convient pleinement.
</t>
  </si>
  <si>
    <t>15/04/2021</t>
  </si>
  <si>
    <t>jojo86-51425</t>
  </si>
  <si>
    <t xml:space="preserve">Harmonie mutuelle plus jamais.
Je suis passé sur une autre mutuelle avec mon travaille le 11/2015. Mon travaille prend en charge la rupture de contrat avec harmonie mutuelle mais harmonie mutuelle ont stoppé le contrat et ont laissé une option sur un autre contrat que je n'avais même pas. J'ai donc payé 2 euros 36 (bien sur une petite somme pour pas mettre la puce a l'oreille) durant plusieurs mois sans jamais recevoir de courrier ni rien du tout. </t>
  </si>
  <si>
    <t>18/01/2017</t>
  </si>
  <si>
    <t>thury-n-129062</t>
  </si>
  <si>
    <t>ras prix correct à voir en cas de sinistre comment ca se passera. Site assez clair devrait indiquer clairement que les docs doivent etre envoyés avant de pouvoir signer le contrat électroniquement.</t>
  </si>
  <si>
    <t>23/08/2021</t>
  </si>
  <si>
    <t>florence-l-109398</t>
  </si>
  <si>
    <t>Très insatisfaite suite à un sinistre du20/09/2020 toujours pas solutionné malgré de nombreuses relances !!!!!
Toujours la même réponse depuis des mois : on demande à la partie adverses ... LAMENTABLE</t>
  </si>
  <si>
    <t>amvladouille-62789</t>
  </si>
  <si>
    <t>Jeune motard, suite à un accident avec ma moto (je suis au tiers) et dégâts corporels, l'assurance tranche 50/50 , résultat de l'expertise : la moto avant accident vaut 3500e et en tant qu'épave 750, deux solutions qui m'obligent à payer : je cède la moto 750 ou je dois encore payer 7 mois d'assurance. Les dégats sont évalués à 4 000 e de réparation pour une jante, du carénage et fixations pour phare et compteur alors qu'ils marchent parfaitement ainsi que la moto. Mis à part le dégât à la jante, il m'est très aisé de changer les carénages et fixations moi même, or on nous obligent à payer un pro pour la remettre en état. Concernant le service, on me demande d'envoyer un mail pas de retour, à moi même de les contacter tous les jours, erreur de numéro transmis au cabinet d'expertise, c'est à moi de contacter l'expert pour savoir quand passe t-il pour que je puisse limiter les frais de gardiennage (400e juste après son passage), et j'en passe... Premiers à t'assurer, dernier à te suivre</t>
  </si>
  <si>
    <t>29/03/2018</t>
  </si>
  <si>
    <t>quentin623-138370</t>
  </si>
  <si>
    <t>En arrêt de travail hors mission depuis le 12 septembre 2021 je n’arrête pas de contacter intérimaires prévoyance que ce soit par mail ou via le site et jamais de réponse .
J’ai donc envoyé mes documents par courrier avec accusé de réception depuis le 7 octobre 2021 et à ce jour je n’ai toujours pas de trace d’ouverture ou de traitement de mon dossier ça commence à faire très long sachant que les indemnités de la sécurité sociale ne permettent pas de comblées à elles seules la perte de salaire…
Très déçu!</t>
  </si>
  <si>
    <t>27/10/2021</t>
  </si>
  <si>
    <t>sid-ahmed-d-114327</t>
  </si>
  <si>
    <t xml:space="preserve">Bonjour
Je suis très satisfait du service c du top
Tarif le moins cher au marché 
Rapide et efficace en toute simplicité 
Je recommande 
Bravo l'équipe 
</t>
  </si>
  <si>
    <t>mb-128495</t>
  </si>
  <si>
    <t xml:space="preserve">De plus en plus décevant et choisi des experts contre les sociétaires. Assurance trop élevée pour les services donnée, dépanse beaucoup d'argent dans la publicité.
Assurance à ne pas conseiller. </t>
  </si>
  <si>
    <t>cedric-59481</t>
  </si>
  <si>
    <t>J'ai trois contrats auto chez l'Olivier Assurance Auto et suis très satisfait du service téléphonique qui est basé en France. Ils sont très réactifs lorsqu'il faut suspendre un contrat et assurer une nouvelle voiture (sans frais de résiliation).
Site internet très intuitif et prix très compétitif.
Une assurance en avance sur la concurrence. 
Je recommande vraiment.
Dommage qu'il ne fassent pas d'assurance moto, j'aurai souscrit un contrat supplémentaire :)</t>
  </si>
  <si>
    <t>07/12/2017</t>
  </si>
  <si>
    <t>thierry-m-118051</t>
  </si>
  <si>
    <t>Je signale mon déménagement et sur le nouveau document c'est l'ancienne adresse ou j'habitais.
De plus une seule modification a été apportée sur mes contrats autos</t>
  </si>
  <si>
    <t>ritondom77-54975</t>
  </si>
  <si>
    <t xml:space="preserve">Bonjour
J'ai radié mon adhésion pour le 31/12/2016 de votre mutuelle santé
J'ai la confirmation par écrit par votre service en date du 17/11/2016.
Alors pourquoi bloqué sur mon compte Ameli la télétransmission????? en restant devant ma nouvelle assurance santé vous faites barrage ou bon déroulement de mes remboursements...!!!
C'est la deuxième fois que je réclame votre retrait.
Au plaisir de vous lire.    </t>
  </si>
  <si>
    <t>29/05/2017</t>
  </si>
  <si>
    <t>fred-49942</t>
  </si>
  <si>
    <t>Je contacte mon agence pour un devis assurance (j'ai déjà mes deux voitures chez eux)
On me donne un rdv après échange de vives voix sachant que j'ai un emploi du temps charger, chose que j'ai bien précisé à l'interlocutrice.
Sur place, salle pleine, la réceptionniste demande qui a rdv, je lève la main, comme à l'école, me demande mon nom et me dit que j'ai pas rdv, qu'il faut patienter sans même s’excuser pour le désagrégeant.
J'ai attendu 30min et suis parti.
Merci la MAFF mais là c'est pas ce que je préfère...
Du coup je pense demander mon compte et voir ailleurs...</t>
  </si>
  <si>
    <t>06/01/2017</t>
  </si>
  <si>
    <t>xfr-62509</t>
  </si>
  <si>
    <t xml:space="preserve">grace au site le furet.com ; l'assureur l'olivier a été l'assureur qu'il me fallait ; n'ayant pas été assuré personnellement depuis plusieurs années pour raison professionnelle ; l'olivier m'a apporté l'assurance qu'il me fallait ; le prix est très interessant et j'ai plus effectuer une réelle économie par rapport à l'assurance que ma banque me proposait pour le même véhicule </t>
  </si>
  <si>
    <t>thomasferr-65858</t>
  </si>
  <si>
    <t xml:space="preserve">A fuir à tout prix !!!
Assurance qui ne respecte pas ses clients et ses engagements. 
Assure tout risque avec un pack sérénité et suite à une degradation sur ma voiture dans mon parking, l’assurance ne souhaite pas prendre en charge pour selon eux « fausse déclaration » 
Ils estiment que ma voiture n’a pas été dégradée par un tiers. 
Mais si j’avais menti en disant que je l’avais accidenté moi même j’avais soit disant aucun problème. </t>
  </si>
  <si>
    <t>30/07/2018</t>
  </si>
  <si>
    <t>youness-a-128576</t>
  </si>
  <si>
    <t>Explication claire fournie par le conseiller, appel réalisé dans des bonnes condition et dans le temps qui m'a arrangé.
Proposition d'offre de fidélisation motivante.</t>
  </si>
  <si>
    <t>rmvm68-97821</t>
  </si>
  <si>
    <t>Tarif intéressant, OUI
Mais que la première année, ensuite il y a chaque année des augmentations de 17 à 18 %, et si vous ne faites pas attention, votre cotisation passe vite au-dessus de la concurrence.
A noter aussi que mon assurance habitations à pris 11 % d'une année à l'autre.
Faites jouer la concurrence.</t>
  </si>
  <si>
    <t>anais-b-126152</t>
  </si>
  <si>
    <t xml:space="preserve">Bonjour l'assurance est rapide et pas cher je recommande direct assurance. 
Le site est très pratique. 
Et le choix pour l'assurance automobile est multiple. 
</t>
  </si>
  <si>
    <t>03/08/2021</t>
  </si>
  <si>
    <t>audreyche-117928</t>
  </si>
  <si>
    <t xml:space="preserve">Conseillère à l'écoute et a très bien répondu à mes attentes je la recommande pour sa patience. Elle m'a aidé à remplir et à trouver les documents nécessaires </t>
  </si>
  <si>
    <t>23/06/2021</t>
  </si>
  <si>
    <t>touzouirt-n-128582</t>
  </si>
  <si>
    <t>Je suis tres satisfait .
Les prix sont très attractifs et l'accueil était très bien .
 Les vendeurs m'ont très bien conseillé et ont été très aimable.</t>
  </si>
  <si>
    <t>auto-rs-9-129893</t>
  </si>
  <si>
    <t>Je suis satifait de votre ecoute pour assurer mais vehicule rs auto 91
Je tiens a vous remercier 
Jen'hesiterais pas a vous recommander a mon entourage</t>
  </si>
  <si>
    <t>28/08/2021</t>
  </si>
  <si>
    <t>amelie-70976</t>
  </si>
  <si>
    <t>conseillère clientèle très agréable et qui a su me donner  des réponses aux questions que j'avais quant au suivi de mon contrat et résoudre les problèmes que je rencontrais. merci de son professionnalismeet de son écoute attentive.c'est agréable d'etre comprise et rapidement renseigner.</t>
  </si>
  <si>
    <t>05/02/2019</t>
  </si>
  <si>
    <t>mco-109771</t>
  </si>
  <si>
    <t xml:space="preserve">Aya —&gt; merci pour votre aide à la connexion !
Pour l’instant, j’arrive dans le groupe, je n’ai donc pas suffisamment de recul pour émettre tout jugement quant aux services.
Ma satisfaction ou mon mécontentement seront exprimés ultérieurement 
J’espère ne pas avoir fait le mauvais choix en retenant 
VÉRONIQUE MARCOU </t>
  </si>
  <si>
    <t>mawazin-103335</t>
  </si>
  <si>
    <t xml:space="preserve">Bonsoir,
Assureur à fuir. Conseillers qui ne se fatiguent pas et qui ne cherchent pas à régler le problème en cas de sinistre et encore pire ils proposent des solutions inexistantes... Je pars dès que possible... De plus, ce ne sont pas les moins chers.
</t>
  </si>
  <si>
    <t>cm-86221</t>
  </si>
  <si>
    <t xml:space="preserve">Mutuelle à éviter je suis à la retraite depuis 10 ans j'adhère à la MGEN Filia ex MOCEN depuis 50 ans (1970) je cotise au maximum AO et les remboursements baissent d'année en année Peu de prise en charge dentaire sur les medecine douce Ostéopathie 1 remboursement par an (ridicule), podologie aucun remboursement, acupuncture aucun remboursement, Aucun de tableau de remboursement depuis 2015
Service FILIA MGEN très difficile à joindre 
De plus certains centre de radiologies (Vierzon) ne prennent pas la carte MGEN FILIA on doit avancer les frais de radiologie car ils nous informent que la MGEN a beaucoup de retard à régler les centres (retard de plus d'un an)  Alors beaucoup de question sur cette mutuelle peu fiable </t>
  </si>
  <si>
    <t>Mgen</t>
  </si>
  <si>
    <t>22/01/2020</t>
  </si>
  <si>
    <t>sophie-p-106194</t>
  </si>
  <si>
    <t>Le prix de mon assurance auto me convient et moins cher.On peut gérer ses options afin de trouver un contrat adapté à notre situation.  Les conseillers sont à l'écoute et très agréable</t>
  </si>
  <si>
    <t>10/03/2021</t>
  </si>
  <si>
    <t>bing-p-117752</t>
  </si>
  <si>
    <t xml:space="preserve">Les prix me conviennent mais l'aboutissement du devis fut plus que laborieux et plein de bug inexplicables pour une acceptation en ligne ou une demande de rappel. </t>
  </si>
  <si>
    <t>girault-t-133095</t>
  </si>
  <si>
    <t xml:space="preserve">Les Démarches par internet ne sont pas très explicites, les informations pas toujours précises mais une assurance dont les tarifs sont abordables selon les besoins. </t>
  </si>
  <si>
    <t>mutualiste-78778</t>
  </si>
  <si>
    <t>Rapport qualité prix inexistant. De très bons commerciaux qui vous assurent que vous estes bien assurés. Or suite à deux litiges juridiques, des réponses de fin de non recevoir  par mail sans aucun conseil. quant j'ai fiat part de mon mécontentement réponse : faites un courrier . Même dans l'administration , aucune réponse de ce type est portée</t>
  </si>
  <si>
    <t>28/08/2019</t>
  </si>
  <si>
    <t>vincent-gauthier-68637</t>
  </si>
  <si>
    <t>Client chez la MatMut, sans aucun sinistre, toujours payé chaque mois ; je reçois une lettre car "mon dossier fait apparître une inadéquation enter votre situation personelle et leur politique d'acceptation des risques". J'appelle donc le service client pour avoir une explication : "Désolé monsieur, vous devez certainement savoir plus que moi pourquoi vous avez reçu ce courrier". 
Très bien pas de souci. Procédure de résiliation avant la date lancée.
Et croyez moi personne de mon entourage n'ira dans cette assurance.</t>
  </si>
  <si>
    <t>15/11/2018</t>
  </si>
  <si>
    <t>proteo44-96119</t>
  </si>
  <si>
    <t xml:space="preserve">Toujours très sérieux quand il s'agit des prélèvements . 
mais incapables de respecter les closes d'un contrat dans un délai résonnable quand il s'agit de vous verser des indemnités à laquelle vous avez droit !!!
fuyez cet assurance à grandes enjambées !!!! </t>
  </si>
  <si>
    <t>10/08/2020</t>
  </si>
  <si>
    <t>gala-50621</t>
  </si>
  <si>
    <t xml:space="preserve">Un scandale ! Leurs conseillers commerciaux donnent des informations mensongères pour qu'on signe le contrat. Depuis un an je suis au sein de cette mutuelle, niveau 6 pour 3000 euros par an pour la famille, on est remboursé moins que la moitié de ceux qu'on a eu avec notre ancienne mutuelle. Très très déçue, je voudrais résilier mon contrat et reprendre mon ancienne mutuelle des que possible! 
 </t>
  </si>
  <si>
    <t>29/12/2016</t>
  </si>
  <si>
    <t>tychat-85336</t>
  </si>
  <si>
    <t xml:space="preserve">la Gmf ne répond aucunement aux attentes de ses clients 
Depuis les dernières intempéries ils ont pris en compte ma déclaration de sinistre par mail et depuis impossible de les joindre ! Ils ne répondent plus au téléphone et quand on va à l agence après avoir pris un rdv ! Ils me disent que le service sinistre ils ne s'en occupent pas ! Rien n'est fait pour aider les assurés en cas de sinistre! Depuis le 23 novembre je n'ai aucune réponse de leur part ! </t>
  </si>
  <si>
    <t>30/12/2019</t>
  </si>
  <si>
    <t>lips-67344</t>
  </si>
  <si>
    <t xml:space="preserve">Assuré tout risques j'ai déclaré un sinistre. La prise en charge des réparations à été délivrée immédiatement au réparateur agréé après l'Expertise.
Dès le véhicule réparé j'ai reçu la facture pour information et la copie du Rapport de l'Expert.Aucun soucis. </t>
  </si>
  <si>
    <t>mbamba-l-139294</t>
  </si>
  <si>
    <t>JE SUIS SATISFAIT DE VOTRE SERVICE ET L'ERGONOMIE(ARCHITECTURE) DE VOTRE SITE INTERNET ET LA RAPIDITÉ DE RÉPONSE, JE POURRAIS CONSEILLER A MES PROCHES DE VENIR SOUSCRIRE LEUR ASSURANCE CHEZ VOUS;</t>
  </si>
  <si>
    <t>dimitri-v-112737</t>
  </si>
  <si>
    <t>Site très pratique, rapide et clair. Toutes les options se proposent à vous, il ne reste plus qu'à choisir.
On s'assure en 5 minutes
Je suis très satisfait de mon assurance.</t>
  </si>
  <si>
    <t>shayne--104170</t>
  </si>
  <si>
    <t>Les tarifs ont augmenté sans que l'on soit prévenu. Inadmissible !
Nous devons plutôt être récompensé pas puni à cause des pertes financières de la mutuelle.</t>
  </si>
  <si>
    <t>15/02/2021</t>
  </si>
  <si>
    <t>jacquelinecharbonnier-92947</t>
  </si>
  <si>
    <t>Je trouve la formule intéressante, je vais comparer avec une autre assurance et je souscrirai vraisemblablement.
Pour l'instant, je n'ai pas pris ma décision...</t>
  </si>
  <si>
    <t>bossut-c-128554</t>
  </si>
  <si>
    <t>Je recommande cette assurance. Prix correct, et compétitif, rapidement renseigner, l'accueil et correct a part la ligne téléphonique qui ne passe pas très bien, 3 véhicules chez eux .</t>
  </si>
  <si>
    <t>diaz-s-114835</t>
  </si>
  <si>
    <t>Les tarifs sont imbattables, le personnel très courtois et professionnel. La souscription s'est faite rapidement et on n'a pas pris pour un pigeon, ce qui est assez rare, hélas, de nos jours. Je recommande.</t>
  </si>
  <si>
    <t>sissi-85439</t>
  </si>
  <si>
    <t>Après un sinistre qui a immobilisé mon véhicule chez un garagiste éloigné de mon domicile, j'ai utilisé un billet de train pour aller récupérer mon véhicule. J'ai envoyé ce billet chez mon assureur (à l'adresse qui m'a été fournie). cela fait un mois. Je n'ai, à ce jour, ni remboursement ni nouvelles (j'ai contacté l'assureur deux fois par mail)...Que faire?</t>
  </si>
  <si>
    <t>bub35-103965</t>
  </si>
  <si>
    <t xml:space="preserve">Très mécontent de cette mutuelle, le service est désastreux. Les temps de traitement des demandes et réclamations via l'espace assuré sont terriblement longs. Quant aux contacts par téléphone, il faut régulièrement attendre 15mn avant de pouvoir s'adresser à un conseiller. Le pire reste tout de même la mauvaise volonté mise par Mercer pour me rembourser. Bref, une mutuelle à éviter à tout prix.
 </t>
  </si>
  <si>
    <t>10/02/2021</t>
  </si>
  <si>
    <t>marion-k-124393</t>
  </si>
  <si>
    <t>parfait et rapide
clair et simple avec la possibilité de revenir en arrière sans rien perdre de ce qui a été mentionné. Je vais recommander votre agence</t>
  </si>
  <si>
    <t>23/07/2021</t>
  </si>
  <si>
    <t>brigitte-117667</t>
  </si>
  <si>
    <t xml:space="preserve">Suite à une hospitalisation imprévue, le 13 Mai 2021, et suite à l'intervention de l' Assistante Sociale, en raison d'une DMLA avancée qui m'empêche la lecture de tout document, j'ai reçu de la part de la conseillère AG2R, une proposition de résiliation du contrat en référence, ainsi que 2 nouvelles offres de contrat. 
Cette dernière avait été contactée, au fin d'obtenir une Carte Tiers Payant, et connaître le niveau de prise en charge des soins médicaux et hospitaliers dont je suis en droit de bénéficier au titre de mon adhésion VIA SANTE, carte que je n'ai jamais reçue.
Pourtant, le 11 Mai 2021, suite à la demande d'une autre Assistante sociale lors d'une précédente hospitalisation, Via Santé avait bien adressé une Attestation d'Adhésion à Via Sante, sans précision de niveau de prise en charge pour les services hospitaliers ou médicaux.
Je renonce donc aujourd'hui à contacter les Conseillères Clientèle.
Depuis, grâce au regard d'une amie, qui poste ce message en mon nom,je constate que, depuis le 23 Avril 2019, plus aucun remboursement de mes frais médicaux n'a été viré, mes prélèvements pour l'adhésion, eux, n'ont jamais cessés.
Malgré l'aide précieuse de 2 Assistantes Sociales, les conseillers AG2R ont persisté à leur répondre, que mon compte AMELI n'étant pas créé, la télétransmission ne pouvait pas fonctionner, sans autre explication. 
Or, la Sécurité Sociale m'a bien transmis tous les relevés des années 2019, 2020, et 2021, les remboursements n'ont jamais cessé, de leur part, avec une prise en charge à 100%, en raison d'un autre handicap.
Impossible de savoir pourquoi, après tant d'années, la télétransmission a été interrompue ?
Le 13 Juin dernier, avec l'aide de mon amie, j'ai pris le soin de retransmettre une Attestation de mes Droits à la Sécurité Sociale jamais réclamée par VIA SANTE, par le biais de mon compte AG2R, accompagné d'un message interrogatif très court. 
Le 15 Juin suivant, l'un des conseillers, très charmant, m'a rappelé me précisant qu'il ne comprenait pas ce CODE de blocage de la télétransmission, et qu'il faisait remonter mon dossier dans sa hiérarchie. 
Aujourd'hui, et après consultation de mon espace personnel sur le site AG2R, rien n'a bougé. Je ne peux toujours pas récupérer ma Carte de Tiers Payant.
Je ne m'explique pas cette situation, mais je veux continuer de croire qu'il s'agit d'un « BUG » informatique ou administratif, suite aux dernières évolutions techniques de dématérialisation des services dont AG2R est redevable à ces adhérents. 
Les réponses des conseillers sont plus qu'insuffisantes, totalement incohérentes, voir même abusives, face à des assistantes sociales qui s'efforcent d'aider des personnes âgées invalides, une qualité de service très au-dessous de l'image d'AG2R LA MONDIALE. 
Par le simple N°de contrat VIA SANTE 57044687, mon assureur va pouvoir retrouver toutes les informations me concernant, aussi je ne souhaite pas recevoir ici la même réponse que celles déjà reçues maintes fois....retardant toujours un acte concret.
Les coordonnées de ce post sont celles de l'amie qui m'aide aujourd'hui dans mes démarches administratives.
</t>
  </si>
  <si>
    <t>20/06/2021</t>
  </si>
  <si>
    <t>dupuis-54947</t>
  </si>
  <si>
    <t>Assuré tout risque et non responsable l'ors d'un accident.
il faut 1 semaine pour avoir un RDV au garage juste pour faire des photos et les envoyer a l'expert.
en attendant, pas de voiture de prêt alors que j'ai souscrit à l'offre.... donc bloqué (+1 semaine juste pour faire des photos) obligé de poser des congés car ne je ne peux pas me rendre au travail. 
attention !!! même après cela le véhicule ne sera toujours pas pris en compte par le garage non .... ça serait trop beau.
c'est jamais de leurs fautes, aucun geste commercial.... Ah si vous pouvez louer une voiture a vos frais et il vous rembourse après... sortir 420 euros en fin de mois de ma poche alors que je suis assuré tout risque et souscrit pour la voiture de prêt. 
je ne recommande pas du tout cette assurance. 
vaut mieux payer un peux plus chère chez un autre assureur. 
je termine cette affaires et CIAO direct assurance !</t>
  </si>
  <si>
    <t>28/05/2017</t>
  </si>
  <si>
    <t>athmane-h-116536</t>
  </si>
  <si>
    <t>Je suis satisfait du service rapide efficace j’espère que cela continue comme çà et par la suite si vous assurez aussi les voiture pourquoi pas assurer ma voiture chez vous</t>
  </si>
  <si>
    <t>samira-k-110161</t>
  </si>
  <si>
    <t xml:space="preserve">mauvaise   communication  avec  le  service  téléphonique    je  ne   suis  très  mécontente   je  ne  comprend  pas    leurs  services  et  leurs  manque  de professionnalisme </t>
  </si>
  <si>
    <t>matias-m-110860</t>
  </si>
  <si>
    <t>Je suis satisfait du service, l'accueil téléphonique, le niveau des réponses et le niveau d'écoute de mon conseiller (Jean martin Saw).
Je recommande!!</t>
  </si>
  <si>
    <t>bigot-s-106495</t>
  </si>
  <si>
    <t>Parfait mais dommage d'être prélevé mensuellement, et que sans raison un mois saute et le mois suivant on est prélevé du double pour rattraper ça. Sans être prévenu en plus...</t>
  </si>
  <si>
    <t>13/03/2021</t>
  </si>
  <si>
    <t>nicolas-l-110066</t>
  </si>
  <si>
    <t xml:space="preserve">Je suis un peu déçu que mon devis à augmenter cette année. Sachant que je suis un client fidèle depuis 2016 sans sinistre, sans incident. Mais une belle prestation d'assurance. </t>
  </si>
  <si>
    <t>fred07-69483</t>
  </si>
  <si>
    <t>Manque  total  de professionalisme
je suis en attente de résiliation de mon contrat auto depuis octobre 2018 malgrès 2 lettres recommandées.Ils sont incapable de mettre à jour mon dossier(sois disant probleme techinique) du  coup je  suis bloque pour m assurer ailleurs
la plateforme telephonique marocaine tout aussi incompetente et inutile qui vous fais perdre tout votre temps.Tout ceci ressemble à une entourloupe pour garder ses clients de force.Dans ce obligé de continuer avec un avocat pour sortir de cette spirale</t>
  </si>
  <si>
    <t>19/12/2018</t>
  </si>
  <si>
    <t>maurice--138312</t>
  </si>
  <si>
    <t xml:space="preserve">Je résilié mon contrat entamé en 1982. La Maif ne rembourse pas mes radiateurs qui ont grille après une variation de tension... Et ne propose pas les réparer. Allez hop ! Poubelle après 6/7 ans
Pas très militante pour une compagnie qui se présente comme engagée.
Nous vous attentez à aucune solidarité mutuelle... L algorithme de la Maif à dit non.
?????? Sinistre réponse à votre sinistre. </t>
  </si>
  <si>
    <t>jeune-a-111714</t>
  </si>
  <si>
    <t>Je suis satisfait du service proposé simple efficace les prix me conviennent pas trop excessif pour une premier assurance satisfait
simple efficace et rapide.</t>
  </si>
  <si>
    <t>26/04/2021</t>
  </si>
  <si>
    <t>dorian--139563</t>
  </si>
  <si>
    <t>J'ai eu au téléphone un conseiller très désagréable. Qui prend de haut l'air désabusé. Insupportable j'ai du écourter la conversation... A dieu l'olivier assurance ;)</t>
  </si>
  <si>
    <t>13/11/2021</t>
  </si>
  <si>
    <t>xavier-70363</t>
  </si>
  <si>
    <t xml:space="preserve">Ne confiez jamais le moindre euro à cette compagnie. Ils déploieront des talents inimaginables pour ne jamais vous payer. </t>
  </si>
  <si>
    <t>19/01/2019</t>
  </si>
  <si>
    <t>petit-f-139123</t>
  </si>
  <si>
    <t>bien et très rapide ! seulement ce serait bien de ne pas appliquer un tarif si différent du moyen annuel. La différence ici est de plus de 150 € (plus d'une mensualité en +)</t>
  </si>
  <si>
    <t>06/11/2021</t>
  </si>
  <si>
    <t>nicous-128322</t>
  </si>
  <si>
    <t xml:space="preserve">Très mauvaise mutuelle beaucoup de problèmes v mauvais remboursement interlocuteurs inaptes et surtout vérifiez bien les contrats avant de signer perso je me suis fais piégé </t>
  </si>
  <si>
    <t>madiou-j-125657</t>
  </si>
  <si>
    <t>Je suis satisfait du service et du tarif proposé ainsi que du contact avec le chargé de clientèle que j'ai eu au téléphone. Rapidité, amabilité, efficacité.</t>
  </si>
  <si>
    <t>arnaud-b-133824</t>
  </si>
  <si>
    <t>super pratique et facile à souscrire
j'espère que je ne serai pas déçu par la suite
l'interface est facile d'accès et les choix sont plutôt instinctifs</t>
  </si>
  <si>
    <t>21/09/2021</t>
  </si>
  <si>
    <t>anne-52720</t>
  </si>
  <si>
    <t xml:space="preserve">Trois ans déjà, un contrat d'assurance impossible à racheter !
Déplacements auprès de la Caisse d'Epargne, communications téléphoniques, mails, courrier recommandé avec A.R;
toujours rien.
Le contrat suit son cours... et pas de rachat ni de remboursement.
</t>
  </si>
  <si>
    <t>24/02/2017</t>
  </si>
  <si>
    <t>nawal-d-116615</t>
  </si>
  <si>
    <t xml:space="preserve">Je suis satisfait de votre prestation et je vous remercie de votre confiance et vous souhaite une bonne journée et à très bientôt pour de nouvelles.     </t>
  </si>
  <si>
    <t>doudou-62337</t>
  </si>
  <si>
    <t>Des conseils personnalises...un accompagnement ...un vrai servi ce client professionnel et à l écoute du client..rapidite de prise en charge...</t>
  </si>
  <si>
    <t>14/03/2018</t>
  </si>
  <si>
    <t>meli-43026</t>
  </si>
  <si>
    <t>insatisfaction du début à la fin avec cette mutuelle !!!! 
pb à la résiliation : m'applique un préavis alors que je quitte pour une mutuelle d'entreprise obligatoire !! me doivent de l'argent !!
m'ont dit : chez néoliane on applique un préavis de 13 jours et la mutuelle est résiliée dans le mois en cours duquel on a envoyé notre résiliation. ( je leur ai écrit et appelé mi décembre, le jour ou jai recu mon attestation de lautre mutuelle obligatoire ( entree en vigueur ds l entreprise le 21 novembre). Ils doivent donc stopper ma mutuelle au 21 ! 
Depuis quand la loi néoliane prime sur la loi francaise ?
 résiliation pour adhérer à une mutuelle d'entreprise
Depuis le 1er janvier 2016, la mutuelle collective est devenue obligatoire pour tous les salariés du secteur privé.
Si certains cas de dispense d'adhésion existent, pour la majorité des salariés cette adhésion à une mutuelle d'entreprise est obligatoire. Dans ce cas, vous pouvez envoyer votre lettre de résiliation à tout moment, sans délai de préavis. Votre courrier doit impérativement être accompagné d'un justificatif (fourni par votre employeur), prouvant le caractère obligatoire de votre adhésion à la mutuelle collective souscrite par l'entreprise.
Votre contrat de mutuelle individuelle prend fin à la date effective d'adhésion à votre mutuelle d'entreprise.
source : https://mutuelle.dispofi.fr/resiliation-mutuelle/delai</t>
  </si>
  <si>
    <t>28/01/2017</t>
  </si>
  <si>
    <t>christine-72394</t>
  </si>
  <si>
    <t>JE DÉCONSEILLE FORTEMENT! 513 Euros m'ont été proposés par la MACIF pour un dégât des eaux qui a endommagé l'intégralité de mon studio hors salle de bain (cuisine + pièce principale 20M2). Complètement inondé tout était à refaire ! De plus, l'expert  mandaté par la MACIF est passé 5 mois après ma déclaration pour constater le dégât des eaux, 5 mois durant lesquels,  je n'ai pas pu louer mon studio. Ni après son passage d'ailleurs , puisque j'ai encore attendu plusieurs mois leur proposition financière pour refaire les travaux, pensant naïvement qu'elle serait  honnête. Mais suite à l'expertise, la MACIF m'a fait cette proposition  ridicule de 513 euros et...un an plus tard !!!!  Pour finir, j'avais souscris une garantie "perte des loyers" qui prévoit le paiement  des loyers dans des cas comme celui-ci où je ne peux pas louer mon studio. La garantie est prévue jusque 1 an de perte de loyers la MACIF m'a proposé une compensation de 2 mois de loyers  ! Alors même que leurs procédures et leur inertie  m'ont obligées à attendre un an avant de le louer.  Devant tant d'incompétence, voir pire, je viens de saisir un avocat contre la MACIF.</t>
  </si>
  <si>
    <t>03/04/2019</t>
  </si>
  <si>
    <t>fr3lbt-93159</t>
  </si>
  <si>
    <t>En cas de vol le service indemnisation refuse de prendre en compte tous documents de preuve et de justification de possession et de valeur des bijoux autres que la facture originale à votre nom ! Photos , attestations du maître orfèvre ayant fabriqué les bijoux avec description et valeur , bijoux de famille donnés de leur vivant par vos parents avec factures originales à leur nom , rien n'est pris en compte et quand vous contestez vous êtes simplement informé que votre contrat est résilié  !!! 
Amaguiz maintenant devenu Groupama qui confirme cette résiliation sans autre explication ni proposition commerciale est à  éviter pour être bien assuré !!!</t>
  </si>
  <si>
    <t>Groupama</t>
  </si>
  <si>
    <t>04/07/2020</t>
  </si>
  <si>
    <t>rik-99874</t>
  </si>
  <si>
    <t xml:space="preserve">2 mois pour avoir ma carte.
Service client incompétent et encore, je reste poli. 
Site bugué en permanence. 
Je n ai jamais vue une mutuelle pareil... Et dire qu ils osent se faire de la pub à la tv. 
À éviter. </t>
  </si>
  <si>
    <t>09/11/2020</t>
  </si>
  <si>
    <t>emmanuel-v-122296</t>
  </si>
  <si>
    <t>Les prix sont super. Je suis satisfait de la prise en charge et il y a beaucoup d'option pour les prix qui nous sont proposer. Avec peut être quelques améliorations.</t>
  </si>
  <si>
    <t>04/07/2021</t>
  </si>
  <si>
    <t>hichem-89760</t>
  </si>
  <si>
    <t xml:space="preserve">J'ai subi une tentative de vol plus incendie sur mon véhicule le 02/03/2020, nous sommes le 19/05/2020 et toujours aucunes propositions, tout le monde se renvoie la balle et toujours la même phrase votre dossier est au service technique, pourquoi, ils ne savent pas, et le pire vous attendez un mois, et après ils vous envoient un mail pour vous dire il manque un document, ensuite 3 semaine après il manque un tampon ......  une certaine Mme F... m'a même raccroché au nez , alors je vous le dis si vous pensez que vous êtes bien assuré chez la macif oui peut être mais le jour ou vous aurez un sinistre vous verrez bien ce qu'est vraiment la macif,  par contre essayez d'être en retard sur un paiement les courriers tombent rapidement quelle réactivité mais pour la gestion des sinistres zéro alors à fuir à fuir, faites attention quand on vous dit on vous prête un véhicule équivalent ce n'est jamais le cas, car ils vont vous sortir selon les disponibilités mais en vrai il n'y aura jamais de véhicule équivalent plutôt le moins cher des véhicule.   </t>
  </si>
  <si>
    <t>19/05/2020</t>
  </si>
  <si>
    <t>loulou-100339</t>
  </si>
  <si>
    <t xml:space="preserve">Mesdames et Messieurs BONJOUR.
C'est a la suite d'un mail reçu (publicitaire) et par curiosité(confinement).que j'ai pris contact avec cette assurance.Je n'ai nullement l'intention de changer d'assureur.
Votre agençe est a proximité de mon domicile et son gérant est des plus sympathique efficace , compétent et a disposition.
Je n'ai donc aucune raison de changer d'assurance.Un seul bémol votre tarif,qui pourrais être revu a la baisse.
Vous souhaitant bonne réçeption du présent  SALUTATIONS 
</t>
  </si>
  <si>
    <t>19/11/2020</t>
  </si>
  <si>
    <t>seve54--109020</t>
  </si>
  <si>
    <t>Aucun sinistre, bonus 65% , assuré depuis plus de 20 ans pour 2 voitures et 2 motos, et pourtant ça nous cherche les poux  qd on veut assurer notre fils pour sa voiture...
Pas aimable au téléphone, lunatique, un coup c est oui, un coup c est non en fonction de la personne qui répond.
Nous allons voir ailleurs, les devis sont en cours.</t>
  </si>
  <si>
    <t>yanis-s-131896</t>
  </si>
  <si>
    <t xml:space="preserve">Je suis satisfait du prix pour l'instant, j'attends de voir par la suite  si ils tiendront leurs engagements.
C'était la meilleure offre que j'ai trouvé </t>
  </si>
  <si>
    <t>ait-ziane-a-108995</t>
  </si>
  <si>
    <t xml:space="preserve">Acceuil et réponses aux questions de la parts de vos personnel, contacte super sympa pour cette raison j'ai fait la souscription a un nouveau contrat aujourd'hui </t>
  </si>
  <si>
    <t>samy-b-113174</t>
  </si>
  <si>
    <t>Vous avez effectuer une hausse sur mon contrat auto et habitation sans justifier des raisons vos prix n'ont plus rien de competetif la concurence propose de meilleurs tarifs</t>
  </si>
  <si>
    <t>khalissa-t-130533</t>
  </si>
  <si>
    <t>LE SERVICE EST RAPIDE ET EFFICACE. E SUIS SATISFAITE DE LEURS SITE INTERNET ET ILS SONT TRES RECTIFS AU TELEPHONE. EN ESPERENT NE PAS ETRE DECU ......</t>
  </si>
  <si>
    <t>catherineb-105100</t>
  </si>
  <si>
    <t>Totalement mécontente!!!! J'ai rarement utilisée ma mutuelle, et suite à des soucis persos, la banque m'a refusé 3 paiements: résultat radiation de la mutuelle et huissiers qui me demandent 865euros pour 2021 sans me donner une couverture mutuelle!!!! C'est un scandale!!!</t>
  </si>
  <si>
    <t>02/03/2021</t>
  </si>
  <si>
    <t>le-roux-g-138228</t>
  </si>
  <si>
    <t>Satisfait de vos tarifs et de ce que vous proposez, defiant toute concurence.
Esperant ne pas être déçu.
En vous souhaitant une agréable journée
Cordialement</t>
  </si>
  <si>
    <t>25/10/2021</t>
  </si>
  <si>
    <t>joss-62950</t>
  </si>
  <si>
    <t>affreux, j'essaye désespéramment d’arrêter cette mutuelle depuis novembre dernier. Malgrés une lettre recommandé envoyé fin octobre, et une relance par la suite, je suis dans l'incapacité de pouvoir l'arrêter. Il me demande de payé encore une année. Malgrès mes appuis sur la loi chatel par lettre recommandé et par téléphone, on ne m'écoute pas. Nous ne sommes pas les clients, nous sommes les vaches a lait de cette entreprise capitaliste. Je ne reçois pas les appel a cotisation et pourtant je dois continué a payé malgrès la loi chatel. Je leur explique que j'ai quitté la france mais non je dois continué a payé une mutuelle française qui ne m'écoute pas. Dix ans que je paye et je ne suis toujours pas client, mais juste une ressource pour que le PDG s'enrichisse</t>
  </si>
  <si>
    <t>04/04/2018</t>
  </si>
  <si>
    <t>dani--99833</t>
  </si>
  <si>
    <t xml:space="preserve">Ils t’annonce un prix on remplis tout les critères qu’il nous demande et quand ils voyaient qu’on est en règle ba là ils cherchent la petite bête pour vous voler 1 ou 2€ de plus par mois du jamais vue. Je leur ai fourni un relever d’information comme ils mon demander à 50% de bonus ils m’on dit ok mais ils nous faut encore d’autre relever pour confirmer que vous êtes bien assuré depuis plus de 3 ans.  Ok pas de souci je peut comprendre et du coup je leur ai bien fourni le reste de relevé d’information. Ba du coup après ils me rappelle a me dire que ils ne peuvent pas me faire a 50% parsque apparement ce n’est pas possible j’en sais pas trop rien soite. Même avec les document devant leur yeux ils ne veulent rien savoir. Si ils disent non ba c’est non chapeau ??????. Tout sa pour me gratter 2€ en plus par mois c’est une honte!!!! </t>
  </si>
  <si>
    <t>07/11/2020</t>
  </si>
  <si>
    <t>xavier-a-117115</t>
  </si>
  <si>
    <t xml:space="preserve">Établissement du contrat rapide.
Bon accompagnement du service client.
Prix correct au vu de la voiture.
A voir désormais le suivi et l’accompagnement en cas de sinistre, etc. </t>
  </si>
  <si>
    <t>15/06/2021</t>
  </si>
  <si>
    <t>kahina-103932</t>
  </si>
  <si>
    <t>Les conseillers que j’ai eu au téléphone ont su me proposer les meilleures garanties en fonction de mon budget et de ma demande (reste raisonnable sachant que c’est le premier véhicule que j’assure et que je suis jeune conductrice) Bonnes garanties proposées.. Reste à voir maintenant si cela suit en cas de pépin !
Service client très disponible et professionnel ????
Carte verte reçu rapidement et même en plusieurs fois ??
Je recommande L’olivier !</t>
  </si>
  <si>
    <t>rems-104063</t>
  </si>
  <si>
    <t>J'ai été deux ans affilié chez eux. Ce fut la première et dernière fois. Vraiment on ne peux pas faire pire. Vous n'avez pas d'interlocuteur en cas de problèmes, toutes les démarches administratives sont interminables et leur espace personnel internet est un concentré de dysfonctionnement avec une ergonomie déplorable. Un exemple ? J'ai demandé à plusieurs reprise (mail et téléphone) une rupture du contrat car j'ai quitté mon poste, mais rien y fait, je me retrouve à payer quatres mois de cotisations supplémentaires pour rien. À cella s'ajoute un remboursement ras les pâquerettes pour des cotisations énorme! J'ai qu'une chose à dire "fuyez pauvre fou"...</t>
  </si>
  <si>
    <t>12/02/2021</t>
  </si>
  <si>
    <t>mbemba-p-130102</t>
  </si>
  <si>
    <t>Je suis jeune permis et c'est ma première assurance. 
Pour le moment je suis satisfaite.
Les prix semblent correctes, et c'est très faciles de faire son devis.</t>
  </si>
  <si>
    <t>tbj-90127</t>
  </si>
  <si>
    <t xml:space="preserve">Et encore 1 étoile pour satisfaction c'est bien par exemple qu'on ne peut pas laisser moins. </t>
  </si>
  <si>
    <t>02/06/2020</t>
  </si>
  <si>
    <t>brera-a-123716</t>
  </si>
  <si>
    <t>Dommage de ne pas prendre en compte tous les détails évoqués lors de l'entretien : celle qui aurait du avoir la gestion de cet espace personnel est notre fille Amélie sur son adresse mail comme cela avait été stipulé.</t>
  </si>
  <si>
    <t>17/07/2021</t>
  </si>
  <si>
    <t>martial-c-122834</t>
  </si>
  <si>
    <t xml:space="preserve">le niveau de prix est très cher,  et plus du tout compétitif maintenant  par rapport aux autres organismes et le service client est  moyen, pas à l'écoute </t>
  </si>
  <si>
    <t>08/07/2021</t>
  </si>
  <si>
    <t>s187259-136049</t>
  </si>
  <si>
    <t>Une gestion de sinistre catastrophique , une perte de temps et une societe d'expertise ELEX incompetente qui ne veulent pas prendre en compte leurs multiples erreurs . 
De plus j'invite tout les assures a revoir en detail leur contrat , lisez bien les dizaines de pages afin de vous assurer si votre contrat couvre bien votre perte . 
je ferai plus de commentaires avec precision une prochaine fois afin de pouvoir aider ces assures .
De plus a noter au passage d'une tres forte augmentation des cotisations pour 2021/2022 .
Vous pouvez vous assurer beaucoup mieux ailleurs et pour moins chere .</t>
  </si>
  <si>
    <t>05/10/2021</t>
  </si>
  <si>
    <t>deska-139260</t>
  </si>
  <si>
    <t>Ayant souscrit chez l'olivier assurance grâce à une prime de 50€ promise pour souscription d'une assurance auto pour un véhicule électrique (toutes les conditions étant remplies).
Je déchante très rapidement, en effet cette prime ne m'a jamais été versée malgré de multiples appels, des excuses sont toujours trouvées par les conseillers, et ces derniers devant me tenir au courant ne le font jamais.
Après quelques heures, en cumul, passées au téléphone avec leur service, le virement est soit disant effectué le 26/10, mais plus de 15jours après toujours rien de mon côté.. le spectacle continu.. 3 mois après la date théorique du versement de cette prime.
J'ai vraiment l'impression qu'on se moquer ouvertement de moi!</t>
  </si>
  <si>
    <t>luzeronde-56101</t>
  </si>
  <si>
    <t>bonjour, j'ai 2 voitures et DA m'a envoyé 2 devis à prix imbattable. J'ai téléphoné ce matin pour savoir les % d'augmentation des 5 dernières années des contrats auto. "Impossible de vous les donner"  m'a t on répondu. Ne serait ce pas parce que les hausses sont très élevées après le prix d'appel à la souscription ? C'est surement la réponse. De ce fait je pense ne pas souscrire chez Direct Assurance.</t>
  </si>
  <si>
    <t>19/07/2017</t>
  </si>
  <si>
    <t>mnafekh-112965</t>
  </si>
  <si>
    <t xml:space="preserve">Mon frère a subi un accident très grave ( tromatise crânien) en 1999
déficit fonctionnel permanent (DFP) 80%.
MATMUT a classé son dossier et a bien profité de sa situation très fragile ( incapable de gérer ses affaires). 
nous avons saisi MATMUT devant le tribunal , ce dernier a accepté une expertise judiciaire .
MATMUT n'a jamais accepté la décision de tribunal et a  engagé un détectif privé pour espionner la vie privée de mon frère et sa famille .
MATMUT a traité le cas de mon frère avec beaucoup de bassesse et ils ont refusé le dédommagement et l'aggravation. 
</t>
  </si>
  <si>
    <t>07/05/2021</t>
  </si>
  <si>
    <t>dav-89901</t>
  </si>
  <si>
    <t>Je me suis inscrite il ya 1 semaine je leur est demandé une attestation professionnelle qui atteste que j'utilise mon véhicule dans le cadre professionnel je suis auxiliaire de vie et ils ne veulent pas cest normal ?
Quand je vois tous les commentaires négatif jai peur ...</t>
  </si>
  <si>
    <t>25/05/2020</t>
  </si>
  <si>
    <t>jacquesmartain-52579</t>
  </si>
  <si>
    <t>longue attente pour avoir votre quittance et vignette verte.Il manque toujours un papier pour finaliser meme quand vous les envoyez en lettre recommanndé et que vous recevez l'avis de reception on vous repond ON LES A PAS RECU 
LAMENTABLE</t>
  </si>
  <si>
    <t>20/02/2017</t>
  </si>
  <si>
    <t>mustapha-b-124736</t>
  </si>
  <si>
    <t>Je trouve que service direct assurance répond à de manière très clair à mes questions, je suis satisfait et facile à gérer sur internet, aucune difficulté à faire le choix de l'assurance.</t>
  </si>
  <si>
    <t>camilletr-71400</t>
  </si>
  <si>
    <t>Très mécontente de la prise en charge de mon véhicule en panne. 3 appels auprès de l'assistance et plus de 2 heures d'attente avec un nourrisson par 4 degrés. Tout cela à cause d'une erreur des conseillers
Bref je ne conseille pas</t>
  </si>
  <si>
    <t>18/02/2019</t>
  </si>
  <si>
    <t>bouna-11659</t>
  </si>
  <si>
    <t>problème de tiers payant avec les établissements de santé essentiellement privé (manque de conventionnement) obligation d'avancer ce qui est assez pénalisant + de reste à charge</t>
  </si>
  <si>
    <t>17/07/2017</t>
  </si>
  <si>
    <t>nico-85615</t>
  </si>
  <si>
    <t>Lamia, merci pour votre accueil téléphonique de ce jour.</t>
  </si>
  <si>
    <t>07/01/2020</t>
  </si>
  <si>
    <t>laetitia--95718</t>
  </si>
  <si>
    <t xml:space="preserve">C est dommage qu il ni y et pas zéro étoile car cette assurance santévet ne les vaut même pas. Assurance fantôme incapable de répondre aux mails ou au appels téléphoniques j espère qu ils verront mon message et me rappelleront afin que je leur explique mon mécontentement et leur niveau d incompétent .
À fuir à bannir. </t>
  </si>
  <si>
    <t>SantéVet</t>
  </si>
  <si>
    <t>prout-101268</t>
  </si>
  <si>
    <t>cette assurance est un moyen de plus de soutirer de l argent aux propriétaires soucieux de la santé de leurs compagnons .Ils sont incapables de réceptionner des documents via internet .et vous rembourse pas ce qu ils disent dans les termes de leur contrat .exemple j ai fit castrer mon chien avec un contrat ou 100%des soins moins une franchise de 20% et bien sur 260 euros ils m ont gentillement accordé60 euros car c'est une castration de convenance et que c 'est prix en compte par un forfait et non par la couverture des soins chirurgicaux!!!!
ne vous assurez surtout pas chez eux !!!!!</t>
  </si>
  <si>
    <t>11/12/2020</t>
  </si>
  <si>
    <t>vincent-p-124853</t>
  </si>
  <si>
    <t xml:space="preserve">Tres satisfait du site (très clair et complet) et des echanges avec les conseillers, 
Un très bon rapport qualité:prix
Travail très professionnel
je conseille direct assurance </t>
  </si>
  <si>
    <t>gerard-r-117221</t>
  </si>
  <si>
    <t>Les tarifs sont très attractifs pour les diverses couvertures proposées.
Un dépannage rapide et efficace en ce qui  concerne l'un de mes véhicules.
Personnel sympa et très explicite au téléphone.</t>
  </si>
  <si>
    <t>16/06/2021</t>
  </si>
  <si>
    <t>rubenp91-90361</t>
  </si>
  <si>
    <t xml:space="preserve">Actuellement chez Pacifica , mon mari et moi-même rencontrons des problèmes suites au vol de notre voiture en septembre. En, effet il est très compliqué d'avoir des nouvelles de leurs pars et ils ne font pas les démarches en tant et en heure. Laissant traîner les choses , encore maintenant Juin 2020. Nous sommes dans l'attente d'un remboursement auprès de notre organisme de location de voitures. Ils avaient estimés un certain montants, qu'ils n'ont pas honorées et ne répondent quand on essaye de les contactés. Nous avons même dû payer des mensualités pour notre voiture volée depuis 6 mois , sans remboursement de leurs pars. 
Nous sommes furieux, car encore entrain de payer une voiture VOLÉE. </t>
  </si>
  <si>
    <t>09/06/2020</t>
  </si>
  <si>
    <t>dissard-l-112072</t>
  </si>
  <si>
    <t>je suis satisfaite du service client. bon accueil téléphonique, explication claire, réponses précises a toutes mes questions.  rien de plus a rajouter.</t>
  </si>
  <si>
    <t>29/04/2021</t>
  </si>
  <si>
    <t>adrien-pierre-o-116765</t>
  </si>
  <si>
    <t>Simple, efficace et pratique.
Très bon accueil.
Compétitif et réactif.
Je recommande et n'hésiterai pas à les contacter à nouveau si l'occasion se présente.</t>
  </si>
  <si>
    <t>11/06/2021</t>
  </si>
  <si>
    <t>mymy-85685</t>
  </si>
  <si>
    <t>Parfait.compétent. A l,écoute des gens et très  patient.je suis vraiment  satisfaite  de cette prestation. Je recommande cet assureur et vous invite à  en faire de même.Parfait.Competent.A l'écoute des  gens.</t>
  </si>
  <si>
    <t>xouxou91-60784</t>
  </si>
  <si>
    <t xml:space="preserve"> Petite histoire d'un assuré lambda
        Assuré à la macif depuis janvier 1994, je n'ai jamais eu le moindre sinistre durant ces 24 années.
Le samedi 27 Mai 2017 nous sommes cambriolés en pleine nuit pendant notre sommeil.
Réveillés par le bruit du cambriolage, je parviens à maitriser le cambrioleur et fort heureusement pour nous, nous récupérons l'ensemble du butin... Dégats : un carreau cassé et des traces de coups sur différentes ouvertures de la maison,  un peu de frayeur, du temps passé à la gendarmerie et ensuite au tribunal car le cambrioleur sera jugé en comparution immédiate le lundi et condamné à deux ans de prison.
Coût des réparations évalué par l'expert de la macif environ 1000€.
Aucune entreprise nous contacte car normalement dans un souci de maitrise des coûts les assurances proposent leurs propres artisans. Devant le manque de réaction et de suivi, je commande et je pose moi même le double vitrage qui a été fracturé car la fenêtre est resté sans réparation plus de trois semaines.
Je décide d'assumer les réparations étant bricoleur.
Aucune réparation n'est effectué, aucune indemnité n'est versé, coût pour la macif ZERO.
 Je reçois ce jour un courrier de résiliation de mon assurance habitation pour une sombre histoire
de garage transformé soit disant en local commercial par ma fille autoentrepreneur.
Et tout cela selon les déclaration d'un expert qui n'a jamais fait son travaille de suivi mais il a certainement facturé grassement son intervention.
J'aide ma fille qui se lance dans l'entrepreneuriat et l'artisanat et du cout il faut payer des assurances.
Elle aurait travaillé dans sa chambre, il aurait aussi fallut payer ??
La macif me demande même si ma fille utilise un des mes véhicules à des fins professionnelles alors qu'elle a sa propre voiture. La suspicion est totale Mme X.
Je vous souhaite bon courage pour vous réassurer quand vous avez été résilié.
Je suis obligé de m'assurer et je ne rentre plus dans les critères car résilié.
Un petit assuré qui n'aime pas les problèmes et assume ces responsabilités.
</t>
  </si>
  <si>
    <t>24/01/2018</t>
  </si>
  <si>
    <t>courtier-st-brieuc--100830</t>
  </si>
  <si>
    <t xml:space="preserve">j'etais redirigé sur ce forum par le navigateur ,j'etais surprise de lire les commentaires. Je suis courtier et je travaille avec plusieurs compagnies d'assurance pour comparer les devis et sincèrement je pense que dans la majorité des cas le contrat est choisi uniquement en fonction du prix et non pas les besoins du client. les besoins différent d'une personne à une autre et d'une année à une autre et aussi selon l'age. il faut bien choisir son contrat en fonction de ce qu'on consomme ( soins dentaires, ou hospitalisation , si on a refait les lunettes alors l'année d’après je vais baisser cette garantie et choisir une autre etc ) le tableau de garantie est bien clair même si on ne voit que des pourcentages mais y a pas de mal a demander au conseiller de les expliquer et de donner des exemples de remboursement. 
 </t>
  </si>
  <si>
    <t>sysanoin-59581</t>
  </si>
  <si>
    <t>en litige pour invalidité, après expertise et contre expertise pour une maladie neurologique invalidante et évolutive: refus de prise en charge; déni de diagnostic de médecin neurologue, incohérence dans le compte rendu de l'expert. 2 ans1/2 de procédures et de refus</t>
  </si>
  <si>
    <t>11/12/2017</t>
  </si>
  <si>
    <t>kellrorr91-77348</t>
  </si>
  <si>
    <t xml:space="preserve">Ont toujours été là quand j'en ai eu besoin, serviable et rassurant
Et en plus offre des rabais pour votre fidélité ce qu'aucun autre assureur ne m'a jamais fait </t>
  </si>
  <si>
    <t>04/07/2019</t>
  </si>
  <si>
    <t>tomm31-137892</t>
  </si>
  <si>
    <t>Beaucoup de souci avec cette mutuel. Service client injoignable et qui doit manquer de moyen étant donné que les réponses ne sont jamais claire. Tarif selon votre contrat. 
Difficile de se faire rembourser, les factures sont souvent remise en cause. Très difficile de faire une réclamation.</t>
  </si>
  <si>
    <t>20/10/2021</t>
  </si>
  <si>
    <t>nico-78044</t>
  </si>
  <si>
    <t xml:space="preserve">trais satisfait des estérification  donner par mon locuteur </t>
  </si>
  <si>
    <t>30/07/2019</t>
  </si>
  <si>
    <t>legrec-85850</t>
  </si>
  <si>
    <t>J'ai demandé un devis et je suis surpris par les tarifs, 2 à 3 fois plus chers que chez les autres assureurs pour une même voiture et les même conditions. Sans doute y-a-t-il des imbéciles dans sa clientéle</t>
  </si>
  <si>
    <t>13/01/2020</t>
  </si>
  <si>
    <t>martin-t-117095</t>
  </si>
  <si>
    <t>Simple et tarif imbattable, je recommande ! Les conseillers sont sympathiques et à l’écoute des clients, un grand merci à eux et particulièrement à Maxime !</t>
  </si>
  <si>
    <t>derhen-h-105800</t>
  </si>
  <si>
    <t>Très bon contact pour la souscription, bon renseignements aux questions.
Pour le moment tout est simple, et tarifs plus que corrects.
A tester désormais sur le long-terme.
Je recommande.</t>
  </si>
  <si>
    <t>08/03/2021</t>
  </si>
  <si>
    <t>eric-58490</t>
  </si>
  <si>
    <t xml:space="preserve">Prévoyance  pour tns inificace et non respecté .
Bonjour mr ou md je suis dans l'impasse ce le père qui vous écrit mon fils étant dans l'incapacite de s'occupe de ces document est de lui meme je l'hébèrge chez moi .
Mon fils ce fait renverse par une voiture le 12/02/2016 il circulait en moto , hospitalise 1 mois a la timone hôpital marseille , puis 1 mois centre psyiatrique valvert a marseille ,niveaux physique ça va beaucoup mieux
mais psykologiquement il a recu un grave choc postraumatique il est depressif est devenue trés violent , il est suivie par un psykiatre .est il a très malade.
Mon fils avait une société dans le btp est a souscrit avec L'assureur Swisslif prévoyance une assurance perte de revenue est explotation 360 € par mois après 6 mois arrêt de travail regle en totalite par swisslif 6000 € mois .
Une expertise auprès de leur expert a eu lieux est le psykiatre a reconue notre patholigie est d'accord pour continué les arret de travail .
Swisslif arrète de payé en disant que ce pas avéré que l'accident de moto est la cause de pathologie est qu'il faut prouvé le contraire avec certificat medical .
Mon fils n'a jamais eu de problème de sante il n'a que 24 ans ,quoi faire pour me defendre merci de me répondre .
Conaissez vous une association ou un avocat qui peux me defendre
Mes salutations les plus distingué.
Veuillez agréé mes salutation les plus distingué .
</t>
  </si>
  <si>
    <t>28/11/2017</t>
  </si>
  <si>
    <t>larbi-103408</t>
  </si>
  <si>
    <t xml:space="preserve">J’ai eu un sinistre suite à une propagation sur mon véhicule  le 31/12/2020 et je suis toujour en attente de mon remboursement l’expert a tout valider mes sa fait 30 jour que direct assurance me fait tourner droite à gauche l’expert les relance toute les semaines mes il ne réponde ni à l’expert ni à moi je tombe sur des personnes inexpérimentées du Maroc alor que je suis censée avoir des conseiller français à fuir cette assurance peut vous pousser au suicide surtout en cette période de Covid </t>
  </si>
  <si>
    <t>29/01/2021</t>
  </si>
  <si>
    <t>guilloud--96627</t>
  </si>
  <si>
    <t>Service client défaillant aucune réponse à mon recommandé lors de mon rachat total de prêt, idem sur le contact par mail, idem via courtier. A fuir.
Compagnie d'assurance qui est prompte à réclamer la prime d'assurance annuelle, moins ensuite à répondre à ses clients...</t>
  </si>
  <si>
    <t>MetLife</t>
  </si>
  <si>
    <t>25/08/2020</t>
  </si>
  <si>
    <t>patrick-d-108229</t>
  </si>
  <si>
    <t xml:space="preserve">je ne suis pas satisfait du tarif 
car une augmentation de 20% sur le tarif entre 2019 et 2020 ce n'est pas acceptable.
je cherche a changer d'assurance
</t>
  </si>
  <si>
    <t>lbc78630-89120</t>
  </si>
  <si>
    <t>A fuir au plus vite, suite au déces de leur adhérent la CARAC a mis 6 semaines de plus pour traiter le dossier que les autres compagnies et n'a toujours pas réglé 3mois 1/2 apres le deces de l'adhérent.</t>
  </si>
  <si>
    <t>Carac</t>
  </si>
  <si>
    <t>24/04/2020</t>
  </si>
  <si>
    <t>gerard-a-126054</t>
  </si>
  <si>
    <t>Client depuis des années avec aujourd'hui 3 contrats je suis satisfait de l'acceuil téléphonique, des conseils et tarifs qui permettent plusieurs contrats.</t>
  </si>
  <si>
    <t>hermine-77784</t>
  </si>
  <si>
    <t xml:space="preserve">LAXISME INCOMPETENCE MAUVAISE FOI UNE GESTION DE SINISTRE DESASTREUSE Aboutissant à une action en responsabilité après 3 ans de gestion calamiteuse et irresponsable L ENFER
</t>
  </si>
  <si>
    <t>20/07/2019</t>
  </si>
  <si>
    <t>myriam-76036</t>
  </si>
  <si>
    <t xml:space="preserve">Assureur qui n'assure rien du tout. La salle de bain sinistrée, des moisissures, du carrelage gondoles c'est pas grave. L'expert estime que je peux passer la javel moi-même, oui oui. Ça fait rire tout le monde l'histoire de la javel sur des joints de carrelage. Mais la gmf y croit.
Je suis assurée reconstruction valeur à neuf, mais gmf applique quand même une vétusté.
Impossible de joindre un conseiller pour discuter. 
Le dossier est transféré de services en services. 
</t>
  </si>
  <si>
    <t>17/05/2019</t>
  </si>
  <si>
    <t>casual-126704</t>
  </si>
  <si>
    <t>Prix attractif à l inscription mais qui augmente vite d année en année..
Pas sur de conseiller cette assurance à mon entourage, d ailleurs, entrain de voir pour changer.</t>
  </si>
  <si>
    <t>jam-103591</t>
  </si>
  <si>
    <t>Je ne suis pas déçu de la gestion de sinistre et de la rapidité a laquelle cela c'est fait sans inquiétude ni mauvaise surprise. Ainsi qu'un suivi de mes démarches .Merci.</t>
  </si>
  <si>
    <t>03/02/2021</t>
  </si>
  <si>
    <t>marco1967-100471</t>
  </si>
  <si>
    <t xml:space="preserve">Communication carrément dans l'incompétence.
Changement perpétuel d'interlocuteur ce qui nuit encore plus à la communication.
Aucun esprit mutualiste malgré la publicité faite. 
Mieux vaut ne pas avoir de sinistre, car cela devient un enfer. Ce n'était pas le cas il y a une dizaine d'années.
La MAIF est devenu un assureur comme un autre voir pire compte-tenu de leur incompétence.
Enfin, mieux vaut connaître les conditions générales car, eux ne les connaissent pas.
</t>
  </si>
  <si>
    <t>23/11/2020</t>
  </si>
  <si>
    <t>gregory-b-116846</t>
  </si>
  <si>
    <t>Tres bonne assurance rapide et simple je recommande plus qua prendre la route pour des bonne balade entre amis en etant bien couvert avec mon assurance april</t>
  </si>
  <si>
    <t>12/06/2021</t>
  </si>
  <si>
    <t>petula-b-115124</t>
  </si>
  <si>
    <t>dommage que vous n'assurez pas tous les véhicules car j'ai un range rover que vous n'assurez pas. Aussi le tarif est parfois correct sur certains véhicule pas pas sur d'autres. Merci</t>
  </si>
  <si>
    <t>28/05/2021</t>
  </si>
  <si>
    <t>andrey-v-114535</t>
  </si>
  <si>
    <t>Il n'y a pas de service d'assistance à la clientèle (j'ai été double encaisse, et tous mes lettres ont été ignore). Les type du contrat ne peuvent pas être modifiés. Il est extrêmement difficile de le clôture. Je vais partir de Direct Assurance dans les plus brefs délais.</t>
  </si>
  <si>
    <t>22/05/2021</t>
  </si>
  <si>
    <t>florine-d-112164</t>
  </si>
  <si>
    <t xml:space="preserve">je suis satisfaite du service
les prix me conviennent
simple et rapide
je suis satisfaite du service
les prix me conviennent
simple et rapide
je suis satisfaite du service
les prix me conviennent
simple et rapide
</t>
  </si>
  <si>
    <t>mga--109592</t>
  </si>
  <si>
    <t xml:space="preserve">Très mauvais il mon fait payer les frais dossier plus 2mois d'assurance pour me dire après qu il pouvait pas m assurer donc aucun remboursement pour moi ca reste des beaux parleur </t>
  </si>
  <si>
    <t>bon-j-126305</t>
  </si>
  <si>
    <t xml:space="preserve">Je suis satisfaite du service bon rapport qualité prix juste franchise un peu chère  cependant je recommanderai l'olivier à mes amis
Cordialement Mme bon </t>
  </si>
  <si>
    <t>martinez-a-123805</t>
  </si>
  <si>
    <t>Interlocutrice très compétente, aimable, et efficace au téléphone. Le prix est attractif et les critiques des internautes sont globalement élogieuses.</t>
  </si>
  <si>
    <t>fabien-j-126940</t>
  </si>
  <si>
    <t>Bon prix le site est assez facile d’utilisation je recommande April moto au jeunes motard n’ayant pas beaucoup de moyen les prix sont très raisonnables !</t>
  </si>
  <si>
    <t>07/08/2021</t>
  </si>
  <si>
    <t>bryan-b-107320</t>
  </si>
  <si>
    <t>Rapidité, éfficacité. Permet aux jeunes conducteurs d'avoir une assurance à bas prix. 
Souscription de l'assurance rapidement et très bon réactivité des commerciaux.</t>
  </si>
  <si>
    <t>20/03/2021</t>
  </si>
  <si>
    <t>aa-88736</t>
  </si>
  <si>
    <t>aujourd'hui ca fait plus de 2 mois que j'attends un retour de la gmf sur un sinistre de wc aucune nouvel aucun suivit 
celà fait 10 ans que je paye une assurance qui ne fait rien pour ses clients 
en plus de ca il ne prenne pas les dégâts à leur charge
j'ai halluciné car ils ont mis deux mois pour me dire ça et en plus le sinistre a augmenté vu le temps de réactivité
je vous déconseille fortement cet assurance</t>
  </si>
  <si>
    <t>07/04/2020</t>
  </si>
  <si>
    <t>bennazar--100656</t>
  </si>
  <si>
    <t xml:space="preserve">Je suis déçu, lorsque veux partir de chez eux, ils trouvent toujours un papier qui manque, mon père décédé il veulent pas arrêté assurance, même là voiture à là casse. </t>
  </si>
  <si>
    <t>26/11/2020</t>
  </si>
  <si>
    <t>fabrice-l-112543</t>
  </si>
  <si>
    <t xml:space="preserve">Un devis valide au téléphone qui ne l’est plus en agence ! 
Impossible de discuter avec l’agent enfermé dans son logiciel et ses normes!
Assurément inhumain </t>
  </si>
  <si>
    <t>cecil-g-112871</t>
  </si>
  <si>
    <t xml:space="preserve">Tarifs intéressants.
Rapidité de souscription.
Je verrais le reste à l'usage, la qualité des prestations si je dois, un jour, en avoir utilité, et surtout la qualité des remboursements s'il y a lieu.
</t>
  </si>
  <si>
    <t>06/05/2021</t>
  </si>
  <si>
    <t>didier-b-116682</t>
  </si>
  <si>
    <t>Trop chère , j'ai fait changer le pare brise et 128€ de franchise!
1400 € d'assurance et payer une franchise de 128€ pour un pare brise à 400€ s'en est trop.
je change.</t>
  </si>
  <si>
    <t>jean-francois-l-112513</t>
  </si>
  <si>
    <t xml:space="preserve">je suis satisfait du service et des conseils qui m'ont été donnés.
personnel compétent et efficace , les tarifs sont très attractifs.
je recommande vivement. </t>
  </si>
  <si>
    <t>alex-70015</t>
  </si>
  <si>
    <t xml:space="preserve">payer une assurance habitation avec option vol.
Se faire voler sans effraction, plainte en gendarmerie etc..
Maaf veut rien savoir, motif: vous n'avez pas d'option bijoux, mais vous ne pouvez la souscrire seulement si leur valeur dépasse 1000 euros, moins que 1000 pas d'option bijoux, donc pas de remboursement...  On tourne en rond...A quoi sert l'option vol dans ce cas ?! 
: NUL NUL NUL. On est juste des vaches à lait! Au revoir la Maaf!
</t>
  </si>
  <si>
    <t>08/01/2019</t>
  </si>
  <si>
    <t>juju-66865</t>
  </si>
  <si>
    <t>Ma voiture est assurée à direct assurance tous risques et assistance 0 km depuis plus de 2 ans . Jamais j ai eu des soucis jusqu'au lundi dernier ou je revenais de mes vacances après l île de ré je suis montée à Paris et le lundi c était le retour à Bordeaux.  Sur le départemental 2020 sur une montée  a double sens sans terre plein mon pneu gauche  d avant s éclate alors que j étais à 110 km/h et mon véhicule se deporte à gauche sur la voie  a contre sens . Vu que c etait une descente pour les usagers de cette voie j ai appuyer de toutes mes forces sur le champignon pour degager cette voie et me réfugier sur une petite voie qui menait a une ferme. J ai appelé l assurance qui m a demandé d appeler l assistance qui n a voulu rien savoir parce que : d apres eux ... ecoutez bien ... j etais sortie de la voie rapide donc eux ( l assistance ) ne pouvait plus rien faire . Il falait que je reste sur la voie rapide même si les voitures descendait a 110 km/h . Comme j avais pris cette intersection juste a quelques mettres de la voie rapide pour me protégée et ben l assistance a refusé de me venir en aide . Et le mardi quand j ai expliqué mon mécontentement au service clientèle ils ont appuyé l avis de l assistance.  Il fallait que je reste sur la voie rapide même si les véhicules descendaient vite il fallait y laisser même  ma vie pour être assisté.....  comprennez vous cela ... ????? Je me retiens de les définir.  J attends juste mon RI .</t>
  </si>
  <si>
    <t>14/09/2018</t>
  </si>
  <si>
    <t>vony-108605</t>
  </si>
  <si>
    <t>Un service client nullissime ! Des contacts par mails à plusieurs reprises, aucune réponse si ce n'est un questionnaire de satisfaction sur le service !!
Comment font-ils les décomptes des remboursements ? très opaque, pas de relevé... Par contre, nombreux coiups de fils pour adhérer à une prise en charge plus élevée... Très déçue, à éviter +++</t>
  </si>
  <si>
    <t>phildr-103481</t>
  </si>
  <si>
    <t>Ce soit disant assureur rechigne à rembourser dès que la facture dépasse la somme que vous avez cotisé !
Echange téléphonique exécrable avec incitation à changer d'assureur.
Trop facile !
Aucun intérêt à prendre une telle assurance</t>
  </si>
  <si>
    <t>31/01/2021</t>
  </si>
  <si>
    <t>jeanmi-101082</t>
  </si>
  <si>
    <t>Malgré plusieurs mails et courrier en recommandé aucune réponse . demande de rachat covid délai de paiement non respecter à ce jour. Assureur à éviter .Aucune ligne téléphonique  ne répond un vrai scandale en 2020. Heureusement que GENERALI ne gère pas les urgences dans les hopitaux en ce moment....Quel regret d'avoir pris les contrats santé, prévoyance et retraite par mon entreprise. ASSUREUR A BANNIR DE TOUS COMMERCES</t>
  </si>
  <si>
    <t>assurances-professionnelles</t>
  </si>
  <si>
    <t>07/12/2020</t>
  </si>
  <si>
    <t>frendo-77695</t>
  </si>
  <si>
    <t>Très bonne prise en charge de la part d'Erika, accueil et conseils très professionnels. Merci.</t>
  </si>
  <si>
    <t>17/07/2019</t>
  </si>
  <si>
    <t>alice-vandermouten-51542</t>
  </si>
  <si>
    <t xml:space="preserve">très déçu , communication nulle, ne prends pas la défense de ses assurés même quand sur un rond point on vous refuse la priorité ! </t>
  </si>
  <si>
    <t>22/01/2017</t>
  </si>
  <si>
    <t>maclary-19844</t>
  </si>
  <si>
    <t>Dans mon contrat habitation je suis assuré pour les appareils nomades, ma fille se fait voler son huawei p10 pro 699€ en 2017. Remboursé 24€ 
Estimation actuelle matmut 299€ sans aucune explication et malgré les justificatifs - 40% vetusté - 150€ franchise, indemnisation scandaleuse pour une cotisation de 10€ mensuelle.
J'ai demandé une révision de l'indemnisation</t>
  </si>
  <si>
    <t>christophehavard1-70930</t>
  </si>
  <si>
    <t xml:space="preserve">Service client de la complémentaire santé de très mauvaise foi,  se méfier. J'ai résilié par courrier simple en septembre 2018  pour décembre (je crois que c'est très grave), j'ai reçu en janvier 2019 un courrier refusant ma résiliation de septembre au motif que le courrier reçu en septembre avec ma demande de résiliation n'était pas en recommandé !!!! Ils prétendent avoir répondu à mon courrier papier par courrier électronique à moi et mon assureur. Aucun de nous deux n'a reçu de mails. Bref, pour être tranquille j'ai du unilatéralement mettre fin aux prélèvements. Mutuelle à éviter.
Christophe HAVARD
</t>
  </si>
  <si>
    <t>04/02/2019</t>
  </si>
  <si>
    <t>momo-78411</t>
  </si>
  <si>
    <t>La protection juridique MAIF ne sert à rien car la maif se contente d'écrire un courrier type que vous pouvez trouver facilement sur internet. MAIF ne répond pas à ses adhérents quand c'est un peu compliqué.</t>
  </si>
  <si>
    <t>14/08/2019</t>
  </si>
  <si>
    <t>gerard-r-105127</t>
  </si>
  <si>
    <t>cette année vous avez augmenté le contrat auto de 3]°. J'ai effectué 1500KMS dans l'année . Cette augmentation n'est pas justifiée pour cette année. Etant abonné a auto plus Beaucoup d'assurance n'ont pas augmenté d'aprés le journal.</t>
  </si>
  <si>
    <t>alone-86338</t>
  </si>
  <si>
    <t>catastrophique depuis 3 mois, je suis censé être à 14 euros par mois avec l'acs mais on me prélève 67 euros. Pas d'interlocuteur posssible, ça fait 5 fois que je vais à mon agence mais le personnel ne sait pas quoi me dire ,je vais résilier !</t>
  </si>
  <si>
    <t>25/01/2020</t>
  </si>
  <si>
    <t>guillaume-g-130433</t>
  </si>
  <si>
    <t>Rapide, simple et efficace
Je ne connaissais pas cette assurance, grâce au Lynx c'est fait
Si toutefois je devais la conseiller à une tierce personne, je le ferais sans hésiter</t>
  </si>
  <si>
    <t>ploufi-76048</t>
  </si>
  <si>
    <t xml:space="preserve">Excellente couverture pour une famille </t>
  </si>
  <si>
    <t>18/05/2019</t>
  </si>
  <si>
    <t>myriam-b-132823</t>
  </si>
  <si>
    <t xml:space="preserve">C’est un peu trop tôt pour mettre un avis, mais pour l’instant je peux dire que direct Assurance est moins chère que les concurrents. Voila pour l’instant je n’ai pas d’avis concrets </t>
  </si>
  <si>
    <t>djo-96450</t>
  </si>
  <si>
    <t xml:space="preserve">Attente beaucoup trop longue pour ce faire rembourser et aussi quand on envoie un courrier je ne conseil pas du tout cette mutuelle dommage sur la publicité ils disait remboursements rapides?? Je pense que je vais changer à mon échéance du mois de décembre </t>
  </si>
  <si>
    <t>19/08/2020</t>
  </si>
  <si>
    <t>marine-b-124167</t>
  </si>
  <si>
    <t xml:space="preserve">Peu satisfaite pour un problème de prélèvement pas de nouvelle présentation ce qui n’est pas commercial pour moi ou du moins prévenir l’assurer avant! </t>
  </si>
  <si>
    <t>22/07/2021</t>
  </si>
  <si>
    <t>delannoy-e-128076</t>
  </si>
  <si>
    <t>Le prix me convient , envoie des documents très simple, signature électronique nickel.
Le 1er contact par téléphone a été rapide, à voir dans le temps.</t>
  </si>
  <si>
    <t>15/08/2021</t>
  </si>
  <si>
    <t>james-c-115033</t>
  </si>
  <si>
    <t>Les prix ne récompensent pas la fidélité ni le nombre de contrats souscrits.
Ils augmentent chaque année alors que le bonus augmente. Ils devraient au moins etre stables</t>
  </si>
  <si>
    <t>27/05/2021</t>
  </si>
  <si>
    <t>goumba-gbatongo-a-117859</t>
  </si>
  <si>
    <t xml:space="preserve">Je suis satisfait de la prestation. 
J'ai été très bien accueillis et j'aimerais que cela puisse continuer ainsi. 
je ravis d'être assurer par vous.  </t>
  </si>
  <si>
    <t>ft-93642</t>
  </si>
  <si>
    <t>Le prix est très intéressant beaucoup moins chère que d'autres assurances , je conseille, le prix sur les options ne sont pas élevées. Le devis est rapide</t>
  </si>
  <si>
    <t>19/06/2021</t>
  </si>
  <si>
    <t>gerard-g-95651</t>
  </si>
  <si>
    <t xml:space="preserve">devis vite établi mais j ai trouvé des meilleurs tarifs dans d' autres assurances 
surtout que ma concubine est deja cliente chez vous !
vous devriez faire des meilleurs prix quand on est plusieurs dans le meme logement 
</t>
  </si>
  <si>
    <t>29/07/2020</t>
  </si>
  <si>
    <t>merced-1411</t>
  </si>
  <si>
    <t xml:space="preserve">Le prix est très bien par rapport aux autres assurances. La souscription est facile et rapide, je vais pouvoir récupérer rapidement ma moto. Quelques options sont intéressantes à prendre. </t>
  </si>
  <si>
    <t>schlouch-b-110852</t>
  </si>
  <si>
    <t>Je suis satisfait du tarif.
Je n'ai pas eu de demandes particulières à faire pour l'instant.
On verra à l'usage si les garanties sont bonnes et le service client aussi.</t>
  </si>
  <si>
    <t>amaury-r-123700</t>
  </si>
  <si>
    <t>TRES CONTENT DU PRIX ET DE POUVOIR MODIFIER SON CONTRAT A VOLONTE AVEC LES OPTIONS QUE L ON PEUT ENLEVER ET AJUSTER A  SOUHAIT                          .</t>
  </si>
  <si>
    <t>enzo-d-115005</t>
  </si>
  <si>
    <t>Je suis satisfait du tarif est de la qualité du devis et les prix sont intéressants et très satisfait du service et de la propositions des tarif et très satisfaisante</t>
  </si>
  <si>
    <t>ouatik-c-129196</t>
  </si>
  <si>
    <t xml:space="preserve">Bon service d'assurance automobile avec des tarifs très intéressants.bon service d'assurance automobile avec des tarifs intéressants et un bon site très simplifié. </t>
  </si>
  <si>
    <t>emilie-d-131641</t>
  </si>
  <si>
    <t>Très contente de la qualité de vos service après de nombreuses années, les prix sont corrects et vous êtes très réactifs en cas de problème !!
La GMF est une assurance sur laquelle on peut compter !!</t>
  </si>
  <si>
    <t>nicolas-70784</t>
  </si>
  <si>
    <t xml:space="preserve">Bonjour,
je souhaite aujourd'hui partager mon expérience en temps que client dans cette société d'assurance.
Suite à un sinistre don je ne suis pas responsable , je prend contact avec mon agence ou tout c'est très bien passer dans un premier temps.
Ensuite viens le relai du service prise en charge pour les réparation de mon véhicule et LA quand je leur explique que je ne souhaite pas mettre ma voiture dans leur garage agréé ils vous explique alors que l'expert ne passe pas qu'il faut que je face les démarche moi même pour faire un devis et de leur faxer.... 
j'ai mis la matinée complete a recevoir et réespliquer la même chose.
 franchement je ne vous conseil pas du tout.
</t>
  </si>
  <si>
    <t>30/01/2019</t>
  </si>
  <si>
    <t>xineedwards-81115</t>
  </si>
  <si>
    <t>Merci beaucoup Sabrina, vous m'avez apporté beaucoup d'informations!</t>
  </si>
  <si>
    <t>19/11/2019</t>
  </si>
  <si>
    <t>gregory-85846</t>
  </si>
  <si>
    <t>Bonus au maximum. 2 bris de glace à 8 mois d'intervalle m'ont valu une résiliation abusive. Seule justification du conseiller : "Vous avez eu deux bris de glace trop rapprochés c'est un ordinateur qui calcule". Scandaleux</t>
  </si>
  <si>
    <t>jean-philippe-v-127617</t>
  </si>
  <si>
    <t>super expérience efficace et rapide merci beaucoup et nous avons déjà une voiture et nous renouvelons le contrat chez vous. Tout est très bien et très clair.</t>
  </si>
  <si>
    <t>11/08/2021</t>
  </si>
  <si>
    <t>rp49-74938</t>
  </si>
  <si>
    <t>Cliente depuis 2014</t>
  </si>
  <si>
    <t>10/04/2019</t>
  </si>
  <si>
    <t>simon-m-115775</t>
  </si>
  <si>
    <t>Très satisfait, Prix préférentiel par rapport  au devis de mon assurance actuelle (-250euros sur l'année), je vais regarder ce qu'il en est pour mes autres véhicules.</t>
  </si>
  <si>
    <t>02/06/2021</t>
  </si>
  <si>
    <t>isabelle-136372</t>
  </si>
  <si>
    <t>Sinistre grêle en août 2020. Délégation de travaux au prestataire Domus pour faciliter la prise en charge des réparations. Mon contrat spécifie un dédommagement sans application de taux de vétusté. Visite de l'expert qui n'a pris la peine de vérifier les dégâts sur le toit mais a pu noter les dégâts apparents sous la véranda. A ce jour, aucune réparation, aucun suivi, aucun courrier par courrier ou par mail. Les 4 devis des artisans sont systématiquement refusés car le montant d'indemnisation proposé par la GMF ne prend pas en compte l'ensemble des dommages à réparer. Pourtant les artisans sont venus constater avec précision la réalité des dégâts en montant sur le toit. Pire, dès que j'appelle, les agents GMF (qui ne sont jamais les mêmes et sont très difficiles à joindre - 20mn d'attente ou message de rappeler) me raccrochent au nez en cours de conversation ou ne ne me donnent de réponse satisfaisante et ce malgré un courrier envoyé avec les photos. Enfin, le service contentieux GMF me propose de payer à mes frais une contre expertise. Je conclue, après un an et demi (période durant laquelle, il a plu, neigé, etc.) que les dommages sont toujours là et peut-être même accentués.
Conclusion : une assurance pas chère mais qui vous indemnise mal ou pas du tout. A fuir</t>
  </si>
  <si>
    <t>gerard-104180</t>
  </si>
  <si>
    <t>bonjour ...je suis assuré chez direct assurance depuis fevrier 2016...le contract initial etait au prix de 301euros..et ca augmente toutes les années de facon importantes...puisque pour 2017..346 euros....2018...363 euros...2019...374 euros...2020...407 euros ...2021...440  euros ...j 'arrive a ce jour au prix des concurents avec de meilleurs garanties   et prises en charge ..je vais donc changer d'assurances....!!!!</t>
  </si>
  <si>
    <t>axy-64614</t>
  </si>
  <si>
    <t xml:space="preserve">Si je pouvais mettre 0 sur la satisfaction, ce serait fait. J'ai une ALD pour mon cancer de la thyroide et depuis Mars 2018: les remboursements sont dans tous les sens, parfois le lendemain, parfois des mois après. Gynécologie sans dépassement honoraire, ophtalmo,etc, on vous sort des "retenues forfaitaires", basées sur les frais inhérents à mon ALD. La blague.... Un devis est soumis depuis Mars, je n'ai toujours aucun réponse. Ah si, pardon .... Celle de la CPAM (oui oui) me disant non. Bah oui, je ne suis pas à affiliée à votre centre mais mon centre Sécu + Mutuelle renvoit la balle à la CPAM...
Bref, appréciation: a atteint le fond mais continue de creuser.
Si vous prospectez, si vous hésitez sur la MGEN.... Foyez, pauvres fous. </t>
  </si>
  <si>
    <t>thomajo-49524</t>
  </si>
  <si>
    <t xml:space="preserve">on a été assuré sans notre accord alors qu'on avait une mutuelle au travail et impossible de arrêter de plus on nous a collé une cotisation pour des indemnités journalières hospitalisation sans rien et bous appelez on vous dit de payer alors qu'on a rien demandé juste un devis en prévision du départ en retraite de mon mari.... </t>
  </si>
  <si>
    <t>24/11/2016</t>
  </si>
  <si>
    <t>jojanna-59204</t>
  </si>
  <si>
    <t xml:space="preserve">A fuir A fuir! je me suis fait avoir par les prix intéressants sur les comparateur mais c'est un piège. Payez le double mais fuyez cette assurance. J'ai eu la totale, Apres que j'ai tout vu et revu plus  de 1Heure 40 au téléphone, j'ai fourni toutes les pièces demandée, j'ai acheté ma moto. Le lendemain ils m'informe que je ne suis plus assuré. Des conseillers désagréables.  Meme apres ma demande de résilier le contrat ils ne se gênent pas de vous faire payer une mensualité. A évite à tout prix.  Heureusement je n'ai pas eu un sinistre avec eux, car la je pense c'est l'incompétence dans sa meilleure forme. </t>
  </si>
  <si>
    <t>serge-r-116653</t>
  </si>
  <si>
    <t>Suite à ma communication téléphonique la personne avec qui j'ai conversé, en l'occurrence Aminata, a été parfaite et m'a donné avec une grande gentillesse tous les renseignements que je voulais. Je l'en remercie vivement. 
Serge Rippert.</t>
  </si>
  <si>
    <t>nabil-e-113579</t>
  </si>
  <si>
    <t xml:space="preserve">Je suis satisfait du service. Le prix me semble correct. J'ai jamais eu de sinistre donc je ne peux pas dire plus puisque je n'ai jamais fait de demande.
</t>
  </si>
  <si>
    <t>nico-58819</t>
  </si>
  <si>
    <t>mauvaise assurance xxxxxxxxxxxxxxxxxxxxxxxxxxxxxxxxxxxxxxxxxxxxxxxxxxxxxxxxx</t>
  </si>
  <si>
    <t>14/11/2017</t>
  </si>
  <si>
    <t>richard-c-104996</t>
  </si>
  <si>
    <t>Insatisfait d'avoir a subir une augmentation de 30%  sur un tous-riques ( je pense à cause  2 impacts pare-brise réparés ???) théoriquement pris en charge mais au final payés par l'assuré.</t>
  </si>
  <si>
    <t>slh-76812</t>
  </si>
  <si>
    <t xml:space="preserve">La MAAF prent ses clients à la légère. Il font des contrats provisoire d'1mois pour bloquer le client et l'engager puis pendant ce mois ils se permettent de tout faire comme je pas valider le contrat si ça leurs paraît à risque comme pour jeunes conducteurs ou autres. </t>
  </si>
  <si>
    <t>15/06/2019</t>
  </si>
  <si>
    <t>david-c-125730</t>
  </si>
  <si>
    <t xml:space="preserve">Comme d habitude simple rapide est les conseiller au top je recommande car je n AI aucun soucis avec direct assurance et mes 3 contrats prix clarete et rapidite </t>
  </si>
  <si>
    <t>salma-100868</t>
  </si>
  <si>
    <t xml:space="preserve">Bonjour,
Accueil téléphonique très satisfaisant et rapide.
Formation clair et précis, parfait sens d'écoute, des réponses claires.
Merci pour le conseillère qu'elle m'a répondu aujourd'hui.
Cordialement Mme chamihy </t>
  </si>
  <si>
    <t>nathalie-l-124093</t>
  </si>
  <si>
    <t xml:space="preserve">Pas de soucis sauf 2 ratés pour obtenir résiliation contrat ancienne assurance, retard de 2 mois sur nouveau tarif.                                                               </t>
  </si>
  <si>
    <t>21/07/2021</t>
  </si>
  <si>
    <t>philippe-62828</t>
  </si>
  <si>
    <t>bonne assurance sante reactive bon service client les remboursement sont correct et rapide</t>
  </si>
  <si>
    <t>jeremy-68590</t>
  </si>
  <si>
    <t>Les conseillers son agreables a l ecoute. pris en charge direct  des dosiers de sinitres  explique bien les demarche et qualité  prix s est bien je recommande  cette asurance</t>
  </si>
  <si>
    <t>13/11/2018</t>
  </si>
  <si>
    <t>fabfo-71343</t>
  </si>
  <si>
    <t>très mal reçu, on ne vous laisse pas parler, on applique la loi sans essayer de comprendre le cas particulier qui souvent fait avancer la loi et fait jurisprudence!!! aucune écoute et je pense que les juristes sont des rebus qui n'ont pas réussi une belle carrière de juriste et qui n'ont aucune envergure!! c'est désolant je suis très mécontente et j'envisage de changer de compagnie d'assurance suite à ce litige traité par dessus la jambe! à fuir !SI J'AVAIS PU METTRE AUCUNE ETOILE JE L'AURAIS FAIT</t>
  </si>
  <si>
    <t>15/02/2019</t>
  </si>
  <si>
    <t>julien-b-134981</t>
  </si>
  <si>
    <t>Très correct et rapide pour la souscription en ligne, très bon service, les conditions sont simples et claires, pas de surprise.
Je conseille vivement</t>
  </si>
  <si>
    <t>29/09/2021</t>
  </si>
  <si>
    <t>florian-l-123582</t>
  </si>
  <si>
    <t>Tres bien. Suite au premier appel, bonne explication et réactivité. Marque renomée qui me donne confiance. En espérant que tout se passe pour le mieux entre nous.</t>
  </si>
  <si>
    <t>cleopatre95-86380</t>
  </si>
  <si>
    <t xml:space="preserve">J'ai informé la MATMUT du décès de mon père et demander la résiliation de son contrat multirisques habitation. Compte tenu des circonstances,j'ai tardé à envoyer mon courrier je le reconnais mais sollicité une résiliation à la date du décès. Eh bien non ! La Matmut me demande de régler le contrat entre la date du décès 08/2019 et fin 12/2019. Donc Papa avait une couverture juridique vie privé et une assurance habitation pendant plusieurs mois après son décès ! J'avais appelé au préalable et les propos tenus n'étaient pas du tout les mêmes. Légalement il me semble difficile qu'ils puissent justifier une telle attitude. Bien entendu aucun décision par téléphone, si je conteste il me faut écrire une nouvelle fois. Le côté humain n'existe vraiment chez eux. </t>
  </si>
  <si>
    <t>27/01/2020</t>
  </si>
  <si>
    <t>mamycine-60448</t>
  </si>
  <si>
    <t>Santiane a essayé de prélever sur mon compte bancaire malgré la non adhésion à  leur contrat suite à  ma recherche sur le interne des commentaire plus que negatifst , j'ai prévenu ma banque de ne par payer.
Ce groupe est à fuir 
Cordialement
Mamynou</t>
  </si>
  <si>
    <t>13/01/2018</t>
  </si>
  <si>
    <t>didoni-60952</t>
  </si>
  <si>
    <t>Traitement lentissime, 1 mois pour obtenir une quelconque réponse, plusirs pour se faire rembourser, entre-temps l'assuré doit dépenser sans compter sur la mutuelle pour qualaquelle il cotise!!!!!!!!</t>
  </si>
  <si>
    <t>30/01/2018</t>
  </si>
  <si>
    <t>franck-70870</t>
  </si>
  <si>
    <t>A fuir</t>
  </si>
  <si>
    <t>02/02/2019</t>
  </si>
  <si>
    <t>le-roux-m-113010</t>
  </si>
  <si>
    <t>Excellente qualité de service
Interlocuteurs professionnels et a l'écoute. je recommande vivement cette assurance. les prix sont justes et c'est rapide, merci</t>
  </si>
  <si>
    <t>marchand-s-122839</t>
  </si>
  <si>
    <t xml:space="preserve">Je suis très satisfaite de l’accueil 
Et de la conseillère qui m’a souscrit mon contrat  
Je recommande amplement 
Très bon assureur 
Merci à votre conseillère </t>
  </si>
  <si>
    <t>geronimoiia-98720</t>
  </si>
  <si>
    <t xml:space="preserve">lisez bien votre contrat en cas de pepin a moins de 50 km de chez vous, le soir, sur l'autoroute, comptez que sur vous ! Ca c'est pour la partie facile 200 euros plus tard...
Si comme moi pendant le confinement vous n etiez pas chez vous, que vous vous retrouvez en situation de default de paiement, idem: vous allez vous battre pendant 3 mois pour pouvoir regulariser la situation. Au final je suis partie chez un autre assureur, et je suis toujours en attente d'une facture de fin de contrat... pas gagner, meme quand vous voulez faire les choses en regles.
La relation client ? comptez pas dessus.
</t>
  </si>
  <si>
    <t>13/10/2020</t>
  </si>
  <si>
    <t>olivier26-81190</t>
  </si>
  <si>
    <t>Ayant eu un accrochage hier avec mon véhicule, j'ai été agréablement surpris par la réactivité et la qualité de service offert par la MAAF. 
Concernant la réactivité : accrochage à 11h10 / à 11h30 mon véhicule était sur le plateau du dépanneur / dans le même temps un taxi missionné par l'assistance venait me récupérer pour me ramener chez moi et un véhicule de prêt était mis à ma disposition. Le dépanneur m'a rappelé à 13h30 pour me demander de lui confirmer le numéro de plaque de l'autre véhicule à l'origine de l'accident (en effet, le modèle lui laissait penser qu'il devait aller le chercher et qu'il s'agissait du même accident). Pourtant le propriétaire de l'autre véhicule a appelé son assistance (assurance d'une banque) en même temps et il a été dépanné 2 heures plus tard !!! 
J'ai pu faire ma déclaration de sinistre par téléphone dans l'après midi / l'ensemble des SMS de confirmation m'ont été envoyé dans la foulée (prise en compte du sinistre / affectation d'un garage / date pour l'expertise...).
Concernant la qualité de service : Mes interlocuteurs au téléphone ont été à l'écoute, ils ont fait preuve de bienveillance et ils ont toujours cherché à me proposer la solution la plus adaptée à mes attentes (mise à disposition d'un véhicule proche de chez moi alors que le "loueur" de véhicule voulait me ramener prendre un véhicule sur Lyon alors que j'habite à côté de Valence !).
Je ferai un retour à la fin de l'expérience (une fois le véhicule sur "pied" / ou du moins sur roue) mais pour le moment je suis satifsait</t>
  </si>
  <si>
    <t>21/11/2019</t>
  </si>
  <si>
    <t>alain-serrand-49993</t>
  </si>
  <si>
    <t>La MAAF a résilié mon contrat auto alors que je n'ai commis aucun accident (responsable ou non). Pas assez rentable selon eux.</t>
  </si>
  <si>
    <t>06/12/2016</t>
  </si>
  <si>
    <t>ohm75-78824</t>
  </si>
  <si>
    <t>Bonjour,
Jamais eu affaire à un service client si déplorable, tant mieux je ne tombe pas dans le piège et vais aller voir ailleurs</t>
  </si>
  <si>
    <t>30/08/2019</t>
  </si>
  <si>
    <t>jean-101994</t>
  </si>
  <si>
    <t>Assuré pour un vehicule familial à 10 cv fiscaux, 40% de bonus. 2 bris de glace en 3 ans, remboursements rapides à chaque fois.
Les conseillers sont joignables facilement.
À mon sens, c'est une compagnie d'assurance à taille humaine et ça se ressent dans gestion client.
Je recommande à mes amis et famille dès qu'on me demande mon avis sur les assureurs.</t>
  </si>
  <si>
    <t>30/12/2020</t>
  </si>
  <si>
    <t>yvan-armand-f-131169</t>
  </si>
  <si>
    <t xml:space="preserve">Je suis satisfait des prix proposés par l’assurance direct assurance, j’ai choisi la vôtre par le biais des différentes publicités télévisé ainsi que sur internet </t>
  </si>
  <si>
    <t>kong-heng-n-122932</t>
  </si>
  <si>
    <t>les prix me conviennent - contact facile - devis et réponses rapides - intervenants professionnels et à l'écoute de client - publicité sympathique et rigolote</t>
  </si>
  <si>
    <t>09/07/2021</t>
  </si>
  <si>
    <t>la-paille-104022</t>
  </si>
  <si>
    <t xml:space="preserve">Je suis satisfait de l'ensemble des prestations.
Mon seul questionnement concerne le contrat capital décès complémentaire souscrit dès mon adhésion à la MGP il y a environ 45 ans !
Le calcul est simple. Sur la base du dernier montant de 72 euros, j'ai donc réglé à franc constant 45x12 = 540 mois x 72 = 38.880 euros, somme à actualiser que je vais perdre en totalité, si j'ai bien compris, lors de mon 80ème anniversaire.
Pouvez-vous m'informer sur ce point douloureux.
Bien cordialement.
J.C PAILHERE </t>
  </si>
  <si>
    <t>11/02/2021</t>
  </si>
  <si>
    <t>patrick-c-131303</t>
  </si>
  <si>
    <t>je suis satisfait de vos services et de la rapidités du dossier et simple
à voir pour recevoir le vignette verte par mail (plus rapide) pour le reste rien à dire
bonne reception 
Cordialement 
Patrick C OSTE</t>
  </si>
  <si>
    <t>04/09/2021</t>
  </si>
  <si>
    <t>moune-124066</t>
  </si>
  <si>
    <t>Impossible de joindre le moindre conseiller, on nous renvoie sur le courtier qui est en arrêt maladie depuis 2 mois et maintenant en vacances.
Hors j'ai besoin d'un rachat partiel urgent pour un achat immobilier....Comment faire ???</t>
  </si>
  <si>
    <t>amine-91768</t>
  </si>
  <si>
    <t>Le prix me convient en espérant qu’il n’augmentera pas et qu’il sera le meme lors de la souscription du contrat, plateforme internet bien pratique et precise</t>
  </si>
  <si>
    <t>22/06/2020</t>
  </si>
  <si>
    <t>catnip77-77641</t>
  </si>
  <si>
    <t xml:space="preserve">En arrêt de travail depuis mars 2019, j'attends depuis plus d'un mois l'envoi du  dossier de la cardif pour l'assurance emprunteur, malgré plusieurs appels , toujours rien , les conseillers me baladent. </t>
  </si>
  <si>
    <t>15/07/2019</t>
  </si>
  <si>
    <t>bebemmarose-62538</t>
  </si>
  <si>
    <t>donc mon histoire débute avant hier donc lundi 19 mars, j'ai été emboutie a un feu par un monsieur qui n'a pas vu que le feu passait au rouge. je suis au tiers plus donc aucun soucis car je ne suis pas responsable du tout et tout va se solutionner très vite. Or étant chez direct assurance tout ne va pas se passer de façon normale. J'appelle donc mon assistance et j'ai une femme qui deviendra ma gestionnaire de sinistre et qui me dit je vous envoie un mail et quand vous aurez besoin de me recontacter vous m'envoyer un mail en reponse a ce mail et je vous rappelle dans l'immédiat. jusque la tout va bien... la partie adverse a du partir car il avait rdv au tribunal mais m'a laissé ses coordonnées ainsi que sa carte d'identité et son assurance.
ma gestionnaire me dit lui envoyer de suite une lettre recommandée pour lui demander de se mettre au plus vite en contact avec eux et me dit se rapprocher de son assurance, la macif, afin de règler au plus vite les détails du sinistre. Je rappelle dans l'après midi a la plateforme d'appel de direct assurance car je n'ai jamais eu l email de ma gestionnaire et je tombe sur un monsieur qui me dit qu'aucune démarche n'a été entreprise car ma gestionnaire attendait mon coup de fil !!! alors très gentiment j'explique au monsieur que d'une je n'ai jamais recu le mail de cette dame me permettant d'etre en contact direct avec elle et de deux elle etait sensé se mettre en relation avec la partie adverse sans coup de fil de ma part. donc apparemment il lance la procédure. je fais rappatrier mon véhicule a un garage et me demande quand mon problème va etre solutionner car je vis seule avec ma fille et assez excentrée de la ville et donc ma voiture est presque indispensable pour moi. on me dit de ne pas m'inquiéter mais je commence a avoir des doutes sur cette assurance qui a besoin de beaucoup d'appels de notre part pour bouger. J'ai déja eu des sinistres automobiles par le passé avec d'autres assureurs et j'ai toujours été satisfaite de la rapidité et du suivi de ceux ci.
hier matin j'envoie mon constat par email comme convenu car j'essaie de reduire au maximum le temps de traitement de l'action et j'appelle moi meme la macif qui me dit que le mieux serait de refaire un constat annule et remplace le précédent avec la partie adverse. évidemment mon assurance n'est pas rentrée en relation avec la macif. vers 10 h ce matin j'appelle direct assurance et je tombe sur ma gestionnaire qui me dit ah non madame je n'ai pas recu votre constat... pardon !!!! je vous l'ai envoyé hier matin. Attendez je regarde mes mails ahhhhhhhhh oui je l'ai. De qui se moque t on ? si je ne l'avais pas appelé mon constat restait au chaud dans sa boite des jours entiers. je lui dis que je vais refaire un constat pour accélerer la reconnaissance de ma non responsabilité mais que je n'ai plus de constat, elle me dit qu'elle m'en envoi un par mail de suite que je n'aurai plus qu'a imprimer. 1 heure après je n'avais toujours pas de mail. J'ai du rappeler pour qu'une autre personne me l'envoi. ma gestionnaire m'a demandé si mon véhicule avait été rapatrié (donc il n'ont aucun suivi de leur propre démarche) elle m'a demandé dans quel garage elle était!!! quand le dépanneur est venu il m'a demandé si j'avais un garage attitré je lui ai dit que non qu'il choisisse un garage affilié et mon assurance n'est meme pas au courant d'ou mon véhicule se trouve!!! j'ai joint le service assistance par messenger pour leur relater mon mécontement quant a la gestion de mon dossier litige et on me répond que 87% de clients sont satisfaits. j'en conclu donc que 23% des clients ont un litige et les satisfaits sont ceux qui n'ont pas eu de litige. j'ai oublié encore pas mal de détails qui prouvent l'incompétence de leur service assistance comme le fait que ce matin ils n'avaient pas encore dépeché l'expert car ils attendaient mon appel !!! encore une bizarrerie de plus vue que j'ai demandé a ce que les démarches soient lancées dès mon 1er appel pour accelerer un prêt de voiture etc... etc...</t>
  </si>
  <si>
    <t>maxime-l-132538</t>
  </si>
  <si>
    <t>Le niveau de qualité du service est très correct et les prix intéressants c'est pour cela que j'ai choisi direct assurance, en comparaison aux autres assurances.</t>
  </si>
  <si>
    <t>12/09/2021</t>
  </si>
  <si>
    <t>alicia-70787</t>
  </si>
  <si>
    <t>Assurance déplorable. Cette compagnie se moque complètement de ses clients. Aucun service après vente. En cas de problèmes il faut téléphoner à un numéro surtaxé à 80 centimes la minute et la personne au bout du fil et incompétente qui nous tient 10 min pour nous faire payer plus. J ai demandé une résiliation de mon contrat et on m a envoyé mon relevé d informations sur lequel il était bien écrit résilié à la date du  3 mois après je reçois une lettre de mise en demeure me signalant que je devais payer la totalité de mon assurance pour l'année ainsi qu un nouveau relevé d'informations sur lequel il y avait écrit mise en demeure et que mon contrat n'était pas résilié. Après plusieurs envoie de mails je n ai jamais eu aucune réponse. J ai téléphoné 3 fois au numéro des réclamations qui m ont dit qu ils allaient remonter ma réclamation et me donner une réponse dans les 72h mais je n ai à ce jour reçu toujours aucune réponse. J ai également envoyé 3 réclamations écrites et toujours rien. Cette compagnie n a pas le temps de nous répondre mais elle en a pour nous envoyer des recommandés de mise en demeure. J aimerais que cette histoire prenne fin le plus rapidement possible. Heureusement que j ai payé mon assurance à l'année et pas par prélèvement sinon j aurais du faire opposition quand je vois le nombre de personne qui ont des soucis.</t>
  </si>
  <si>
    <t>dream-49682</t>
  </si>
  <si>
    <t>En cas d'accident non responsable mais sans tiers ,la franchise est très élevée:s'ajoutent à la partie fixe 10% des frais de la réparation .
 Pour le parrainage : il apparaît comme un leurre.</t>
  </si>
  <si>
    <t>29/11/2016</t>
  </si>
  <si>
    <t>elo-59171</t>
  </si>
  <si>
    <t>Comme pour les précédentes personnes, Néoliane refuse ma résiliation (parce que j'ai confondu date d'anniversaire et échéance .... bien que je sois dans les délais et ai respecté les démarches)
Je les ai donc contacté par téléphone pour que l'on me dise que le service résiliation n'était pas joignable au téléphone et que je devais donc leur envoyer un mail.
Ce que j'ai donc fait. Une semaine plus tard, je reçois une réponse pour me dire qu'il y a un bug informatique et que je devais réitérer ma demande.
J'ai donc refait un mail il y a plus de 10 jours .... sans réponse !!!  
Je me demande vraiment comment il est possible de résilier cette mutuelle !!
sans parler de leur fonctionnement plus que complexe: j'ai souscrit à Néoliane, reçoit des mails et décomptes de Mutua gestion et lorsque je veux faire une demande on me dit de passer par le site de Santiane ..... c'est à rien n'y comprendre.</t>
  </si>
  <si>
    <t>27/11/2017</t>
  </si>
  <si>
    <t>lyazidi-m-136833</t>
  </si>
  <si>
    <t>Nickel rien a redire tout est bien bon prix service client reactif seul bémol mon adresse mail n'a pas était accepter j'ai du utiliser celle de mon amie</t>
  </si>
  <si>
    <t>09/10/2021</t>
  </si>
  <si>
    <t>mercanti-e-114679</t>
  </si>
  <si>
    <t xml:space="preserve">Très satisfait et j’ai reçu un appel téléphonique de qualité avec une aide personnalisée de grand aide , mon interlocutrice m’a très bien conseillé et c’est pour cela que je vais assurer un deuxième véhicule </t>
  </si>
  <si>
    <t>24/05/2021</t>
  </si>
  <si>
    <t>flox1775-53917</t>
  </si>
  <si>
    <t>Service client absent, insolent et menfoutiste
Prélèvement pendant des mois alors que voiture déclarée épave et remboursement tardif</t>
  </si>
  <si>
    <t>07/04/2017</t>
  </si>
  <si>
    <t>01/04/2017</t>
  </si>
  <si>
    <t>ceg17-80140</t>
  </si>
  <si>
    <t>Une honte !! client depuis 5 ans avec 1 petit sinistre non responsable...et ils résilient mon contrat avec un simple courrier sans signature et aucun moyen d'échanger....avec quelqu'un d'autre que le serveur vocal !! à fuir</t>
  </si>
  <si>
    <t>17/10/2019</t>
  </si>
  <si>
    <t>l59-104910</t>
  </si>
  <si>
    <t>La Macif est toujours là pour vous demander de payer et vous menace de transmettre votre dossier au service recouvrement si vous ne payez pas dans les 10 jours. Je venais de résilier le contrat, ils ont continué d'effectuer des prélèvements. J'ai donc envoyé un mail pour demander des explications. J'ai eu un courrier pour réponse, disant que je leur doit encore 19€. Pourquoi ? Aucune idée. Je leur ai demandé des explications sur cette somme, même si elle est peu élevée,un calcul détaillé c'est trop demandé apparemment... Il y a quelques années,un accident où je n'étais pas responsable, ils ont mis deux ans à m'indemniser et encore c'est parce que j'ai insisté, relancé à plusieurs reprises sinon j'attendrais encore c'est certain. Ils ne prennent pas la peine de traiter les dossiers, ne répondent que vaguement aux demandes, ne font pas de recherches auprès de l'autre assureur... Bref, bien contente d'être partie....</t>
  </si>
  <si>
    <t>28/02/2021</t>
  </si>
  <si>
    <t>lotus5-51217</t>
  </si>
  <si>
    <t>Sinistre immobilier déclaré en Mars, la MAIF n'a rien fait et au vu du devis (1800 euros) demande une expertise en Septembre  ... toujours dans l'attente du rapport d'expert fin Janvier ! 
Sinistre pour un accident de velo en Decembre (velo heurté par voiture, la roue ressemble à un Huit ! constat amiable avec le conducteur) : pour un devis de 150 euros, la maif demande une expertise ... delai supplémentaire ... velo toujours immobilisé ...
Sinistre corporel et demande d'aide à domicile (ma femme sur un fauteuil roulant pendant 2 mois) : la MAIF met 2 mois pour repondre ; aide à domicile : limitée à 3 semaines .. information donnée après 2 mois ... impossible d'engager des frais avant validation médicale mais la MAIF met 2 mois à repondre ; bref en attendant on a du se débrouiller seuls !!!</t>
  </si>
  <si>
    <t>21/01/2017</t>
  </si>
  <si>
    <t>mathias-h-133304</t>
  </si>
  <si>
    <t xml:space="preserve">je suis satisfait de ma démarche , les tarifs sont correcte , ces super , j'espère recevoir ma carte vert très vite, pour profite de ma moto .Cordialement </t>
  </si>
  <si>
    <t>dongue-i-116241</t>
  </si>
  <si>
    <t xml:space="preserve">Satisfait de l’offre et des contacts téléphoniques que j’ai eu. Satisfait de la franchise 50km en option. Regrette de ne pas pouvoir avancer plus pour le 1er paiement et baisser les mensualités. </t>
  </si>
  <si>
    <t>07/06/2021</t>
  </si>
  <si>
    <t>loulou-104886</t>
  </si>
  <si>
    <t xml:space="preserve">Assureur et personnel compétents et réactifs suite à accident, ainsi que sur panne sur autoroute ( problème traité dans l'heure suivante avec dépannage dans les 2 cas). Dommage, que cet assureur suite au COVID n' a pas offert 2 mois de cotisations en 2020 à ses clients ( cas GMF at autres mutuelles...), leur politique commerciale est exclusivement orientée en priorité aux professionnels, les particuliers et les retraités sont toujours les vaches à lait !!!. </t>
  </si>
  <si>
    <t>27/02/2021</t>
  </si>
  <si>
    <t>venus-102599</t>
  </si>
  <si>
    <t>Ma mère avait souscrit un capital décès. Chaque année, elle règle sa cotisation en Janvier et a déjà payé plus de 4 fois le capital souscrit depuis qu'elle adhère. Impossible de savoir si le capital sera réévalué...
Son décès, survenu en Novembre dernier, a été signalé par courrier recommandé, et depuis nous avons encore reçu (par 2 fois !) l'appel à cotisation 2021.
Après 3 contacts téléphoniques et messages laissés sur l'espace client, impossible de savoir quand le dossier sera réglé, quels justificatifs nous devons fournir... et en plus, impossible de se connecter sur notre espace client... La galère ! Peu de respect pour la clientèle ! On nous répond que le dossier suit son cours... on me recontactera...</t>
  </si>
  <si>
    <t>claire-s-108866</t>
  </si>
  <si>
    <t>Nickel, je suis satisfait du service, merci ! Souscription très rapide et prix super intéressant! Je suis étudiante et le prix est plus que raisonnable !</t>
  </si>
  <si>
    <t>christian-m-125649</t>
  </si>
  <si>
    <t>Vite et facil. Moin chere qué tout le reste de assurance. Je suis content pour l instant. On verá. J espere que tout va bien passer pour le reste de la vie de ma voiture</t>
  </si>
  <si>
    <t>azzdine-m-111920</t>
  </si>
  <si>
    <t>très satisfait des services de direct assurance , je recommande bien sur! service clientèle parfait , prix parfait , rapidité des prises en charge parfaites , qualité prix imbattable sur le marché des assurances! même pour l'assurance habitation!</t>
  </si>
  <si>
    <t>28/04/2021</t>
  </si>
  <si>
    <t>inoussa-bourhane-a-130176</t>
  </si>
  <si>
    <t xml:space="preserve">Je suis content et satisfait de la proposition du contrat. C'est simple et rapide donc gain de temps pour tout le monde. Il faut pour suivre dans ce sens. </t>
  </si>
  <si>
    <t>val-98753</t>
  </si>
  <si>
    <t xml:space="preserve">IMPOSSIBLE DE LES JOINDRE AU TEL AGENCE SUR LE NUM NATIONAL PAR INTERNET 
HONTE A EUX ET SI PAR LE PLUS GRAND DES HASARDS CELA DECROCHE C EST UN ROBOT QUI VOUS DIT QUE L ON VA VOUS RAPPELER SANS SUITE POUR L INSTANT MECONTENTE depuis le mois de juin 2020 mon sinistre traine ......
</t>
  </si>
  <si>
    <t>hammami-a-117698</t>
  </si>
  <si>
    <t>Je suis satisfait contact simpa merci cordialement pour votre service savoir faire avec votre client prestations bien bon prix très bonne journée merci encore une fois</t>
  </si>
  <si>
    <t>anais-t-122617</t>
  </si>
  <si>
    <t xml:space="preserve">contact télephonique très decevant . personne peu aimable de bon matin avait très peu de patience apparement. probleme non resolu avec une personne qui sembalit agacé par ma demande! </t>
  </si>
  <si>
    <t>danybzh--104312</t>
  </si>
  <si>
    <t xml:space="preserve">Je suis très déçue ! Je me retrouve dans une situation financière de précarité  malgré une assurance MAINTIENT DE SALAIRE! Je suis en arrêt et ne perçoit qu'un mi-traitement de mon salaire depuis le mois de novembre 2020 ! Jusqu'à cette date je n'avais pas de problèmes avec Interiale, mais là je ne perçois plus mes remboursements 
Malgré tout mes appels à des plateformes et le fait d'avoir fait intervenir l'assistante sociale et la personne qui gère mon dossier au travail on me répond toujours la même chose ! 
C'est un comble d'être dans cette situation financière très difficile alors que j'ai une assurance !!!
Par contre mes cotisations sont à jour et ce malgré le fait d'être dans l'obligation de demander de l'aide autour de moi afin de subvenir à mes besoins ! Une situation très très dure à vivre autant sur le plan physique que psychologique alors que je n'ai pas besoin de ça... Quand on est en arrêt ça n'est pas de notre faute ! J'aimerais bien pouvoir être à même de reprendre mon travail mais ça n'est pas d'actualité d'après mon médecin de prévention 
Que faire pour que les choses s'arrangent ??? 
Quand on prend des assurances c'est pour éviter ce genre de situation financière, il faut être prévoyants 
Je signale également que je vis seule et mes enfants font leurs vies ! 
</t>
  </si>
  <si>
    <t>16/02/2021</t>
  </si>
  <si>
    <t>amandine-52538</t>
  </si>
  <si>
    <t xml:space="preserve">Je viens de souscrire aujourd'hui au vu des commentaires cela me fait extrêmement peur et j'espère ne pas avoir fait une grosse bêtise c'est vrai que le tarif était attractif mais bon j'aurais dû lire les avis avant , premier bémol je n'arrive pas à envoyer les pièces jointe demander pour pouvoir recevoir ma carte verte dans mon espace client je l'ai donc fait par email mais ils annoncent un délais de 30 jours ! J'espère qu'ils s'occuperont bien de résilier mon ancienne assurance auto car je ne veux pas payer des deux côtés ils m'ont déjà prélevés ma cotisation à l'année bref grosse stress j'espère que tout ce passera bien </t>
  </si>
  <si>
    <t>17/02/2017</t>
  </si>
  <si>
    <t>jeffecastan-79863</t>
  </si>
  <si>
    <t>Service très efficace - contact chaleureux, mais surtout très clair. Peu de blabla inutile.</t>
  </si>
  <si>
    <t>09/10/2019</t>
  </si>
  <si>
    <t>natercia--c-131831</t>
  </si>
  <si>
    <t>Bonjour, pour instant très satisfait, inscription rapide et facile, je viens de m'inscrire donc on verra comment ça se passe par la suite,j'ai aussi assurance habitation chez vous ,donc une petite réduction serait pas mal</t>
  </si>
  <si>
    <t>castaldothomas-55039</t>
  </si>
  <si>
    <t>4 conseillers pour faire un avenant sur mon contrat, qui m'ont tous dis des choses différentes. Car soucis avec le tarif de mon véhicule actuel qui a pris 600 euros annuel en Plus pour le même véhicule que je possédais. Aucun n'a su me répondre le pourquoi du comment, sachant que les devis effecutés sur votre site sont complètement différent au devis que j'ai eut avec un des conseillers. Le devis sur internet correspondais au tarif de mon véhicule précédent, sachant que celui actuel est le même. J'attends toujours par mail, la réponse d'une conseillère qui ne m'a pu répondu au moment où je lui ai demandé d'être contacter par un responsable de site et d'avoir une adresse postale pour pouvoir y écrire une lettre. C'est le troisième véhicule que j'assure chez vous, je devais aussi y mettre mon assurance habitation, hors, je ne suis pas du tout satisfait concernant la procédure et la façon dont sa été fait pour assurer mon troisième véhicule. J'aimerais tout de même être contacté pour pouvoir éclaircir mon dossier. 
Cordialement, Mr Castaldo Thomas</t>
  </si>
  <si>
    <t>31/05/2017</t>
  </si>
  <si>
    <t>beguin-a-122422</t>
  </si>
  <si>
    <t>Mon transfert d'assurance depuis Allianz IARD vers chez vous ne se passe pas comme cela devrait. Depuis ma résiliation, j'ai encore eu 2 transactions prélévées par ALLIANZ</t>
  </si>
  <si>
    <t>marianne-d-107866</t>
  </si>
  <si>
    <t xml:space="preserve">je suis satisfaite du service mais les prix augmentent vite je trouve que l assurance malgre un bonus 50 reste chere les tarifs sont quand meme eleves
</t>
  </si>
  <si>
    <t>vava-80770</t>
  </si>
  <si>
    <t xml:space="preserve">Un mois que mon conjoint est à cette mutuelle et c'est déjà la catastrophe je le bats pour avoir des remboursements qui me sont dus 110 euros une paille et on me dit que ce n'est pas de leur faute s'ils n'interviennent pas mais de la faute du podologue qui a mal déclaré le montant à la sécurité sociale!!!
Au final je trouve ça facile et en attendant c'est nous qui sommes les victimes.
J'envoie un recommandé on verra bien!!!
</t>
  </si>
  <si>
    <t>06/11/2019</t>
  </si>
  <si>
    <t>linustbt-55361</t>
  </si>
  <si>
    <t>Après le vol de mon scooter acheté neuf il y a 6 mois, je dois donc attendre 30 jours (délai laissé pour le retrouver) avant d'avoir une offre de remboursement ce qui est déja un peu stressant concernant le remboursement quand on lis les avis précédents, Ensuite de quoi j'essaie de me renseigner sur la marche à suivre en cas d'un nouvel achat de scooter ce à quoi on me répond qu'on ne me réassure pas car j'ai eu un sinistre en moins d'un an en même temps si je prends une assurance vol c'est pour assurer un véhicule neuf pas une épave donc plus de risque de vol, donc en plus tu te fait voler ton scooter , on te résilie et tu ne sait pas exactement combien on va te rembourser, un manque de tact évident.
Maintenant j'attends de voir l'offre de remboursement qu'ils vont me faire si ça correspond à mes calculs ça ira, si c'est moins je vais pas me laisser faire surtout vu le prix que ça m'à couter.</t>
  </si>
  <si>
    <t>14/06/2017</t>
  </si>
  <si>
    <t>thibault-d-107517</t>
  </si>
  <si>
    <t xml:space="preserve">Satisfait de la rapidité de l'inscription. Inscription entièrement en ligne.                                                                         Le tarif semble correct.                                                </t>
  </si>
  <si>
    <t>matboeuf-61069</t>
  </si>
  <si>
    <t>Chez groupa ce n'est pas donné mais si on est bien assuré on est parfaitement garantie, la PJ que j'ai ajouté à mon contrat résidence principale s'étend à la maison secondaire, aucun sinistre pendant 10 ans, donc quand cela est arrivé ils étaient là.</t>
  </si>
  <si>
    <t>02/02/2018</t>
  </si>
  <si>
    <t>martine-d-107558</t>
  </si>
  <si>
    <t>je paye moitie prix par rapport a mon assurance actuelle pour les memes garanties
avant je payais quatrevingttreize euros par mois et la je suis ravi de payer moitie prix pour les memes services</t>
  </si>
  <si>
    <t>mme-isabelle-b-108466</t>
  </si>
  <si>
    <t>je suis a peu près  satisfaite sinon j'aurai changer d'assurances depuis longtemps. 
Je trouve  que cela reste encore un peu cher pour une voiture qui va avoir 10 ans et que je paye au tiers. N'ayant eu aucun accident, serait il possible d'abaisser un peu le prix ?merci de vos réponses</t>
  </si>
  <si>
    <t>lyes-94408</t>
  </si>
  <si>
    <t xml:space="preserve">Merci de votre réactivité . Et ne pas oublier vos client sachant que nous sommes chez vous depuis des années , satisfaction de clients c’est aussi plus de clients potentiels </t>
  </si>
  <si>
    <t>17/07/2020</t>
  </si>
  <si>
    <t>florian-r-121491</t>
  </si>
  <si>
    <t>Difficulté à avoir un conseiller téléphonique, j'ai eu 2 appels en parallèle, et d'habitude je n'arrive pas à être recontacté
Mais facilité et simplicité du parcours sur le site</t>
  </si>
  <si>
    <t>29/06/2021</t>
  </si>
  <si>
    <t>siguam-61871</t>
  </si>
  <si>
    <t xml:space="preserve">Bonjour.. accidenté non responsable le 03/04/2017.. je suis toujours en attente du paiement des indemnités. j'envoie des mails, personnes ne réponds...ca commence sérieusement a m’échauffer...il à fallu que ce soit moi qui réclame pour faire avancer mon dossier à chaque étape.. Artisan, je suis resté 5 mois sans pouvoir travailler et sans IJ...bonjour la galère et je suis encore en train de ramer financièrement pour récupérer cette galère. Si vous avez besoin de rien !!! pas de soucis... Franchement, pour une assurance spécialisée 2 roues... fuyez les !!! </t>
  </si>
  <si>
    <t>shah-h-122743</t>
  </si>
  <si>
    <t>Je suis très satisfait du service, les devis sont rapides à remplir et accessibles à tous. Les prix sont attractifs et les offres sont très intéressantes</t>
  </si>
  <si>
    <t>jouna-60632</t>
  </si>
  <si>
    <t>Du moment qu’on paye et qu’on a pas besoin de la Macif, aucun problème ! J’ai eut un gros accident en novembre 2017 et il faut sans cesse relancer la Macif pour qu’ils fassent leur travail! Le gestionnaire est injoignable et ne vous rapelle pas quand vous lui laissez des messages! Aucuns remboursements enclenchés tout traîne!!! Ils ont tendance à oublier que la victime c’est moi je n’ai aucun responsabilité dans l’accident qui m’est arrivé!! Je ne sais pas si j’assurerais ma future voiture chez eux, du moins il faut que je puisse l’acheter vu que je n’ai tjs pas de remboursements!!!!!!</t>
  </si>
  <si>
    <t>19/01/2018</t>
  </si>
  <si>
    <t>carpe-diem-81569</t>
  </si>
  <si>
    <t>Bonjour, j'ai eu  Gwendal au téléphone : il a su gérer mon problème avec efficacité et bonne humeur. D'autres opérateurs devraient s'en inspirer. Parfait!</t>
  </si>
  <si>
    <t>03/12/2019</t>
  </si>
  <si>
    <t>fleck-r-137024</t>
  </si>
  <si>
    <t>Bon accueil des personnes que j’ai eu en ligne cet après midi. Présentation des garanties compréhensibles
Et claires. Entretien satisfaisant et très correct.</t>
  </si>
  <si>
    <t>bardom-67597</t>
  </si>
  <si>
    <t>De très bonnes explications détaillées à la prise de contrat. Rapidité des remboursements.</t>
  </si>
  <si>
    <t>12/10/2018</t>
  </si>
  <si>
    <t>haouy-117009</t>
  </si>
  <si>
    <t>mutuelle fantaisiste rembourse quand il on le temps ainsi que les contacts  TRES TRES DIFFICILES  c est vraiment la misère cette mutuelle.je croyait faire une bonne action mais en vint on me peu pas faire confiance  aveuglément rien qu a la parole me voilà dans la mouise je vais voir quelle  position adopter (avocat et justice  c est fort pénible) cdlmt fr</t>
  </si>
  <si>
    <t>14/06/2021</t>
  </si>
  <si>
    <t>moucheducoche51-50865</t>
  </si>
  <si>
    <t>Une assurance sérieuse, simple et efficace. Les tarifs ne sont pas excessifs et sont assez transparents. La prise en charge est rapide, concrète.</t>
  </si>
  <si>
    <t>02/01/2017</t>
  </si>
  <si>
    <t>anna-50443</t>
  </si>
  <si>
    <t>Trés insatisfaite du suivi de mes dossiers par cette mutuelle, je le suis encore plus du service client en agence (conseiller désintéréssé de sa clientèle...). j'essaie depuis plus d'un an de me désinscrire, mes ces "...(mot susceptible de gêner)" trouvent toujours un détail pour me faire payer!!! (attention, si vous êtes chez eux et souhaitez changer de mutuelle, vérifiez bien de désinscrire TOUTES les options!)</t>
  </si>
  <si>
    <t>19/12/2016</t>
  </si>
  <si>
    <t>yoyo-103085</t>
  </si>
  <si>
    <t xml:space="preserve">Ils sont chers et la procédure de résiliation de contrat est interminable. Il faut attester de la nouvelle assurance puis renvoyer la carte verte puis envoyer un document signé attestant de la résiliation. Cela m'aura coûté 2 courriers laposte et 2 mois de délai, c'est l'enfer. Ils sont injoignables par téléphone. A éviter ! </t>
  </si>
  <si>
    <t>22/01/2021</t>
  </si>
  <si>
    <t>momo97278-62358</t>
  </si>
  <si>
    <t>Papier envoyer le 14/11/18, suite à un accident de travail du 13/11/18, on est le 15/03/18 ils ne savent pas combien va encore durer le traitement du dossier les interlocuteur via la plate forme disent x une semaine apres y du grand n'importe quoi je deconseille a tout le monde et comme le message precedent on reste bloqué sur la plateforme téléphonique.</t>
  </si>
  <si>
    <t>vanessa-w-132406</t>
  </si>
  <si>
    <t>C’est bien merci pour ma premier assurance de voiture, c’est le tarif le moins cher et les meilleures conditions que j ai trouvé. Je me sentirai en sécurité comme ça.</t>
  </si>
  <si>
    <t>rourou21-134989</t>
  </si>
  <si>
    <t xml:space="preserve">Venant d' adhérer, premier Tres bon contact avec mon interlocuteur qui a répondu à toutes mes questions concernant l'envoi de mon devis d'hospitalisation </t>
  </si>
  <si>
    <t>ericl-56294</t>
  </si>
  <si>
    <t>AMV est loin d'être l'assureur le moins cher.
De plus, pour une assurance qui se veut dématérialisée, ils ont de gros problèmes de communication : Impossible de les joindre par téléphone, depuis peu c'est un numéro de téléphone payant, les mails qu'on leur envoi restent sans réponse et/ou ils ne les reçoivent pas. Leur site internet est non-intuitif et opaque, quand tu veux faire la moindre chose dessus, t'y passe trois plombes en recherche.
Par contre, au moment de payer, là ils se réveillent et trouvent le moyen de vous envoyer courrier et courriel. La communication n'est que dans un sens. Une fois que tu es chez eux tu paye et tu la ferme.
Assureur à fuir, perso je me bars ailleurs.</t>
  </si>
  <si>
    <t>26/08/2020</t>
  </si>
  <si>
    <t>kiwi25-64068</t>
  </si>
  <si>
    <t>Difficile de trouver mieux en terme de prix et de couverture.
La concurence propose des produits identique toutefois beaucoup d'options font que la facture devient vite trés lourde.
Jusqu'a aujourd'hui seul un prise en charge suite à une panne à immédiatement et rapidement traité, appel au service d'assurence, qui a appelé directement la dépanneuse.</t>
  </si>
  <si>
    <t>17/05/2018</t>
  </si>
  <si>
    <t>maud-53604</t>
  </si>
  <si>
    <t>En colère. Cliente depuis 23 ans a la maif sans problème  particuliers quelques sinistres résolu vite sans souci. Mon fils a linterclasse au lycée a bousculer son copain qui tapoter sur son téléphone  (comme tous les gosses rrrrr)
Le téléphone tombe et la vitre de brise (ouf il fonctionne toujours ). Mon fils très mal moi pareil vis à vis des parents ( tout de meme)  très très ennuyer mon mari me tapelle notre contrat d'assurance et notre responsabilité civile .jappelle maif  pour expliquer  ce qui arrive .quasi 10 min d'attente,  un ton soupsoneux après. La conseillère m'informe des démarches. Écrire les faitsrelater par mon fils .lautre gosse et alerter la responsabilité civile de l'assureur des parents et pour finir vous aurez à régler 75 euros de franchise.stupefaction .de part .pour finalement un brosse glace. Je suis outrée. Les parents du gosse ne voulant me mettredans lenbarras refuse donc de faire réparer sa votre.jai trop honte.et je suis surprise 75 euros faut pas abuser .donc finalement avec tout les contrats que j'ai....cest des clous .... 
Je me renseigne pour changer assureurs. 
Je voudrais rapeler aux asssureurs que des gens honnêtes existe et que tout n'est pas arnaque a l'assurance. 1900 euros d'assurance ànnuelle payer comptan et dans un geste rien aucune ristourne depuis 23 ans rien. et on me redemande 75 euros je rêve éveillée,  Je  crois avoir compris mais pas sur que mon fils etant majeur il me demande cette  franchise alors que pour un bris de glace mafranchise est de 0 .je m'interroge. Conclusion les parents ne voulant me mettre dans l'embarras ne souhaite pas faire réparer pour m'éviter de payer (comme quoi il y a encore de bonne personne)mais le gamin lui n'est pas aux anges. Honnêteté sans faille depuis 23 ans je trouve que la main a beaucoup perdu en qualité  humaine.je chercher ailleurs du coup trop furieuses</t>
  </si>
  <si>
    <t>27/03/2017</t>
  </si>
  <si>
    <t>phelix-c-124464</t>
  </si>
  <si>
    <t>Je suis satisfait, prix correct, mais quelques difficultés pour signer electroniquement les documents un bandeau masque à moitié la case de confirmation et gêné l'introduction du code de confirmation</t>
  </si>
  <si>
    <t>mj-60491</t>
  </si>
  <si>
    <t>Le qualité laisse beaucoup à désirer. Les conditions d'application ne sont pas claires, personne n'est jamais d'accord sur ce qui peut être fait ou pas. De plus, les modifications du contrat laissent énormément à désirer. Le service au téléphone est nul.</t>
  </si>
  <si>
    <t>15/01/2018</t>
  </si>
  <si>
    <t>emmanuelle--l-134505</t>
  </si>
  <si>
    <t xml:space="preserve">Je suis satisfait du service le prix me convient je n’hésiterai pas à faire de la publicité pour direct assurance au près de mes contact et de mes proches </t>
  </si>
  <si>
    <t>25/09/2021</t>
  </si>
  <si>
    <t>edi-t-132463</t>
  </si>
  <si>
    <t xml:space="preserve">Satisfait voilà c'est très bien je vous rappelle demain pour l'ancien contrat assurance car vous avez prélevé 2 mois d'assurance sans avoir de voiture suite à accident </t>
  </si>
  <si>
    <t>baumli-96315</t>
  </si>
  <si>
    <t>Je trouve l'attitude de Generali inacceptable et inadmissible. Mon père est décédé il y a un an et ma mère n'a toujours reçu la rente de réversion sur un contrat PERP. Nous avons transmis toutes les infos à notre conseiller et directement au service Rentes mais il ne se passe rien. Dans tous les cas, Service client = 0, Traitement du dossier = 0, Résolution du dossier = 0, bref rien de positif.</t>
  </si>
  <si>
    <t>14/08/2020</t>
  </si>
  <si>
    <t>zanbra-99177</t>
  </si>
  <si>
    <t>Je viens de m'assurer chez l'Olivier Assurance , je les recommande a tous , car ce sont de vrais Professionnels, ils sont a l'ecoute du client , l'oriente, le conseille, ;ayant frequente plusieurs assureurs avant eux, je peus dire que c'est les meillleurs,; j'envisage tout assurer chez l'Olivier parceq'ils sont PROFESSIONNELS.</t>
  </si>
  <si>
    <t>24/10/2020</t>
  </si>
  <si>
    <t>laura-103435</t>
  </si>
  <si>
    <t>Nous sommes nouveaux assuré chez April; le tarif est très intéressent ; reste a voir les augmentation dans le temps; en tout cas niveau contacte clients; ils sont super efficaces; je les ai appelé plusieurs fois; j'ai toujours eu quelqu'un sans attendre longtemps; pour les remboursements ; ils remboursent très vite; et en plus; nous envoient un mail pour nous prévenir ; et avec toutes les explications ; je suis très satisfaite de cette mutuelle .</t>
  </si>
  <si>
    <t>bedouet-a-108029</t>
  </si>
  <si>
    <t>Les prix sont elevé de mon point de vu, surtout avec une franchise qui est aussi importante. Mais le service client est vraiment satisfaisant. 
Je vous remercie</t>
  </si>
  <si>
    <t>clemdum-101111</t>
  </si>
  <si>
    <t xml:space="preserve">Suite au vol de mon véhicule (désossé), la GMF à eu le culot de me dire que je ne serais pas remboursé (0 euro sur un véhicule à 10 000 euros) au motif que je ne connaitrais pas l'identité des criminels  
Une situation ubuesque qui prouve une fois de plus que les "assureurs" ne sont pas là pour vous assurer </t>
  </si>
  <si>
    <t>froustey-x-139700</t>
  </si>
  <si>
    <t>Je suis satisfait du service 
Ainsi que du prix 
Ainsi que de la dematerialisation de mon contrat mele si j ai eu quelque probleme au depart, d ailleurs je ne suis pas sur de mon malus.</t>
  </si>
  <si>
    <t>16/11/2021</t>
  </si>
  <si>
    <t>muriel-78278</t>
  </si>
  <si>
    <t>Et bien comme beaucoup d'internaute j'ai eu le refus de la garantie suite à mon cambriolage car bien que j'avais suivi leurs recommandations en cas d'absence entre autre laisser une lumière avec minuterie faire en sorte que la maison paraisse habitée qu'un voisin vienne passer la tondeuse etc 1 personne venait deux fois par jours en autre pour le chat et les poissons.  Je suis parti à 7h00 du matin, le cambriolage à été constaté à 11h le lendemain et bien comme je n'avais pas fermé les volets  dites moi pourquoi laisser une lumière et fermer les volets (je cherche encore l'erreur) le pire c'est que leur expert m'a dit : La macif ne vous oblige pas à avoir des volets mais si vous en avez il faut les mettre autrement vous auriez été remboursé de votre cambriolage une honte enfin attention La macif n'est pas une assurance sérieuse la preuve et de plus aucune considération pour des clients fidèles.</t>
  </si>
  <si>
    <t>08/08/2019</t>
  </si>
  <si>
    <t>assou-105234</t>
  </si>
  <si>
    <t xml:space="preserve">A fuir immédiatement: trop cher et le remboursement quasiment nul pour les dents, les lunettes...Mon conjoint était en arrêt maladie et il a une petite indemnité: Honte à cette entreprise qui est la juste pour gagner de l’argent sur le dos des pauvre enseignants </t>
  </si>
  <si>
    <t>03/03/2021</t>
  </si>
  <si>
    <t>victor-87926</t>
  </si>
  <si>
    <t>Comme toutes les assurances si vous n'avez besoin de rien , ils sont la...un sinistre non responsable ça va et encore il faut râler, un autre sans tiers et alors là plus personne, un expert qui parle d'usure une assurance qui se cache derrière son soi-disant expert....et avec une assurance tous risque on se retrouve à tout payer.....à part les tarifs qui sont un peu inférieurs au marché, tout le reste peut passer en off-shore, des mails qui arrive à 17h, un services qui ne sait dire que trois mots....
PS: je suis assuré chez eux depuis plus de dix ans. c'est formidable la fidélité.</t>
  </si>
  <si>
    <t>04/03/2020</t>
  </si>
  <si>
    <t>rodolphe-71314</t>
  </si>
  <si>
    <t xml:space="preserve">UNE HONTE : Suite a l'incendie de notre appartement nous avons été contraint de louer un appartement pendant quelques mois. Nous avons donc souscrit une assurance habitation chez eux. Quand notre assureur habituel nous a dit que le contrat que nous avions dans l appartement incendié est reconduit automatiquement sur la location. 
J explique donc le probleme par mail et on me reponds que ce n est pas un soucis mais que je dois envoyer ma demande de resiliation en LRAR. ce que je fais. 
Réponse laconique par mail : ce n est pas une bonne raison pour résilier le contrat continue </t>
  </si>
  <si>
    <t>14/02/2019</t>
  </si>
  <si>
    <t>bonnet-l-137777</t>
  </si>
  <si>
    <t xml:space="preserve">Conseillère très très TRÈS agréable au téléphone. Merci Patricia pour son écoute et sa patience. Des prix corrects pour la jeune conductrice que je suis. </t>
  </si>
  <si>
    <t>19/10/2021</t>
  </si>
  <si>
    <t>jean-89257</t>
  </si>
  <si>
    <t>Pas trop cher la première année et ça augmente tous les ans. J'essaie en ce moment de les joindre au téléphone pour avoir un relevé d'informations : aucune réponse. Direct assurance fait partie du groupe Axa, je ne serai jamais plus leur client.</t>
  </si>
  <si>
    <t>29/04/2020</t>
  </si>
  <si>
    <t>cel791-66881</t>
  </si>
  <si>
    <t>La Macif : en cas de sinistre c'est une catastrophe</t>
  </si>
  <si>
    <t>17/09/2018</t>
  </si>
  <si>
    <t>casalino-i-121863</t>
  </si>
  <si>
    <t xml:space="preserve">Je suis satisfaite du service.
Les prix me conviennent.
Simple et efficace. 
Service rapide, gentil et à l'écoute.
Bon renseignements.
Ils prennent bien le temps de nous expliquer.
</t>
  </si>
  <si>
    <t>30/06/2021</t>
  </si>
  <si>
    <t>kryska-97684</t>
  </si>
  <si>
    <t>FUYEZ !!!
Je n ai jamais vu in service client aussi minable, cela fait une semaine qu un responsable aurait du m appeler (malgre mes multiplies relances)...</t>
  </si>
  <si>
    <t>22/09/2020</t>
  </si>
  <si>
    <t>marc-b-109499</t>
  </si>
  <si>
    <t>Je suis satisfait de service et de l'aide apporté par mon interlocuteur. Le site n'est pas aisé à appréhender. Il y a quelques messages par messagerie qui ne sont pas parvenus, mais j'ai récupérer les informations via le site.</t>
  </si>
  <si>
    <t>13/04/2021</t>
  </si>
  <si>
    <t>superalaise-98946</t>
  </si>
  <si>
    <t>Support toujours disponible et de bon conseil
Prix corrects par rapport à la concurrence et à la qualité de service
Les rares fois où j'ai un souci, pas de souci dans la prise en charge</t>
  </si>
  <si>
    <t>smaely31-56729</t>
  </si>
  <si>
    <t xml:space="preserve">vraiment déçu depuis le 25/05/2017 date de mon accident de travail je n ai pas toucher d indemnités ! je l ai appelle plusieurs fois par semaine a chaque fois une réponse différentes j ai deux filles a ma charge et ils nous laissent vraiment dans la m**** !! on me dit qu il manque tel papiers alors que je l ai est envoyer puis un coup c est en traitement un coup c est autres choses .... aucune possibilités d avoir un responsable ou une personne compétente et sérieuse. je vais contacter mon assistance juridique des demain ou le 3939 qui gère aussi certains cas fuyez ag2r je ne recommande pas mais vraiment pas!!!! </t>
  </si>
  <si>
    <t>18/08/2017</t>
  </si>
  <si>
    <t>christophe-l-113514</t>
  </si>
  <si>
    <t>SIMPLE ET PRATIQUE PRIX BON ET GARANTIES DE BON NIVEAU
JE NE CONNAISSAIS PAS CE SERVICE ET POURRAI LE RECOMMANDER SANS PROBLEME A MES PROCHES ET MES CONNAISSANCES</t>
  </si>
  <si>
    <t>12/05/2021</t>
  </si>
  <si>
    <t>stephanie-n-123134</t>
  </si>
  <si>
    <t xml:space="preserve">Je trouve débile d exiger un document manuscrit pour une résiliation alors que je reste chez vous pour mon nouveau contrat habitation c'est une perte de temps  on doit appeler pour qu'on nous dise d écrire alors que pour souscrire il n'y a besoin de rien </t>
  </si>
  <si>
    <t>pasbonaxa-56150</t>
  </si>
  <si>
    <t>Mise en invalidité catégorie 2 par la cpam suite a longue maladie ,donc impossible d'exercer une quelconque profession.Demande de prise en charge par CARDIF.   Après une longue attente je reçois un courrier m'informant du refus de prise en charge car je ne suis en invalidité permanente.Il faut savoir que l'invalidité CPAM n'est jamais permanente.Suite a mon invalidité j'ai été licencier pour inaptitude.Il y a des choses que je peut comprendre mais le refus de prise en charge de CARDIF je n'accepte pas.A quoi me sert mon assurance,je pense qu'il faut que je soit décédé pour que ça marche.Pour info je suis atteint de 3 pathologies à 100? Que faut s'il de plus pour une prise en charge ?</t>
  </si>
  <si>
    <t>15/09/2020</t>
  </si>
  <si>
    <t>mcp-36058</t>
  </si>
  <si>
    <t>je suis a 100% pour tout, j'ai été démarché par un courtier, qui m'a fait miroiter des remboursements mirobolant pour les soins dentaire, enfin de compte les soins me sont remboursés a 100% par la ss et les couronnes trois fois rien par la cegema j'ai perdi plus de 1000 euros avec eux cette année, je ne leur ai rien couté, mais ils n'ont pas voulu que je résilie il fallait attendre un an, malgré tout un procès est en cours de plus le médiateur qu'ils vous donnent est un fantome</t>
  </si>
  <si>
    <t>05/12/2016</t>
  </si>
  <si>
    <t>francois-p-111708</t>
  </si>
  <si>
    <t>Tarifs cohérents pour l'automobile surtout pour les nouveaux souscripteurs avec des garanties adaptées. Le petit plus qui a son importance : Toujours un interlocuteur dispo au téléphone et qui connait son sujet.</t>
  </si>
  <si>
    <t>francoise-107968</t>
  </si>
  <si>
    <t>Je suis très satisfaite des renseignements et de l'accueil téléphonique par Oumaima pour accéder à mon compte adhérent pour un remboursement dentaire.
Cordialement
Mme JANIN</t>
  </si>
  <si>
    <t>axel-100007</t>
  </si>
  <si>
    <t>Une catastrophe. 
Ayant signé un contrat avec eux. Ils n'ont jamais envoyé de lettre de résiliation à mon ancien assureur et m'ont prélevé deux mois de cotisations tout de même. Ne reconnaissent pas leur erreur et ne font pas preuve de professionnalisme. 
Pas à l'écoute des clients du tout et ne font pas de geste commercial.
Ne recommande pas du tout cette assurance. 
INADMISSIBLE</t>
  </si>
  <si>
    <t>12/11/2020</t>
  </si>
  <si>
    <t>phil-134290</t>
  </si>
  <si>
    <t>Un assureur qui assure tant qu'il n'y a pas de sinistre...
Un assureur qui résilie le contrat et qui ferme les accès aux informations personnelles avant la fin du contrat en indiquant au 24/09/2021 le message suivant "votre contrat est résilié depuis le 3/12/2021" :-)
Donc plus de 2 mois avant l'échéance, le client n'a plus accès à son contrat, ni à la liste des sinistres enregistrés sur son compte, ne serait-ce que pour vérifier qu'il n'y a pas d'erreur...
Le service client explique qu'effectivement, l'espace personnel est fermé à partir du jour d'envoi du courrier de résiliation, et non pas à la date de fin de contrat.</t>
  </si>
  <si>
    <t>24/09/2021</t>
  </si>
  <si>
    <t>anibal-b-105526</t>
  </si>
  <si>
    <t>Simple, rapide, pratique et bon prix. J'ai été très bien conseillé par des gens très gentils. Je les recommande vivement. Je n'hésiterai pas à me tourner vers eux pour un autre type d'assurance.</t>
  </si>
  <si>
    <t>dinstone-50321</t>
  </si>
  <si>
    <t>Je n'ai pas tenu un an chez eux, ils sont encore au stade des échanges par voie postal. Quand on a un sinistre chez soi , on ne peut pas attendre autant de temps !!!
Je retourne (à la date d'anniversaire et avec une lettre envoyée par voie postale forcément ! ) chez mon ancien assureur</t>
  </si>
  <si>
    <t>15/12/2016</t>
  </si>
  <si>
    <t>cedric-70862</t>
  </si>
  <si>
    <t>Je lis les commentaires et m'aperçois que conformément notamment à ZERODAY et Pierre on est nombreux à constater la même chose. Automobiliste assuré depuis 25 ans je n'ai jamais vu ca. Assuré en tout risques toutes options (prime de 98 euros/mois) payée rubis sur l'ongle depuis 3 ans, le jour où l'on a un sinistre c'est la même stragégie de L'Olivier Assurances, trouver n'importe quelle ruse pour vous prononcer la déchéance des garanties et ne pas payer ce qu'ils doivent. Dans mon cas, 2 jours avant récupération de mon véhicule ils ont invoqué une contravention à 90 euros considérant que c'etait une aggravation du risque.
Or les Articles 1103 et 1231-1 DU CODE CIVIL PRÉVOIENT que les PARTIES AU CONTRAT SONT TENUES AU CONTRAT et ne peuvent pas se défausser à la légère par des manoeuvres dilatoires.
 A ce compte là je vais lancer ma compagnie d'assurance. Assurer et ne jamais payer ca rapporte. On un groupe facebook est monté par Zeroday pour ce constituer en classe action je pense que c'est la meilleure chose à faire avec contact à la DGCCRF qui nous demande tous nos dossiers constatant les mêmes pratiques dilatoires.</t>
  </si>
  <si>
    <t>tulai-79578</t>
  </si>
  <si>
    <t>Bonjour Je suis en retraite depuis le 1 juillet 2019, dossier complémentaire retraite complété, documents envoyés le 12 juillet mais apparemment non reçu. 2éme envoie par mail reçu le 11 septembre et depuis 12/9dossier en cours réponse d'allianz "beaucoups de dossiers à traiter, 17/9le choix annuités garanties difficile à mettre en place, 23/9fermeture compte cotisant, ouverture compte "retraité" délais 4 semaines!!!le 12 septembre ALLIANZ a répondu devrait être payer avant le 15 octobre!!!et ce jour 30/09"retard dans les dossiers....et on ne sait pas vous dire quand votre dossier sera transmis aux services comptabilités!!!!annuités garanties très difficiles et en plus m'envoie promener car apparemment cela n'a pas plus à mon interlocutrice que je lui dise que ça commençait à faire long!!!!dixit "on ne peut pas vous en dire plus, il faut attendre!!!!"</t>
  </si>
  <si>
    <t>30/09/2019</t>
  </si>
  <si>
    <t>jeremy-c-106347</t>
  </si>
  <si>
    <t xml:space="preserve">     Je suis emballé par la simplicité et la rapidité de ce site.
     Les prix me conviennent également. 
     J'adhère totalement.
     Ne changer rien.</t>
  </si>
  <si>
    <t>bmgrillon-23958</t>
  </si>
  <si>
    <t>Dossier traité très rapidement feuilles de soins envoyées par internet le 15 et 16 février traitées le 18 février et ordre de virement donné</t>
  </si>
  <si>
    <t>18/02/2020</t>
  </si>
  <si>
    <t>lianne-b-123999</t>
  </si>
  <si>
    <t>Très satisfait pour l'instant maintenant à voir une fois le contrat actif mais niveau prix je pense qu'il sont imbattables je recommande l'olivier assurance</t>
  </si>
  <si>
    <t>20/07/2021</t>
  </si>
  <si>
    <t>stephan-68278</t>
  </si>
  <si>
    <t xml:space="preserve">super pour résiliation ancienne assurance
super pour résiliation ancienne assurance
</t>
  </si>
  <si>
    <t>audech-61621</t>
  </si>
  <si>
    <t>J'attends depuis plus d'un mois et demi un remboursement de plus de 200€. Je n'ai aucune reponse. J'ai envoyé tous les documents demandés le 2 janvier. J'appelle on me dit que je serais remboursée sous 48h mais toujours rien. Pas de possibilité de parler au service des remboursements. Pas de suivi. Je me sens démunie. Je pense faire appel à une association de consommateurs si je n'ai toujours rien d'ici la fin du mois.</t>
  </si>
  <si>
    <t>21/02/2018</t>
  </si>
  <si>
    <t>lafleur-78819</t>
  </si>
  <si>
    <t xml:space="preserve">Je déconseille fortement cet assureur.
Ils appâtent leurs clients avec des prix bas la 1ère année mais augmentent leurs tarifs de manière considérable dès la 2ème année. 
Les conseillers sont incompétents et un simple appel téléphonique en sinistre. </t>
  </si>
  <si>
    <t>alain-k-115041</t>
  </si>
  <si>
    <t>Tous les ans de plus en plus cher, on nous oblige de quitter l'assureur dont je suis avec depuis plus de 7 ans. 
j'ai eu zéro sinistre depuis 7 ans et non seulement le prix ne baisse pas mais au contraire ça devient plus cher
pour un client fidèle Direct assurance coûte presque 2 fois plus cher qu'un client nouveau
donc la stratégie est de dégager des fidèles et d'absorber des nouveaux. sûrement je reviens plus jamais vers Direct assurance !</t>
  </si>
  <si>
    <t>briton-57808</t>
  </si>
  <si>
    <t>Bonjour,
apres avoir demandé le rachat d'un contrat assurance vie il y a 1 mois, impossible de savoir ou en est le virement ...l'agent m'avait annoncé 10 jours ,le siege ,difficilement joignable annonçait plutot 15 jours .Cela fait 1 mois maintenant; l'agent m'a annoncé le 9 /11 un virement ;nous sommes le 19 et toujours rien ; je ne peux même plus joindre le siege car mes identifiants internet ne sont plus reconnus!! chaque fois que j'arrive à joindre l'agent ,il me répète que "c'est dans les tuyaux".a la question :quelle longueur fait le tuyau ? il n'y a pas de réponss...le post précèdent m'inquiéte car j'ai un besoin imperatif de ces fonds rapidement , comme tout client  qui fait une demande de remboursement d'ailleurs...</t>
  </si>
  <si>
    <t>19/11/2017</t>
  </si>
  <si>
    <t>louis-c-106556</t>
  </si>
  <si>
    <t>Je suis satisfait de mon tarif et des services qui vont avec.
Un accueil super sympathique de la par de vos conseillés.
Maintenant espérant resté chez vous avec les meilleurs prestations de vos services.</t>
  </si>
  <si>
    <t>14/03/2021</t>
  </si>
  <si>
    <t>alicya-perret--98795</t>
  </si>
  <si>
    <t xml:space="preserve">Assurance vraiment NUL je vous déconseille fortement !!!!! 
 je déconseille vraiment cet assurance !!!!! Aucun professionnalisme aucun remboursement aucun respect </t>
  </si>
  <si>
    <t>15/10/2020</t>
  </si>
  <si>
    <t>mohand-99853</t>
  </si>
  <si>
    <t xml:space="preserve">Bonjour, j'étais assuré à la GMF, sur autoroute, mon pare brise à été cassé, je l'ai donc fait changer.
6 mois après, un automobiliste m'est rentré dedans et ma voiture a été déclarée bonne à la casse, malgré le fait qu'elle roule encore.
Je fais donc le nécessaire pour
Résultat, on me vire, on me dit d'aller ailleurs.
Alors quand j'entends la pub, ça me fait sourire, ça me fait grincer des dents.
Cordialement
</t>
  </si>
  <si>
    <t>08/11/2020</t>
  </si>
  <si>
    <t>rodolphe-s-131120</t>
  </si>
  <si>
    <t xml:space="preserve">Satisfait du service.
Prix ultra competitif
Rapidité de calcul du devis.
Je recommande vivement
A conseiller à ses amis.  Tarifs très serrés.....
A recommander </t>
  </si>
  <si>
    <t>jules-58660</t>
  </si>
  <si>
    <t xml:space="preserve">Système de vente forcée, relance 22 fois dans la même journée, téléconseillé infamant ! Ils sont à éviter de toute urgence. Je recommande bien plus Allianz, Suravenir ou AMV. Bien plus pro avec vrai Service client. </t>
  </si>
  <si>
    <t>07/11/2017</t>
  </si>
  <si>
    <t>gerard-g-113391</t>
  </si>
  <si>
    <t>je suis satisfait du service , a voir dans le temps : je n'ai jamais déclaré de sinistre !!!!
les prix défient toute concurrence.
reste que le service en ligne est galère à utiliser .</t>
  </si>
  <si>
    <t>jeff-79495</t>
  </si>
  <si>
    <t>Suite à l'appel de ce courtier, après avoir écouté la proposition ne donnez surtout pas le code que vous avez reçu (6 chiffres), car cela peut déclencher le contrat et ne donnez surtout pas l'iban.</t>
  </si>
  <si>
    <t>fontaine-s-124139</t>
  </si>
  <si>
    <t>Premier contact très professionnel
Interlocuteur à l'écoute de mes interrogations
A pris le temps de répondre à toutes mes interrogations
Ce qui n'est pas évident quand tout se passe de façon dématérialisée</t>
  </si>
  <si>
    <t>teo-t-132037</t>
  </si>
  <si>
    <t xml:space="preserve">je suis satisfait du tarif .Et des services ,j espere que je ne serai pas déçu en cas de sinistres.
Je recommande direct assurance à mes proches 
Merci </t>
  </si>
  <si>
    <t>09/09/2021</t>
  </si>
  <si>
    <t>axa2017triche-59763</t>
  </si>
  <si>
    <t xml:space="preserve">DECU!!! Je suis venu a axa pour un devis le coeur bien décider de quitter la macif. J'ai apprécié la rapidité du rappel pour discuter des propositions de axa. Mais hélas, c'est le cauchemar ensuite. L'insistance de vouloir conclure une vente sans ECOUTER les besoins du client me met hors de moi. A plusieurs reprises, on lui explique que je souhaitais comparer ce qui était comparable, donc je lui demande des devis pour une couverture TOUS RISQUES, ainsi que le depannage 0KM et le pret d'un vehicule de location en cas de reparation, elle me dit oui oui oui, voici mon offre a 30e moins cher MENSUEL!
Quelle bonne affaire! je suis ravi avec la MACIF!
 "- Il faut absolument se depecher, l'offre est que pour aujourd'hui!! 
  - j'ai besoin de reflechir madame, j'en discute avec mon conjoint.
  - Okay, offre jusqu'a demain. "
le lendemain, l'excitation l'emporte, si j"economise 300e a l'année pour la meme couverture, le debat n'est pas long. Je reconfirme les couvertures, et elle dit oui, donc j'accepte.
Je recois mon contrat d'assurance, et je me rend compte que c'est au tiers que la vendeuse m'a souscrit. Je rappelle pour avoir des explications, on me dit que non, elle avait bien expliqué. Je dis non, merci. Je veux etre couvert TOUS RISQUES. Elle me dit que je peux baisser mes garanties, et pas les augmenter. Je suis perdu... Je n'ai jamais entendu parler d'assureur qui refusait d'augmenter de couverture de garanties au souhait du client.
Je me renseigne autour de moi, et je trouve l'article 112-9 du code des assureurs, qui protege les clients avec un droit de retractation de 14 jours ouvrés suite un achat/vente par telephone ou en ligne. Le service gestion de cette meme plateforme telephonique m'INFORME que cette loi n'est pas d'actualité, que meme si AXA.fr l'affiche sur son site web, ils n'en tiennent pas compte!! 
La blague c'est que une conseillere d'une agence situé sud Loire a Rezé (BIEN EN FRANCE, contrairement a cette plateforme telephonique) m'INFORME bel et bien que j'ai droit a ce recours de retractation en cas d'insastifaction dans les 14 jours ouvré et que cette situation n'aurait jamais eu lieu si j'aurais été face a face un conseiller qui aurait fait son travail comme il le fallait, c'est a dire ECOUTER LE CLIENT ET SES BESOINS! 
J'envoi mes lettres de retractation selon le conseil de la conseillere (FRANCAISE!) parce que je refuse d'écouter mesdames ASMA, JASMINE, FAAD, NMASRI et vendeuse SARA et n'importe qui d'autre de ce centre d'appels à l'adresse suivante: centre de service internet - TSA 81110 69836 Saint Priest CEDEX) Ces gens la ne cherche pas a me proposer une couverture tous risques, ni a une retractation legale. J'envoi la meme lettre au siege de AXA a paris (25 ave matignon 75008 Paris) et j'irai jusqu'au bout de ce litige.. PAS D'HONNEUR ET DE RESPECT pour des affaires de ce genre. Je suis quelqu'un avec des principes, aujourd'hui les gens de AXA ne les respectent pas.
Nous nous engageons a faire ce qu'on dit, on a que notre honneur dans ce monde... des gens qui vous disent on vous rappelle et ne le font pas, ce ne sont que des laches, sans professionalisme et ne meritent pas de representer le groupe AXA.
</t>
  </si>
  <si>
    <t>18/12/2017</t>
  </si>
  <si>
    <t>djiss-103094</t>
  </si>
  <si>
    <t>Adhérent depuis le 01/01/2019, je suis passé de 30 euros de cotisation pour la couverture du salaire et des primes à 50 euros en 2020, puis en  Janvier 2021, la cotisation passe à 85 euros. J’ai donc contacté la plateforme, l’interlocuteur avoue ne pas avoir d’explications sur le tarif appliqué. En conséquence, le siège social doit me rappeler pour faire le point. Je suis dans l’attente mais je pense que je vais fuir car le prix est exorbitant.</t>
  </si>
  <si>
    <t>lalalili25-79023</t>
  </si>
  <si>
    <t xml:space="preserve">FUYEZ !!! J ai souscrit un contrat le 21 juin 2019 . Je leur est bien envoyer les papier dans les temps , sauf que je n avais pas encore reçu la carte grise a mon nom . J ai payer 4 mois de cotisation (190 euro) . Le temps passe et je m apercois que je n ai toujours pas reçu de carte verte définitif. J appelle le service client ( qui au passage est exécrable) , celui ci m indique que mon contrat est résilier depuis le 21 juillet !!!! J ai donc rouler sans assurance avec mes enfants sans le savoir C EST INADMISSIBLE !!!!! AUCUN EMAIL NI COURRIER DE LEUR PART POUR INFORMER DE TOUT SA !Bien sur aucun recours pour récupérer les cotisations payer a l avance . Tout sa juste pour une carte grise a mon nom que je n avais pas encore reçu !!! Je vois que je ne suis pas le seul a qui cela est arriver   cela semble être une pratique courante chez Eurofil . Pour information, ancien client de direct assurance , ces derniers m avais laisser un délai supplémentaire pour leur remettre une carte grise a mon nom. Je me renseigne demain auprès d'un avocat spécialiste en droit des assurance pour savoir s'il ne s agit pas de conditions abusive pour le non remboursement des sommes perçus ! </t>
  </si>
  <si>
    <t>06/09/2019</t>
  </si>
  <si>
    <t>tbincteux-80188</t>
  </si>
  <si>
    <t>Mon habitation situé a 45 km de Rouen, toiture couverte de suies suite a l incendie de Lubrizol, une franchise est appliqué, alors que dans mes garanties figure" catastrophe technologiques" sans franchises, aucune explication valable de leurs part</t>
  </si>
  <si>
    <t>18/10/2019</t>
  </si>
  <si>
    <t>delphine-b-133836</t>
  </si>
  <si>
    <t>Assurée chez amv légende depuis des années,je suis satisfaite des prestations et des conseils.Assurance à prix raisonnable et souscription simple et rapide.</t>
  </si>
  <si>
    <t>sud-52510</t>
  </si>
  <si>
    <t>La qualité des garanties est très bonne à mon sens. Assuré en tout risque en 1000 hyper-sport avec un coefficient de 0,5. J'ai été assuré ailleurs, je pense qu'il y'a quand même un petit plus à la mutuelle des motards.</t>
  </si>
  <si>
    <t>28/02/2017</t>
  </si>
  <si>
    <t>le-goualec-y-139356</t>
  </si>
  <si>
    <t>Je suis très satisfait du service en ligne car très pratique pour signer les contrats, le tarifs est juste et les interlocuteurs sont très à l'écoute.</t>
  </si>
  <si>
    <t>orguyrine-104297</t>
  </si>
  <si>
    <t xml:space="preserve">Bonjour
J ai souscrit une mutuelle santé depuis le 1 janvier 2011.Cette mutuelle a été contractée pour Monsieur et Madame. Mon épouse est a la cpam moi à une caisse spécifique (SNCF) .
En février April m'informe de ne pouvoir mettre en place la télétransmission (Noemie) avec ma caisse .Aprés avoir contacté ma caisse celle-ci m'informe que April refuse de reconnaitre la caisse spécifique SNCF.
Pourquoi ne pas m' avoir averti à lors de la mise en place du contrat.
Maintenant je suis dans l obligation de payer le praticien d'attendre le retour de ma caisse de l'envoyer à April pour me faire rembourser. Délai 8 semaines
Cordialement
 </t>
  </si>
  <si>
    <t>francois-b-128019</t>
  </si>
  <si>
    <t xml:space="preserve">les prix me conviennent, les renseignements demandés sont corrects, j'espère ne pas avoir besoin de vos services suite à un sinistre
très cordialement
</t>
  </si>
  <si>
    <t>d-ambert-de-serilhac-s-138797</t>
  </si>
  <si>
    <t>Bon relation client a recommandé au personne autour de moi même si cela et ne fait pas bien longtemps que je suis sur cette assurance bonne journée à vous</t>
  </si>
  <si>
    <t>sandrine--113677</t>
  </si>
  <si>
    <t>Assurance à fuir ce sont des incompetents qui ne pensent qu'à encaisser les cotisations des assurés mais quand vous avez  besoin d eux y a personnes. Transparent comme Alice. Il faudrait leur interdire de vendre des contrats d'assurances. Pointer au chômage leur ferat du bien.</t>
  </si>
  <si>
    <t>dede-95881</t>
  </si>
  <si>
    <t xml:space="preserve">Faite bien attention, je me suis fait avoir, gmf assurément humain, certainement pas dans mon cas. J'ai été victime de travaux de terrassements mal effectués par une entreprise, ce suit des inondations car des drains ont été sectionné.
Je fais une déclaration auprès de la gmf. 
 !!! Ils me font passé 3 experts, chacun prouve la responsabilité de l'entreprise et l'entreprise ne ni pas.
J'attends 9 mois et vous savez quoi, la gmf malgré qu'ils étaient au courant des origines du sinistre me disent que je ne suis pas assuré pour ça. 
Pourquoi m'avoir fait attendre si longtemps avant de m'avertir et ce malgré une extension de garantie qui normalement couvre ce sinistre (infiltrations) qui finalement ne sert à rien pour ce genre de sinistre. 
Obligé d'aller au tribunal, ils pensent que les gens se demoralise et oui c'est sur je pense que cela va prendre des années avant d'être indemnisé, super.
00000, c'est la note que je donne à gmf. </t>
  </si>
  <si>
    <t>03/08/2020</t>
  </si>
  <si>
    <t>gericault-76452</t>
  </si>
  <si>
    <t xml:space="preserve">Je dois dire que je suis effarée par l'incompétence, dès lors que j'ai choisi de réduire mes prestations. Conductrice avec le bonus maxi, j'ai voulu modifier mon contrat VAM, et là, les ennuis commencent. Il y a une semaine que je dois signer cette modification via une signature électronique, et, après une dizaine de tentatives où on me dit de contacter un conseiller, car impossible de recevoir le sms, là c'est une première pour moi, je ne suis pas novice en la matière, via sms, même Orange est capable de le faire, c'est dire ! Bref, tout cela pour dire qu'i m'est impossible d'envoyer un état du problème: tout m'est revenu comme comme mail non délivré via le site et mon compte personnel, donc, pour moi, rien de fiable . A éviter, cette assurance n'est plus ce qu'elle prétendait, à fuir !!!! Pas solidaire du tout ! Désolée pour les employé(e)s obligé(e)s de faire semblant
</t>
  </si>
  <si>
    <t>04/06/2019</t>
  </si>
  <si>
    <t>bruno1961-79035</t>
  </si>
  <si>
    <t>Aucune réponse à mes questions sur le site, ou par mail depuis des mois, voire des années</t>
  </si>
  <si>
    <t>07/09/2019</t>
  </si>
  <si>
    <t>victor-57521</t>
  </si>
  <si>
    <t>Il y a un an, mon appartement de 80 m2 au cinquième  étage à Pau a brûlé totalement . Je fais alors venir les artisans rapidement pour avoir les devis 65000 euros minimum s'il n'y a pas de surprise. L'expert de Groupama , lui, m'offre royalement 25000 euros, à prendre ou à laisser, accompagnés de menaces à peine voilées . Étant infirme, comme l'ascenseur a été également détruit, Groupama rajoute que de toute façon, refait ou non, l'appartement me restera inaccessible car il n'y a plus d'ascenseur pour moi. La presse locale écrit alors une pleine page sur ce sujet et sur l'abus de Groupama frisant la manipulation d'un Handicapé sur personne vulnérable. Bientôt mes amis journalistes Parisiens vont le faire savoir nationalement. Si vous voulez me contacter, n'hésitez pas. En attendant, Évitez ces gens, un bon conseil.</t>
  </si>
  <si>
    <t>patrick-h-106935</t>
  </si>
  <si>
    <t>je suis satisfait du service . le tarif est abordable. Les conditions générales du site sont acceptables Le formulaire en ligne est assez facile à remplir et sans ambiguïtés</t>
  </si>
  <si>
    <t>rsleculdeafer-99265</t>
  </si>
  <si>
    <t>J'ai une question vous ont-ils envoyé une lettre disant qu'ils procédaient au paiement ? nous après 7 mois de galère interminable et de menace de plainte  ils nous ont enfin envoyé un courriel le 20 octobre comme quoi ils nous payaient notre assurance vie apres le deces d'un membre de notre famille , cette entreprise est une blague sans fin </t>
  </si>
  <si>
    <t>27/10/2020</t>
  </si>
  <si>
    <t>marc-h-129243</t>
  </si>
  <si>
    <t xml:space="preserve">Simple rapide et efficace et des tarifs plus que correcte
A voir après en cas de problème comment cela ce passe.
Deuxième moto assurées assurance moto verte.
</t>
  </si>
  <si>
    <t>panpan-79371</t>
  </si>
  <si>
    <t>j'ai déménager dans une ville et un endroit beaucoup plus sécurisé que l'adresse précédente mais j'ai eu une mauvaise surprise ma cotisation à augmenté,en fin de compte j'ai compris il suffit de changer d'adresse pour que Directe Assurance profite de l'occasion pour augmenter le prix et elle n'a rien a foutre si la voiture dans un endroit bien sécurisé ou non.  PAS de CORDIALEMENT.</t>
  </si>
  <si>
    <t>21/09/2019</t>
  </si>
  <si>
    <t>eric-64088</t>
  </si>
  <si>
    <t>Tant que vous payez votre prime sans rien demander en retour, tout va bien. Ayez une période sans chance (4 sinistres dont 1 seul responsable) d'un an et MAAF vous jette dehors !</t>
  </si>
  <si>
    <t>18/05/2018</t>
  </si>
  <si>
    <t>catvar-77258</t>
  </si>
  <si>
    <t xml:space="preserve">
 Direct assurance c est vraiment une catastrophe
Aucun suivi aucune reponse ou bien il nous est precise certaines choses et le contraire est fait. 
J ai  un bonus 50 depuis 20 ans et suivant leurs conditions lors d'un accident il n y a pas d'application de malus
Il y a deux ans je me suis fait raccrocher ma voiture avec une personne qui a pris la fuite mais j'ai pu obtenir son identite apres depot de plainte a la gendarmerie
J ai eu la surprise deux ans apres de savoir que direct assurance n avait  jamais fait le recours ma franchise ne m a jamais ete remboursee 
Par malchance j ai accroché ma voiture il y a six mois petits dommages sur la portiere
J ai declare a direct assurance en demandant si ça valait le coup qu ils  interviennent
Il m a ete precise que cela ne posait pas de probleme mais que je paierai la franchise et aucune incidence sur le malus
Or j ai reçu ma cotisation d'assurance qui passe de 780 à 1214,00 euros 
J ai reussi  a echanger  au telephone  et il m a été precise qu un remboursement allait m etre fait qu'il y avait une erreur
Deux mois apres je n avais toujours rien 
J ai fait huit mails sans aucune réponse
J ai envoye en fevrier  2019 une lettre recommandee mettant en demeure de revoir ma cotisation et mon niveau bonus suivant les conditions sur lesquelles cette compagnie s'etait engagee 
Je n ai pas eu de réponse 
J ai envoye a nouveau une lettre recommandee il y a deux mois et toujours pas de réponse 
Et a nouveau une lettre recommandée il y a trois semaines Ils m'ont accusé réception en disant qu'ils allaient donner réponse  et rien 
Je trouve cela honteux ma cotisation ayant presque doublee 
C est facile d accrocher les clients au depart avec des conditions intéressantes et apres de ne plus faire de suivi ni revoir les conditions bonus suivant leur engagement
Je deconseille donc fortement cette compagnie.
C est une grosse Tromperie 
Aucun suivi , ils ne s occupent pas  de votre dossier , jamais de réponse 
Fuyez</t>
  </si>
  <si>
    <t>greges-86867</t>
  </si>
  <si>
    <t>Assurance vie à fuir. Des performances catastrophiques depuis 2015! Rendement de 1% en 5 ans! Des arbitrages à ne plus en finir, forcément avec des frais de 1%. Et maintenant une attente interminable pour la restitution des fonds suite à un rachat total! E-mail pourtant envoyé par Swisslife mentionnant un délai de 15 jours environ pour le rachat. Nous sommes désormais à 5 semaines et toujours rien!!! Un zéro pointé!</t>
  </si>
  <si>
    <t>07/02/2020</t>
  </si>
  <si>
    <t>christian62-94982</t>
  </si>
  <si>
    <t>Sociétaire depuis plus de 20 ans sans sinistres responsable, j'ai eu le malheur d'avoir eu le 20/05 un accident de circulation (50/50).
Je ne m'attendais pas à un tel parcours du combattant pour l'indemnisation de mes réparations (4 500€).
Véhicule déposé le 08/06 après expertise, réparé le 18/06.
Aprés envoi au siège de Rouen de la cession de créance (envoi en recommandé avec AR car ils ne veulent pas de fax ou mail), ils me disent
que le dossier est au service compta et traitement en cours.
le 17/07, Ne voyant rien venir , je vais à l'agence et les appelle: Ils n'ont rien recu (alors que j'ai une copie de l'AR).
Le temps passant (nous sommes le 23/07), je vais en concession et on appelle la plateforme : Nous n'avons pas recu la facture !!!
Le concessionnaire veut la faxer mais envoi par courrier impératif (qu'ils ne vont pas recevoir evidemment).
En fait, on a compris que la concession n'étant pas agrée par leurs soins, ils font trainer le dossier.
Je vais donc à l'agence qui transmet la facture numériquement.
Je retournerais donc la semaine prochaine et je suis sur qu'il manquera encore quelque chose.
J'ai demandé s'ils faisaient un geste commercial vu mon ancienneté, on m'a répondu négativement (en me proposant un contrat prévoyance obsèques):
véridique, ils n'ont honte de rien.
Bref, je suis toujours sans véhicule en étant prélevé tout les mois.
La MATMUT, elle assure (tu parles!)</t>
  </si>
  <si>
    <t>23/07/2020</t>
  </si>
  <si>
    <t>fernandez-pilato-l-115300</t>
  </si>
  <si>
    <t>Je suis très satisfaite de L'Olivier Assurance. De la demande de devis en ligne à l'appel téléphonique avec Maxime de Lille et la finalisation de mon contrat, tout a été professionnel, clair et rapide. Maxime, très sympathique et efficace m'a parfaitement guidée pour l'établissement de mon premier contrat d'assurance automobile tout en répondant à toutes mes questions. Je le recommande !</t>
  </si>
  <si>
    <t>29/05/2021</t>
  </si>
  <si>
    <t>jaja-54265</t>
  </si>
  <si>
    <t xml:space="preserve">Suite au sinistre du à la tempete j'ai fait la déclaration à
Pacifica qui à réagi très vite.
Le service client est très efficace,à l'écoute de l'assuré,
Merci à Stéphanie qui a été mon interlocutrice .
</t>
  </si>
  <si>
    <t>25/04/2017</t>
  </si>
  <si>
    <t>jack-106773</t>
  </si>
  <si>
    <t xml:space="preserve">Assureur trop chère en voiture, habitation et complémentaire retraite mal géré, en conséquence, a ne pas conseiller, il faut qu'il étudie de plus près leur services pour être un acteur intéressant . </t>
  </si>
  <si>
    <t>sophie-g-126169</t>
  </si>
  <si>
    <t>couverture interessante et prix attractif, offre de parrainage souplesse gestion du contrat possibilité de faire le nécessaire en ligne et réactivité du centre d'appels</t>
  </si>
  <si>
    <t>coraline-98558</t>
  </si>
  <si>
    <t>Actuellement enceinte j’ai fait une demande de prise en charge pour un arrêt liée au coronavirus puisque professionnelle de santé donc en contact rapproché avec les personnes. 
Après un mois et demi de silence la seule réponse que l’on m’a apporté est un refus de prise en charge car cela ne rentre pas dans le cadre d’une grossesse pathologique . Or l’arrêt déclaré n’a rien à voir avec la  grossesse pathologique 
Ce n’est pas la première fois que je rencontre des problèmes pour être indemnisée chez swisslife 
S’en suivent de longues démarches de réclamations (écrites et orales) nous faisant perdre temps, patience et nous mettant dans l’angoisse psychologique et budgétaire. Alors que lors de la souscription il est stipulé que le contrat « vous permet de vous protéger ainsi que votre famille, en cas de décès ou d’arrêt de travail » à la page 6 de la notice d’information.  Il n’en n’est rien ... la seule protection proposée est la protection de leur capital et non de la personne souscrivant un contrat. 
je ne recommanderai jamais quiconque de prendre un contrat chez swisslife...
Qu’est ce qu’un assureur ? Une personne vous proposant un parapluie lorsqu’il fait beau. Cela vous caractérise tellement ...</t>
  </si>
  <si>
    <t>sonia2608-89802</t>
  </si>
  <si>
    <t xml:space="preserve">Rien à redire, depuis que j'ai été chez cette assurance, je n'ai jamais été déçue </t>
  </si>
  <si>
    <t>20/05/2020</t>
  </si>
  <si>
    <t>dominique-l-105614</t>
  </si>
  <si>
    <t>Impression d'être balladé entre les services, de recommencer à raconter sa vie à chaque et dès qu'on précise les dates on nous explique que c'est plus cher...
Pas vraiment l'impression d'être fidélisé</t>
  </si>
  <si>
    <t>05/03/2021</t>
  </si>
  <si>
    <t>eddy-s-108845</t>
  </si>
  <si>
    <t xml:space="preserve">Satisfait très content de retrouver l’assurance très simple d’utilisation. 
Satisfait très content de retrouver l'assurance très simple d'utilisation
</t>
  </si>
  <si>
    <t>gilles-l-125215</t>
  </si>
  <si>
    <t xml:space="preserve">Encore particulièrement TRÈS  satisfait de la qualité de l’accueil téléphonique AMV, des conseils et de l’accompagnement de « l’opératrice » 
cordialement </t>
  </si>
  <si>
    <t>tardy-109107</t>
  </si>
  <si>
    <t xml:space="preserve">Je suis satisfait des tarifs attractifs mais le conseiller m'a mal expliqué l'acompte(qui au final n'en est pas réellement un) au prix exorbitant. Heureusement la conseillère suivante a été beaucoup plus claire et précise dans ses explications </t>
  </si>
  <si>
    <t>ptou-98431</t>
  </si>
  <si>
    <t>Refuse un devis et demande à l’assuré de faire un autre avis ... Essaye de faire payer la franchise plusieurs fois sur le même sinistre. Clôture de façon unilatérale un sinistre ... Ne suis pas l’intervention de leur technicien...</t>
  </si>
  <si>
    <t>07/10/2020</t>
  </si>
  <si>
    <t>rocambole-117053</t>
  </si>
  <si>
    <t>allianz continue de prélever 2 contrats résiliés dans le cadre de la loi Hamon et ce malgré mes différentes relances, je déconseille très fortement cet assureur peu sérieux</t>
  </si>
  <si>
    <t>sourieau-m-113389</t>
  </si>
  <si>
    <t>Satisfait : accueil, conseil, prix nickel 
Rapport service prix est ce qui se fait de mieux comparativement à la concurrence.  A suivre donc. Contrat facile à signer</t>
  </si>
  <si>
    <t>damien-94731</t>
  </si>
  <si>
    <t xml:space="preserve">bonjour je suis satisfait du devis qui a été fait ce soir lundi vingt juillet deux mille vingt merci de nous rapeler cordialement                     </t>
  </si>
  <si>
    <t>20/07/2020</t>
  </si>
  <si>
    <t>clement-l-105064</t>
  </si>
  <si>
    <t>Je suis satisfait du service.
Le prix en augmentation alors que pas de sinistres et un bonus qui augmente, je n'ai jamais vu ça ! J'aimerais avoir des explications, merci.</t>
  </si>
  <si>
    <t>lamonarchiste-58310</t>
  </si>
  <si>
    <t>Je suis adhérente depuis 45 ans je crois que ce soit pour l'assurance "auto" et également "Habitation". Je n'ai jamais eu à me plaindre mais il est vrai que je suis au maximum du bonus depuis longtemps (j'espère que cela ne va pas me porter malheur de m'exprimer ainsi !)</t>
  </si>
  <si>
    <t>23/10/2017</t>
  </si>
  <si>
    <t>robin-hood-97880</t>
  </si>
  <si>
    <t>Je voudrais donner zéro étoiles pour satisfaction mais impossible. Quelle entreprise affreux, si vous aimez sadomasochisme il faut s'inscrire chez Direct Assurance.   Ils n'écoutent pas les clients, ils ne répondent vos questions, ils vous bombardés, terrorisez avec des e-mails faux, bizarre, confus, contradictoire, stupide. Ils sont seulement interressé dans votre l'argent. Incompétence et flexible comme un bloc de béton.</t>
  </si>
  <si>
    <t>echard-o-129098</t>
  </si>
  <si>
    <t>Entre le devis et le paiement, augmentation de près de 10%. Code promo ne fonctionne pas!
Mauvaise impression de départ. Qu'en sera t'il en cas de litige ? Pas trop rassuré.</t>
  </si>
  <si>
    <t>mbarki-t-129606</t>
  </si>
  <si>
    <t>parfait. equipe reactive et tres sympathique. tarifs competitifs. je recommande. la parrainage permet de bénéficier de 50 euros pour chaque client apporté</t>
  </si>
  <si>
    <t>omar-t-112729</t>
  </si>
  <si>
    <t>les prix sont chers malgres beaucoup de personnes de ma part qui sont devenues clientes. pensez a diminuer les tarifs surtout pour les primo adhérents 
service rapide</t>
  </si>
  <si>
    <t>boitel-c-122346</t>
  </si>
  <si>
    <t>Bonjour,
Très satisfait du service et de la simplicité pour assurer mon véhicule. Je recommande ce site et pense assurer mon autre véhicule dans la foulée.</t>
  </si>
  <si>
    <t>obruni-100998</t>
  </si>
  <si>
    <t>À FUIR !!! Répondent au téléphone au bout de 20mn si ils répondent !!
Et quand ils répondent, ils n'apportent aucunes réponses à nos problèmes et raccrochent au nez quand ils ont en mare de vous écoutez en faisant croire qu'ils ne vous entendent plus.
NUUUUL, ALLEZ VOIR AILLEURS!!!</t>
  </si>
  <si>
    <t>05/12/2020</t>
  </si>
  <si>
    <t>ange14-107406</t>
  </si>
  <si>
    <t xml:space="preserve">Nul je déconseille retard de remboursement .deux mois et tjrs pas rembouy Des incompétents dans ce service . Aucune réponse aux courriers mails etc .. </t>
  </si>
  <si>
    <t>dimond-80008</t>
  </si>
  <si>
    <t>Tres bon service client les demandes sont bien suivient. Merci Sara M. Une personne aimable poli et concensieuse. Elle à répondu très rapidement à ma demande. Je recommande vivement cet assureur.</t>
  </si>
  <si>
    <t>14/10/2019</t>
  </si>
  <si>
    <t>omertagmf69004-57840</t>
  </si>
  <si>
    <t>1 bris de glace, 1accident non responsable  et 1 responsable sans dégat à autrui en 3 ans. La directrice Croix Rousse 69004 m'a tout simplement radié. Colère et dégout</t>
  </si>
  <si>
    <t>05/10/2017</t>
  </si>
  <si>
    <t>fred-106289</t>
  </si>
  <si>
    <t>Facturation de frais d'échéance jamais mentionnés lors de la signature de mon contrat. la somme n'est pas importante mais j'ai l'impression que cette assurance n'est pas transparente... dommage !</t>
  </si>
  <si>
    <t>grandemange-a-115614</t>
  </si>
  <si>
    <t>l'assurance scolaire est assez élevée mais c'est plus simple d'avoir tout au même endroit. Plutôt que d'envoyer par mail l'attestation, ne serait-il pas possible de l'éditer et la télécharger en direct?</t>
  </si>
  <si>
    <t>alain--103883</t>
  </si>
  <si>
    <t>Remarquable accueil par Emeline; grande compétence, et de professionnalisme.
Je la remercie aussi pour sa diligence et son amabilité.
Bravo et merci !</t>
  </si>
  <si>
    <t>09/02/2021</t>
  </si>
  <si>
    <t>marine-72369</t>
  </si>
  <si>
    <t>Fidèle client depuis plus de 25 ans  ; il n'y aura pas de 26ème! Suite à un accident non responsable (victime d'un délit), aucune action réalisée pour obtenir un remboursement , aucun suivi de l'affaire ( c'est moi qui leur annonce des audiences au tribunal,..) ; et pour clouer le tout  : non remboursement des sommes dues  conformément au contrat. Assuré au tiers, les mots de la maaf : "vous n'aviez qu'à vous assurer tous risques!!" Comment ne pas sortir de ses gonds...!</t>
  </si>
  <si>
    <t>21/03/2019</t>
  </si>
  <si>
    <t>cord2d2-17795</t>
  </si>
  <si>
    <t>Voilà 15 jours que j'attends qu'on me rappelle !!! Malgré déjà 4 RDV téléphonique, toujours aucune nouvelle et les personnes qui répondent au central téléphonique sont absolument incapables de dire autre chose que : "désolée Madame, mais je ne peux rien faire pur vous, quelqu'un va vous rappeler DEMAIN, sans faute " 
Je n'ose même pas imaginer les emmerdes en cas de sinistre. Le prix attractif qui vous fait choisir ces incapables est la seule chose de commercial chez eux.
Je vais être obligé de vendre ma voiture car je ne peux payer la totalité de l'assurance à l'année, et ne peux, non plus, fractionner le paiement. Avec l'argent de la vente, j'en achèterai une autre et pourrai alors m'assurer où bon me semble, en demandant alors la mensualisation</t>
  </si>
  <si>
    <t>05/01/2017</t>
  </si>
  <si>
    <t>bernadette-s-114919</t>
  </si>
  <si>
    <t>Tout est correct pour moi, prix, services.
Pour l'instant je n'ai pas eu de recours ni pour accident, ni pour d'autre dossier.
J'espère qu'en cas de besoin ce sera à la hauteur de mes attentes
Merci</t>
  </si>
  <si>
    <t>yvan78-58904</t>
  </si>
  <si>
    <t>Je suis assuré chez direct Assurance depuis 2 ans et 2 mois. La première année, mon contrat était de 870€ par an. Pendant ces 2 ans et 2 mois, j'ai eu deux sinistres NON responsables (0% de responsabilité).
Après vérification de mon échéancier, mon assurance est passée de 870€ à 1470€ !! 
J'appelle Direct Assurance et on m'informe que tout est normal. La cotisation a augmenté car l'année 2016 a été touché par des attentats et par des catastrophes naturelles. Pour couronner le tout, la personne de Direct Assurance me dit que si j'ai un sinistre en responsable partielle, totale ou null, direct Assurance procédera à une résiliation !! J'ai cru rêvé.... 
Pour dire que Direct Assurance, c'est une solution pas chère mais à vos risques et périls ! Vaut mieux opter pour une solution certes plus cher mais avec plus de sérénité.
Je fais actuellement des demandes de devis pour changer d'assurance.</t>
  </si>
  <si>
    <t>16/11/2017</t>
  </si>
  <si>
    <t>bandit56-100044</t>
  </si>
  <si>
    <t>A l'occasion du dernier sinistre automobile enregistré au bureau de  la MACIF, l'indemnisation qui m'était dû m'a été versée sous forme de virement immédiat sur mon compte bancaire.</t>
  </si>
  <si>
    <t>13/11/2020</t>
  </si>
  <si>
    <t>sodic-108047</t>
  </si>
  <si>
    <t>Je poste pour mes parents qui ne savent pas comment mettre un avis pour la Macif , voila leur histoire après 15 ans anciennetés et comment la MACIF les as radié .
Coup de gueule envers la MACIF. Assuré depuis 2006 pour notre camping-car en tous risques ; la Macif nous a radié au 31 mars pour 4 sinistres.
Dont 2 non responsables : 1 en stationnement sur un parking d'autoroute, nous sommes réveillés à 3 h du matin par la gendarmerie qui vient de faire fuir notre cambrioleur qui avait forcé la porte. Le second en roulant par vent très fort le lanternau de toit du camping-car s'est envolé et 2 responsables mais c'est du matériel «par-choc ».
Du fait d'être radié par la Macif aucune assurance ne veut signer un nouveau contrat pour notre camping-car ; même les assurances Malus Bonus Résiliés. Il faut passer par l'organisme Bureau Central de tarification qui désignera une assurance d'office, l'instruction du dossier demande environ 1 à 2 mois. Bref, tant qu'il s'agit de payer ça va.  Fuyez cette assurance Macif qui n'assume pas son rôle d'assureur ou uniquement pour ceux qui n'ont pas de sinistres. Les assurés, les sociétaires ne sont que des pigeons.</t>
  </si>
  <si>
    <t>sophie-128378</t>
  </si>
  <si>
    <t xml:space="preserve">Quelle catastrophe !!!
Suite à un devis de délégation d'assurance de prêt immobilier, une offre m'a été proposée.
Celle ci semblait effectivement intéressante, très intéressante même.
J'ai pris la peine de demander par email à mon interlocutrice si nous étions assurés mon mari et moi à 100 pour cent sur la totalité du prêt. J'ai reçu un mail de confirmation, mais force est de constater après signature du contrat que mon interlocutrice s'est trompée et a effectivement assuré notre prêt à 100 pour cent mais sur la moitié du montant de notre prêt.
Depuis 3 semaines on nous demande de renoncer à ce contrat, or l'erreur vient des services de MAGNOLIA. Sur le principe je demande à ce qu'on nous envoie une vignette timbrée correspondant au prix du recommandé, je pense que c'est la moindre des choses et mon interlocutrice tourne en boucle, sans qu'aucun responsable ne me rappelle. Je suis lassée de cette situation et ne recommande pas du tout.
</t>
  </si>
  <si>
    <t>matthieu-m-106234</t>
  </si>
  <si>
    <t xml:space="preserve">Les prix sont trop élevés en comparaison de la concurrence, je changerais d'assurance automobile dès  l'année révolue. Même les garanties sont moindres par rapport aux autres. Je me suis réellement trompé en les pensant compétitifs. </t>
  </si>
  <si>
    <t>philippe-m-112670</t>
  </si>
  <si>
    <t xml:space="preserve">Je suis satisfait de la prise en charge rapide. Prix très intéressant.
À donner à d'autres utilisateurs de deux roues qui ne demandent qu'à payer moins cher tout en ayant les mêmes garanties. </t>
  </si>
  <si>
    <t>bigjul30-137656</t>
  </si>
  <si>
    <t>Depuis un an j'essaie de me faire rembourser de l'optique pour mon fils. Le dossier a été envoyé papier, puis voyant que rien n'arrivait je l'ai renvoyé via le site. Rassurez vous, je n'est toujours pas été remboursé (les soins de mon fils datent d'Octobre 2020). 3 fois j'ai des opérateurs qui me confirment que mon dossier est complet. Mercer intervient en 2nde mutuelle, visiblement c'est trop compliqué pour eux. Je leur suggère de changer de métier !!!</t>
  </si>
  <si>
    <t>18/10/2021</t>
  </si>
  <si>
    <t>mimi87-91657</t>
  </si>
  <si>
    <t>Client MAAF depuis octobre 1969 pour toutes assurances: Auto, habitation, santé, et professionnelle. 
Jusqu'en  2018, tout s'est très bien passé.....depuis, le contrat auto de mon épouse a été résilié....pour 2 accrochages sans aucune responsabilité et 1 avec responsabilité qui s'est produit 3 ans avant avec son ancien véhicule. le contrat de ce véhicule est parti ailleurs ainsi d'un autre contrat qui concernait mon épouse.
Personnellement  je bénéficie du bonus 50% a vie. 
MAAF a trouvé la solution pour supprimer ce bonus qu'ils m'avaient accordé. 
Par téléphone, l'agence  que je vais recevoir un avenant à mon contrat Auto qui fera passer la franchise de 200 à 400€. je refuse évidemment.
Une semaine après, je reçois un contrat auto qui remplacera l'actuel avec bien sur la franchise doublée sans aucun motif. Contrat a renvoyer signé avant un mois sous peine de me voir résilier en fin d'année.
En plus une formule de politesse qui m'a ravi particulièrement après 51 ans de fidélité....Je cite la MAAF:
"Sans réponse de votre part, et croyez bien que je le regrette, cette modification ne prendre pas effet et nous résilierons, à échéance votre contrat"
Donc si je désire garder le bonus 50% a vie, j'accepte de me faire.........
Pour l'instant, cela me fait réfléchir, car, j' actuellement encore 5 contrats diffèrent chez eux. Ces contrats risque bien de rejoindre ceux de mon épouse qui est enchantée de sa nouvelle assurance.</t>
  </si>
  <si>
    <t>20/06/2020</t>
  </si>
  <si>
    <t>hugo-104981</t>
  </si>
  <si>
    <t>A fuir suite à une mise en invalidité tout les ans l'or de mise  à jour du dossier les papiers s égaré ne sont pas reçu pourtant envoyé  en rc mode de calcul de la dentelle montant garantie pour une mise en invalidité total rente CPAM plus ag2r quel serais le montant</t>
  </si>
  <si>
    <t>william-f-138585</t>
  </si>
  <si>
    <t>Assurance qui a l’air très sérieuse. Bon accueil téléphonique. Tout peut se faire en ligne très bien! Tarifs assez compétitifs pour un scooter 50cc. A voir en cas de sinistres si toujours aussi bien.</t>
  </si>
  <si>
    <t>pb21-56285</t>
  </si>
  <si>
    <t>Encore un mensonge. On vous donne un accord le 20. Le 26 personne ne sait plus rien. Aucun respect du client (25 ans de cotisations) 
Menteurs,  incompétence des conseillers.
Cette fois je change. 6 contrats.</t>
  </si>
  <si>
    <t>26/12/2019</t>
  </si>
  <si>
    <t>mak-88202</t>
  </si>
  <si>
    <t>Comme tout le monde j'ai été attiré par la pub et l'offre de remise de la MAAF.Tout le monde était très à l' écoute pour souscrire mais une fois signé ,bonjour la galère. J'ai été percuté le par l'arrière le 24 janvier un soir par un automobiliste.  La gendarmerie nous en prend en charge ( constat....). Je ne vous cache pas le choc psychologique et l état physique avec des douleurs suite à l'accident. Je n'ai pas eu de blessures mais des douleurs suite au choc: épaules , genoux et blocage à reprendre le vehicule. Je contacte mon médecin qui me donne rendez-vous 4 jours  après le choc. Il ne constate rien de grave et me demande de revenir le voir dans un mois. Je souffre de douleurs aux genoux , au épaules qui ont été réveillées suite au choc.
Je recois un questionnaire médical que je retourne. A ma grande surprise je  un courrier avec une idemnisation de 200 euros, pour geste commercial.
Je conteste ce ridicule montant et explique la gêne occasionnée à mon épouse qui s'est occupée de moi au début de mon accident, les douleurs persistantes......
Rien à faire , j'ai eu en face de moi une pure commerciale qui n'écoute et ne prends rien en compte.
Bref elle récite son argumentaire et n'a rien à foutre tout simplement.
Je trouve cela honteux, me balancer 200 euros. 
Je vous conseille donc de bien faire attention et de tout préparer avant d'avoir à faire aux conseillers car se sont des robots et non des êtres humains.
Voici mon expérience avec la Maaf.
Dois-je prendre un avocat spécialisé ? Mon entourage m'encourage à le faire.
Merci de votre aide.</t>
  </si>
  <si>
    <t>salifou-a-131426</t>
  </si>
  <si>
    <t>bonjour jai vu ma cotisation augmente apres le changement de voiture,pr le moment je suis pas décus,jespere avec le temps je pense que ca baisser ,sinon dans l'ensemble ça va</t>
  </si>
  <si>
    <t>05/09/2021</t>
  </si>
  <si>
    <t>fabrice-d-133356</t>
  </si>
  <si>
    <t xml:space="preserve">JE SUIS SATISFAIT DU SERVICE  SUITE A MA DEMANDE SUR LE NET ET DE LÉFICACITER QUE AVAIT PROPOSER MERCI A TOUTES L'ÉQUIPE D'AMV POUR LE TRAVAILLE FOURNI  CORDIALEMENT </t>
  </si>
  <si>
    <t>poulain-j-139705</t>
  </si>
  <si>
    <t>Je suis satisfaite pour le moment, j'espère ne pas être déçu et être bien protégé. Prix dans la moyenne.
La personne qui m'a conseillé était très aimable</t>
  </si>
  <si>
    <t>marie-t-112394</t>
  </si>
  <si>
    <t>très satisfaite des formules que vous proposez. Excellent rapport qualité prix. ET merci pour la clarté des différents pack proposés. Je vous recommanderais vivement.</t>
  </si>
  <si>
    <t>02/05/2021</t>
  </si>
  <si>
    <t>dikris-g-110491</t>
  </si>
  <si>
    <t>Je suis satisfaite de vos services mais je suis obligée de changer d'assurance pour mon nouveau véhicule car le devis du contrat est trop cher, plus cher encore que le contrat de ma banque</t>
  </si>
  <si>
    <t>macfly-51998</t>
  </si>
  <si>
    <t>Très mauvaise assurance, ne rembourse absolument rien sauf 25€ de vaccin par an....Tout ce qui est marqué remboursable dans le contrat ne l'est pas....a éviter absolument !!</t>
  </si>
  <si>
    <t>03/02/2017</t>
  </si>
  <si>
    <t>tb-59021</t>
  </si>
  <si>
    <t>tres bon rapport qualité/prix en général.problème de tarifs a partir de la 2eme année car souvent l'offre internet est bien plus intéressante que le tarif de la 2eme année!</t>
  </si>
  <si>
    <t>dave3434-86942</t>
  </si>
  <si>
    <t xml:space="preserve">j'ai eu un sinistre non responsable en date du 15/11/2019,j'ai avancé les frais de réparation de mon véhicule et allianz m'a sois disant envoyé un chèque du montant des réparations que je n'ai jamais reçu et après moultes coups de téléphone au service client, je leur ai demandé de me faire un virement et leur réponse à été "Nous n'avons pas votre RIB pour vous faire un virement". Alors là il sont trop forts chez Allianz, pour les prélèvements,ils font comment?
Suite à cela,nous sommes le 10/02/2020 ai je n'ai toujours pas le virement sur mon compte alors que j'ai reçu un mail de leur part comme quoi la transaction à été faite le 06/02/2020 et on me dit aujourd'hui qu'il faut que j'attende 10 jours, ce qui nous fait donc 3 mois d'attente pour un remboursement pour un sinistre dont, je le rappel, je ne suis pas en faute.
d'autant que je suis un très bon client depuis plus de 30 ans et avec plusieurs contrats (4 véhicules + habitation).
Et de plus je suis bon payeur.(normal, là, Ils ont  mon RIB).
Bon enfin bref je pense que  après cela je risque fortement d 'aller voir ailleurs.
</t>
  </si>
  <si>
    <t>10/02/2020</t>
  </si>
  <si>
    <t>mimiminou-116625</t>
  </si>
  <si>
    <t>Je viens de résilier mon contrat que j'avais depuis 10 ans. Pour un petit montant en pharmacie que j'ai payé le 19 Mai, ils m'ont soit-disant réglé le 26 Mai (en plus cela représente la moitié de ce que j'ai payé) et le règlement n'est toujours pas sur mon compte 3 semaines après.
Je viens de vérifier leur situation financière :
14/05/2021	Extrait de procès-verbal d'assemblée générale mixte	
Poursuite d'activité malgré un actif net devenu inférieur à la moitié du capital social
Dépôt numéro 3114 du 31/05/2021
Fuyez.</t>
  </si>
  <si>
    <t>mat-128861</t>
  </si>
  <si>
    <t xml:space="preserve">Pour moi pas d'échappatoire c'est un contrat de groupe cadre professionnel !
ici c'est comme ailleurs un site avec  interface efficace, des conseillers qui ne répondent rien mais qui répondent quand même et personne au traitement ni en front ni en back office . organisation inopérante, qui exclue de fait, le conseil, le respect des procédures qualité, la cohérence entre les interlocuteurs, la compétence fine sur les cas particuliers . 
et qui valorise bien plus la disponibilité des conseillers. Le problème c'est que chez harmonie comme ailleurs un conseiller n'a que très peu de compétence du domaine et se contente "de vous comprendre", "de faire remonter "mais ou ? de ne pas "avoir à son niveau de réponse" . On évacue toute problématique individuelle pour recenter votre demande sous un item préalablement établi. Ainsi un refus de prise en charge n 'est pas faute de la mutuelle, un non respect contractuel, mais le fait d'une procédure manquante dont personne ne vous avait jamais parlé et qui n 'apparaît nulle part ailleurs que dans la tête du conseiller lequel travaillait chez free précédemment et  chez amazon demain !  
Mon contrat groupe est récent, pendant un an aucun problème ... Puis j 'ai demandé sur présentation de devis une estimation des remboursements auxquels je pouvais prétendre cadre soins dentaires .... Des "experts" répondent que les devis ne sont pas conformes aux nomenclatures SS, je renvoie cette affirmation sur les cliniques dentaires ...qui me renvoient les 38 pages de la  nomenclature SS, me demandant ironiquement de leur fournir ! donc toujours pas de réponse à 26 jours 
Je suis chez eux depuis 3 ans, lors de ma dernière demande de remboursement j'ai un refus car il veulent savoir quelle est ma première mutuelle ?????j'indique  que j 'en ai 136 et que je ne sais pas quelle est la première ! toujours pas de réponse non plus. En plus d'être inefficace ils n 'ont aucun sens de l humour, ( ça va ensemble généralement) 
NE JAMAIS UTILISER LE SECOND DEGRE, le premier leur est déjà difficilement accessible !
je fournis continuellement des attestations de droit afin que la SS fasse systématiquement le lien avec eux , rien n'est fait !c'est valable 3 mois faudrait il qu 'ils réagissent avant. 
</t>
  </si>
  <si>
    <t>20/08/2021</t>
  </si>
  <si>
    <t>gwen14-66366</t>
  </si>
  <si>
    <t>seulemnt présent pour prendre votre argent . Ne leur demandez rien d'autre</t>
  </si>
  <si>
    <t>23/08/2018</t>
  </si>
  <si>
    <t>paloma-125235</t>
  </si>
  <si>
    <t>J'ai été reçu par Widad qui m'a bien renseigné sur ma demande. L'entretien a été court , constructif, et efficace. J'attends donc ma carte définitive de mutuelle qui devrait arriver prochainement</t>
  </si>
  <si>
    <t>upette-53961</t>
  </si>
  <si>
    <t xml:space="preserve">clients depuis 40 ans la Macif n'est plus ce qu'elle était !maintenant on n'est plus qu'un numéro de sociétaire ! et ils sont plus chers en assurance voitures.si par hasard vous voulez assurer une caravane alors là au secours ils ne connaissent plus personne. Ils ont tellement peur des gens du voyage. et pourtant j'en suis à ma 17 ème caravane, eh oui c'est notre loisir,chez eux ! je vais les quitter tant pis </t>
  </si>
  <si>
    <t>09/04/2017</t>
  </si>
  <si>
    <t>marine-r-112353</t>
  </si>
  <si>
    <t>Très satisfaite autant niveau tarifs que conditions de couverture habitation et auto. Très bon service client. Ancienne cliente de retour après avoir vu de tout et n'importe quoi ailleurs.</t>
  </si>
  <si>
    <t>chitania-52870</t>
  </si>
  <si>
    <t>J'ai demandé des documents en septembre 2016 pour pouvoir renégocier mon prêt immobilier. A ce jour je n'ai toujours rien eu malgres de très nombreuses relances aupres de naoassur. les taux sont repartis à la hausse et maintenant le renégociation n'est plus aussi intéressante. je perds 3000 € dans l'histoire. C'est scandaleux. Je n'imagine pas comment cela pourrait se passer s'il nous arrivait quelque chose....</t>
  </si>
  <si>
    <t>nabil-e-114746</t>
  </si>
  <si>
    <t xml:space="preserve">Bonjour,
je suis satisfait des services en général de Direct Assurance filiale de Axa Assurance en France.
Je recommande a vos assurés de rester.
Bonne journée </t>
  </si>
  <si>
    <t>vandermarliere-m-111287</t>
  </si>
  <si>
    <t>Super contact téléphonique, très sympathique, patient, explique bien. Assurance tous risques prise en toute connaissance de mes garanties en une demi-heure sans prise de tête, je suis très contente.</t>
  </si>
  <si>
    <t>maud-v-116208</t>
  </si>
  <si>
    <t>J'appelle pour avoir des informations sur mon compte: on refuse de me les donner car je ne suis pas habilitée à poser mes questions, seul mon mari le peut.
On se croirait revenu en 1750.
Je veux juste savoir si mon contrat habitation couvre bien la piscine qu'il y a dans notre jardin, et si oui avec quelles garanties.</t>
  </si>
  <si>
    <t>jean-claude-m-114488</t>
  </si>
  <si>
    <t>Je crois que je vais changer d 'assurance a la date anniversaire, ma cotisation mensuelle ne cesse d'augmenter, je trouve maintenant des assureurs qui me proposent jusqu’à 200 € par an de moins, dommage</t>
  </si>
  <si>
    <t>21/05/2021</t>
  </si>
  <si>
    <t>chris83-62921</t>
  </si>
  <si>
    <t xml:space="preserve">Courriers qui se perdent dans leurs établissement s ou entre eux. Obligé d'envoyer les courriers et les dossiers avec LRAR. Traitement des paiements difficile s.
</t>
  </si>
  <si>
    <t>remy-b-110940</t>
  </si>
  <si>
    <t xml:space="preserve">satisfait je suis content. Meme si je trouve que ecrire un avis aussi long est un peu déraisonnable et contraignant. Mais je l'ai tout de meme faire. </t>
  </si>
  <si>
    <t>sabrina-96345</t>
  </si>
  <si>
    <t>il faut apporter la preuve.........DE la preuve..... de lavance des frais
J ai trouvé le temps très long pour avoir un interlocuteur en cas de pépin. Mon malheur a été de dire que je ne savais pas envoyer de photo depuis mon téléphone, du coup le dossier metplus d un mois au lieu de 7 ou 8 jours. Parce que le probleme est d obtenir une adresse mail ou leur envoyer les factures .
Puis une fois les factures envoyées, sans nouvelles de leur part , moi , le sinistré , je leur ai ré -écris et une personne me signale que le paiement de mon hotel ne me sera pas remboursé , malgré l envoi de la facture tant que je n envoie pas la peuve que j ai payé depuis mon compte en banque .
je ne comprends pas pourquoi il a fallu que je relance pour savoir que mon dossier etait incomplet. Une lettre a t elle eté editée?, aurrais je ete au courant?
Bilan je regrette la macif dans ce genre de cas , qui ne fait pas faire l avance des frais si on leur demande.
thierry bouchet</t>
  </si>
  <si>
    <t>aferevou-86484</t>
  </si>
  <si>
    <t>Clients depuis 1990 nous attendons aujourd'hui les fonds issus de la succession de notre père. Depuis l'envoi du courrier RAR il y a 2 mois avec toutes les pièces requises, nous n'avons aucune nouvelles, aucune réponse aux mails envoyés au service client, impossibilité de joindre qui que ce soit au téléphone sauf une fois où après avoir prononcé le mot "succession" on m'a remis en attente 10 mn pour finalement me raccrocher au nez. Nous allons porter cette affaire devant la justice au vu des expériences des autres clients nous n'avons pas le choix</t>
  </si>
  <si>
    <t>29/01/2020</t>
  </si>
  <si>
    <t>sabrina-d-107488</t>
  </si>
  <si>
    <t xml:space="preserve">j'étais satisfaite mais je suis très déçue de voir que je dois payer une franchise pour changer la vitre de ma voiture qu'on a fracturée alors que je suis assurée depuis plus de 5 ans sans sinistre et au mois 10 années d'assurance pour mon mari ! </t>
  </si>
  <si>
    <t>leroux-e-114255</t>
  </si>
  <si>
    <t>Conseillère très agréable connaissant très bien son produit. Les informations sont treès clair et j'ai obtenu les réponses à toutes mes questions. Merci à L'équipe L'Olivier</t>
  </si>
  <si>
    <t>santos-da-costa-s-122306</t>
  </si>
  <si>
    <t>Rapport qualité prix très bien. Site internet simple et efficace, rapidité pour les devis. Souscription au contrat très simple et rapide. Je recommande.</t>
  </si>
  <si>
    <t>jean-stephane-m-135048</t>
  </si>
  <si>
    <t>Super tarifs et Séraphin de Zen'Up est toujours très efficace. A conditions identiques, je divise en général par deux le cout de mon assurance emprunteur.</t>
  </si>
  <si>
    <t>christophe-71570</t>
  </si>
  <si>
    <t xml:space="preserve">En 2014,Mon fils âgé 14 est monté dans une voiture d'un voisin et à toucher la vitesse et elle a percuter une autre voiture. Donc déclaration sur ma RC  de l'assurance PACIFICA. Refus de prise en charge.  
J'ai fait une demande au médiateur des assureurs qui a retourner mon courrier à PACIFICA et celle ci m'a confirmer le refus. Après plusieurs AR au médiateur, je n'ai plus eu aucune réponse.
Je doit emprunter une somme d'argent conséquente pour payer toutes les réparations.
 </t>
  </si>
  <si>
    <t>22/02/2019</t>
  </si>
  <si>
    <t>hicham-b-132864</t>
  </si>
  <si>
    <t>Satisfait de direct assurance depuis 4 ans.
Un très bon service et une meilleure gestion des sinistres.
Franchise un peu élevée.
Espace adhérant et application mobile très pratique</t>
  </si>
  <si>
    <t>fred53300-96288</t>
  </si>
  <si>
    <t>Quel honte. Me voilà arrêter depuis le 16 mars. Après 3 mois de franchise , j envoie la TOTALITÉ DES DOCUMENTS EN LRAR!!! Et là je reçois un courrier demandant la moitié des documents demandés et des pièces sur ma santé pour faire en sorte de ne pas indemniser. Très choquant. Je vais être obligé de prendre avocat pour me défendre face à un assureur qui fait tout pour ne pas indemniser. Je vais finir par faire une dépression en plus du reste...</t>
  </si>
  <si>
    <t>LCL</t>
  </si>
  <si>
    <t>hamza-m-130836</t>
  </si>
  <si>
    <t xml:space="preserve">Je suis satisfait de ce service je trouve que cette assurance et génial et j’espère continuer longtemps nos collaboration entré assurance et assuré merci </t>
  </si>
  <si>
    <t>ben-93857</t>
  </si>
  <si>
    <t xml:space="preserve">Devis rapide et va à l’essentiel , prix attractifs.                                                                                                     </t>
  </si>
  <si>
    <t>12/07/2020</t>
  </si>
  <si>
    <t>caillet-s-115125</t>
  </si>
  <si>
    <t xml:space="preserve">Les franchises sont abusives 
Avec 3 véhicules assuré et un bon coefficient je trouve que sa reste cher payer ! On verra comment vous gérer les sinistre non responsable !sinon je ne garantis pas la continuité  avec l olivier pour l année prochaine 
N
N
N
</t>
  </si>
  <si>
    <t>cannabocca-66686</t>
  </si>
  <si>
    <t>A eviter absolument !!!!Suite a un sinistre bris de glace + vandalisme sur mon véhicule, je me retrouve à payer 2 franchises , je passe les détails liés au soucis rencontrés avec le garage agrée et le cabinet d'expertise, le pire c'est la maif qui ne réagit pas et qui joue de nous comme une baballe se rejetant la faute! trés déçus!! autant aller chez un assureur lowcoast quitte à galérer pour se faire indemniser autant payer une cotisation beaucoup moins chèr.</t>
  </si>
  <si>
    <t>07/09/2018</t>
  </si>
  <si>
    <t>sebastien-a-110648</t>
  </si>
  <si>
    <t>le site et les formulaires pour établir les devis sont clairs et ergonomique. Bien que les moins cher, pour un jeune permis A2 avec plus de 25 ans de permis B et un bonus 50% les prix d'assurance reste cher.....</t>
  </si>
  <si>
    <t>alfetta-57164</t>
  </si>
  <si>
    <t>A fuir ! Après trois ans de fidélité, mon bonus a augmenté mais ma prime elle, ne baisse pas ! "mais ça dépend du nombre d'accidents à l'année"  Service réclamation arrogant et sans solution, des mois sans prélèvements pis hop on rattrape et on se retrouve avec des centaines d'euros à payer d'un mois à l'autre... on a pas le droit de changer d'avis pour assurer un véhicule, le contrat n'a même pas encore démarré ben non, faut détruire ou vendre le véhicule pour s'en débarrasser. Honteux... pognon pognon pognon...</t>
  </si>
  <si>
    <t>27/02/2019</t>
  </si>
  <si>
    <t>philippe-g-105856</t>
  </si>
  <si>
    <t>Merci d'avoir pris en compte notre discussion téléphonique et de ne pas avoir augmenté le tarif.
Concernant la FORD, je vous demanderai également de ne pas en augmenter le tarif.
Bien cordialement</t>
  </si>
  <si>
    <t>muriel-c-126711</t>
  </si>
  <si>
    <t>Je suis très satisfaite et je recommende cette assurance pas chère pour les conducteurs moto devis rapide tarifs défiant toutes concurrences motos 125</t>
  </si>
  <si>
    <t>domitour-53485</t>
  </si>
  <si>
    <t>Difficile de commenter étant nouveau client.
Il est assez facile de rentrer en contact avec un conseiller.
Les conseillers sont très disponibles.
En souhaitant ne jamais connaître la qualité d'intervention en cas de sinistre.</t>
  </si>
  <si>
    <t>22/03/2017</t>
  </si>
  <si>
    <t>guillaume-61204</t>
  </si>
  <si>
    <t xml:space="preserve">suite à un accident le 12 octobre 2016 , la compagnie à mis 12 mois pour un rdv avec son expert et depuis aucun retour  je dois les relancer tout les mois sans aucun retour écrit de la compagnie Axa. </t>
  </si>
  <si>
    <t>nord-58477</t>
  </si>
  <si>
    <t>Eurofil éjecté les clients pour 1accident responsable et Deux non responsable vraiment lamentable</t>
  </si>
  <si>
    <t>03/11/2017</t>
  </si>
  <si>
    <t>gbxxx666-81621</t>
  </si>
  <si>
    <t xml:space="preserve">Clairement ils ne respectent pas les contrats d'adhésion pour tout ce qui est prise en charge, remboursement, prime etc... Par contre notez bien qu'ils sont champions dans ce qui est prélèvements à tout va avec des sommes (non justifiées) qui sortent de je ne sais où..., des non réponses via service client (mail ou téléphone), des réclamations non gérées, des promesses non tenues... Mesdames, messieurs...si vous souhaitez payer une blinde pour pas grand chose faites...sinon passez votre chemin pour le bien de votre compte en banque et votre santé. Ah et oui..comme mentionné ci-dessous..augmentation de dingue sur les cotisations sans prévenance... </t>
  </si>
  <si>
    <t>05/12/2019</t>
  </si>
  <si>
    <t>lysgomis835-81812</t>
  </si>
  <si>
    <t>Je suis VRAIMENT AU BOUT DU ROULEAU. Le 01/10/2020 je prête EXCEPTIONNELLEMENT mon scooter (TMAX) à un ami, il perd le contrôle du véhicule et se retrouve dans coma pendant plus de 24h. Le scooter est déclaré économiquement irréparable.
Vu que je suis assuré en "TOUS RISQUES" et que j'ai prêter le véhicule à titre exceptionnel, AMV décide de prendre en charge les dommages du véhicule (après de longs mois de bataille) mais je dois m'acquitter d'une franchise de 750e (que j'ai payé de suite) car le conducteur n'était pas sur le contrat.
Jusque là pas de problème.
AMV me propose de me racheter le scooter 9500e alors que la côte était de 10500 avant l'accident, chose que je refuse. Du coup je le garde pour 1800e (pour vendre les pièces de mon côté) et l'assurance doit me rembourser la différence (soit 7800e). Au moment de m'indemniser, l'assurance se rend compte que sur mon certificat de non gage il est inscrit une "suspension administrative". AMV me dis de régulariser au niveau des services de police. Mais ça va bientôt faire 1an qu'on me balade de service en service entre AMV, le commissariat et la préfecture et je n'ai toujours pas reçu le moindre centime. A quoi bon payé une assurance "TOUS RISQUES" si à chaque fois que vous devez être indemnisé on cherche la petite bête pour pas vous payer?
Surtout que AMV ne m'a jamais aidé dans les démarches en essayant d'appeler le commissariat, la préfecture ou autres...
Et je sais que beaucoup d'assurance qui vous considèrent comme des humains et pas comme des numéros clients, vous donnent un coup de main dans les démarches. Par contre AMV n'oublie pas de me prélever 140e par alors que je n'ai plus de véhicule depuis presque 1an. Je trouve ça complètement SCANDALEUX !!!
J'ai pris conseil auprès d'un avocat spécialisé dans les assurances, et il m'a dit que ce n'était pas normal. J'envisage donc de porter plainte pour être toucher mon dû et demander un préjudice car ça fait presque 1an que je me déplace en bus, taxi, vélo ou à pied et cela a un coût.
J'ai déjà pris contact avec un journal local (VAR MATIN) pour expliquer ma situation et on est déjà 8 clients à dénoncer les pratiques de cette assurance. Donc croyez moi vous allez en entendre parler.
Je vais aussi en remettre une couche sur les réseaux sociaux comme ça la coupe sera pleine. Merci de m'avoir lu.</t>
  </si>
  <si>
    <t>zareba-s-116237</t>
  </si>
  <si>
    <t>Très bon contact téléphonique, tout est bien détaillé et expliqué. Les tarifs sont très attractifs par rapport à certaines autres compagnies d'assurance très connues</t>
  </si>
  <si>
    <t>floregilles-80401</t>
  </si>
  <si>
    <t>Les Conseillers vous accueillent au téléphone avec le sourire et sont très sympathiques. Ils sont très professionnels, répondent à toutes vos questions et interrogations, et vous trouvent une solution très rapidement. Même si on souhaite les avoir le moins possible, quand on appelle l'Assurance L'Olivier, on sait que l'on aura toute satisfaction. Merci et Bravo à toutes et tous.</t>
  </si>
  <si>
    <t>riadh11-80689</t>
  </si>
  <si>
    <t xml:space="preserve">00/20. Je Déconseille cette assurance. Ils sont pas du tout sérieux. On vous dit que votre chat est assuré pour le mois d'octobre; j'envoie tous les feuilles de soins bien remplies (vaccin, maladie, et médicaments avec le cachet et la signture du vétérinaire). On m'apprends ensuite que je ne serai pas remboursé car je suis dans le délais de carence! Évitez, évitez évitez cette assurance! Je vais publier mon avis partout! Sur les sites internet, sur tous les réseaux sociaux, et je vais même prévenir les associations et mes ami(e)s qui défendent la cause animale! </t>
  </si>
  <si>
    <t>krol-68199</t>
  </si>
  <si>
    <t xml:space="preserve">Chez la MAAF de puis 1998, j'avais droit au Bonus à vie, étant considérée comme bonne conductrice... Très bien. 1 sinistre responsable en décembre 2017, la MAAF m'a indiqué que j'allais recevoir un avenant à mon contrat pour doubler ma franchise. Je n'ai rien reçu et rien signé et mon contrat est en cours de résiliation par la MAAF !! tout est parfait tout pendant que vous n'avez aucun souci mais au moindre problème, les relations ne sont plus les mêmes. Une mention spéciale au directeur d'agence de Nantes Penthièvre qui m'a notifié par téléphone mon obligation de signer l'avenant mais qui refusait de répondre à mes questions m'indiquant être un simple "ambassadeur" et ne pas connaître les détails de ma situation ! sinon, les interlocuteurs sont polis mais vous passent sous silence ce qui apparaît sur leurs écrans et ne sont manifestement investis d'aucune obligation de conseil (!) sauf 1 qui m'a indiqué "je vais être honnête, votre contrat est en cours de résiliation !" et a fait preuve d'un minimum d'empathie à mon égard.    </t>
  </si>
  <si>
    <t>30/10/2018</t>
  </si>
  <si>
    <t>camilla-63156</t>
  </si>
  <si>
    <t>Je suis d'accord : il existe de meilleures mutuelles</t>
  </si>
  <si>
    <t>11/04/2018</t>
  </si>
  <si>
    <t>mssk-r1-69336</t>
  </si>
  <si>
    <t>Pour souscrire rien de plus facile et rapide. A la souscription on m'explique que je dois payer 3 mois d'avance afin que AMV ait le temps de mettre en place les prélèvements. En principe je ne devais donc pas être prélevé pendant 3 mois. J'ai constaté que dès le 2 ème mois ils ont commencé à me prélever (1er vol de 100 euros). J'ai demandé des explications à partir du site AMV aucune réponse (quand c'était pour souscrire, là j'ai eu une réponse tout de suite...). Voyant l'hiver arriver j'ai décidé de réduire mes garanties (par la même occasion le montant de mes mensualités) et ainsi de conserver uniquement (le vol et l'incendie). Je contacte AMV par téléphone et on m'explique que pour le mois en cours on va me prélever le montant habituel (environ 100 euros), puis que le mois suivant la déduction sera faite (un prorata sera calculé). On m'a effectivement prélevé le montant habituel durant le mois en cours, par contre le mois suivant aucun prorata n'a été calculé ils se sont contentés de prélever le montant de la nouvelle mensualité... (super! 2eme vol, environ 30 euros). Un malheur n'arrivant jamais seul je me suis fait voler ma moto le 23 novembre (heureusement que je n'avais pas retiré la vol). L'expert évalue ma moto à 8500 euros (mais combien de fois ils veulent me voler...) j'informe l'expert que la cote (argus) est  10 406 euros. Elle me répond qu'elle se base sur les prix du marché (si quelqu'un connait la différence entre prix du marché et la cote je veux bien l'info). Je lui explique que la cote correspond au prix du marché les différentes offres que je trouve confirme la cote (argus). Je lui demande de m'envoyer les offres qu'elle a trouvé, on confirme mon adresse email ensemble, puis on raccroche. Elle m' a jamais rien envoyé de plus depuis ce jour impossible de la joindre...chaque jour son assistante me raconte une nouvelle histoire (après avoir pris connaissance de mon immatriculation). Je me décide a envoyer un email dans une boite mail générique (madame n'a pas d'adresse mail professionnelle... ils se foutent vraiment de ma g....., jusqu'à aujourd'hui elle n'a toujours pas répondu à mon mail (ça fait presque une semaine). Heureusement que je n'ai pas assuré ma voiture chez eux. ASSURANCE A EVITER SI POSSIBLE...</t>
  </si>
  <si>
    <t>12/12/2018</t>
  </si>
  <si>
    <t>pascal-m-132722</t>
  </si>
  <si>
    <t xml:space="preserve">je suis satisfait du service et du montant
 de la simplicité de souscription et de mise en place du contrat              
mes salutations distinguées 
</t>
  </si>
  <si>
    <t>jyves-54189</t>
  </si>
  <si>
    <t>Je suis client depuis 2011 chez eux, j'ai entré le véhicule de ma femme et ceux de 9 de mes amis et je suis très déçu récemment pour les déconvenues et la politique punitive à cotisation dont je suis victime. J'ai subi un accident, un motard est venu se "jeter" sur ma voiture en 2015 car il roulait comme un taré en slalomant entre les bagnoles sur l'autoroute et a manqué sa manœuvre à proximité de mon véhicule en faisant le kéké et je suis considéré comme responsable donc malus... Ensuite un camion 18 mois plus tard qui me vire un gravier et me fêle mon pare brise. Résultat : une cotisation outrageuse qui a augmenté de façon plus que significative et une couverture standard, par contre les prélèvements ne manquent jamais à l'appel, eux.
Je suis déjà entrain de m'affairer pour migrer mon contrat vers une autre compagnie qui me propose bien moins cher, dommage, jusque là tout allait bien... cependant je ne partirai pas seul. Je vais enlever ma femme et mes 9 autres amis, je ferai une bonne action en leur permettant de faire des économies.</t>
  </si>
  <si>
    <t>20/04/2017</t>
  </si>
  <si>
    <t>candyce-l-132571</t>
  </si>
  <si>
    <t xml:space="preserve">Pour le moment tout me convient a voir sur l'avenir si tout se passe aussi bien que la souscription du contrat qui a été rapide. Les prix sont raisonnable aussi. </t>
  </si>
  <si>
    <t>sebih-a-116868</t>
  </si>
  <si>
    <t xml:space="preserve">je suis satisfait du service,
rapport qualité prix interessant
signature electronique qui facilite la vie; pas besoin d'envoyer de documents par courrier
</t>
  </si>
  <si>
    <t>thomas-c-114149</t>
  </si>
  <si>
    <t xml:space="preserve">Pris convenable comparer au reste du marché.le service 24/7j est un plus en cas de problème a voir si dans le temps le service est réactif à une question ou un problème </t>
  </si>
  <si>
    <t>muriel-102222</t>
  </si>
  <si>
    <t xml:space="preserve">Toujours bien accueilli par téléphone et bien aiguillée  dans les réponses . Les tarifs ont été repensé et j apprécie l alignement sur d autres mutuelles . </t>
  </si>
  <si>
    <t>05/01/2021</t>
  </si>
  <si>
    <t>n-diaye-k-116513</t>
  </si>
  <si>
    <t>Je suis satisfait du service et le prix, je reviendrai vers vous plutôt possible, pour assurer mon appartement et ma deuxième voiture. Je suis très satisfait !</t>
  </si>
  <si>
    <t>gaby-122096</t>
  </si>
  <si>
    <t>Changement des contrats assurances sans dire à l'assuré on ne comprend plus rien Car on me dit différents façon pour le même sujet et on nl'a pas son mot à dire sait comme sa</t>
  </si>
  <si>
    <t>02/07/2021</t>
  </si>
  <si>
    <t>maxime-p-115952</t>
  </si>
  <si>
    <t>Je suis satisfait du service client ainsi que de l'offre tarifaire qui m'a été proposée. Les garanties qui couvrent mon véhicules me satisfont. Cordialement</t>
  </si>
  <si>
    <t>04/06/2021</t>
  </si>
  <si>
    <t>blerim-s-133496</t>
  </si>
  <si>
    <t xml:space="preserve">Je suis satisfait du service, un peu chère mais ce n’est mas grave puisque je suis jeune conducteur, j’espère avoir la meilleure assurance chez vous et votre confiance </t>
  </si>
  <si>
    <t>marco--p-113315</t>
  </si>
  <si>
    <t xml:space="preserve">Je suis satisfait d'avoir été conseillé par Papernest. 
J'étais bien accompagnée dans mes démarches, pour changement de domicile. 
L'assurance est à un prix correct et les garanties sont bonnes. </t>
  </si>
  <si>
    <t>cocotte-55539</t>
  </si>
  <si>
    <t xml:space="preserve">Cliente chez eux depuis 2005 pour l'assurance de mon prêt immobilier. Toujours a jour à payer mes cotisations. En 2012, déjà ouvert une demande d'indemnisation car hospitalisé et au total 242 jours d’arrêt de maladie et en activité, April a refusé ma demande. Actuellement en ALD 100% en novembre 2016 donc la continuité de cette maladie de 2012, qu'il aura fallu 5 ans pour mettre un nom mais également à détériorer d'avantage mon corps. Donc dès que je travaillais, je me retrouvais sans cesse en arrêt... Donc plu d'emploi, en maladie, aucun droit, donc la M....E. Je suis en  attente concernant ma demande d'invalidité, dans l'incapacité de pouvoir travailler. J'ai envoyé tous les documents, appelé, le délai de 90 jours de franchise est passés, par contre en ce qui concerne la réponse pour leur décision pas de nouvelle d'eux par écrit. </t>
  </si>
  <si>
    <t>21/06/2017</t>
  </si>
  <si>
    <t>jack-59408</t>
  </si>
  <si>
    <t>demarchage tel aucun contrat signer demande de compte bancaire et prelevement effectuer  abusif???? non</t>
  </si>
  <si>
    <t>kevin-m-125805</t>
  </si>
  <si>
    <t>Je suis satisfait  du service  l inscription es simple et rapide 
Très compréhensible et facile 
Disponible si il ya des questions 
Merci beaucoup.</t>
  </si>
  <si>
    <t>michaela-106816</t>
  </si>
  <si>
    <t>Je suis très satisfaite de la diligence avec laquelle a été traité mon sinistre. J'ai hâte de voir les travaux se confirmer. Diligence aussi sur le paiement des frais occasionnés.</t>
  </si>
  <si>
    <t>christelle-b-138989</t>
  </si>
  <si>
    <t xml:space="preserve">Bonjour,
Assureur militant ???
La MAIF a bien du mal à reconnaitre ses erreurs et une fois reconnues elle vous met dehors !!!
Sociétaire MAIF depuis 2002. 1 sinistre mineur, en 2019, non responsable, engendrant expertise. Lors de ce passage, l'expert attire notre attention : selon lui notre habitation ne serait pas couverte correctement.  Dans la foulée, réception d'un courrier de la MAIF indiquant que notre contrat ne nous couvrait pas correctement….
4 mois de sollicitations auprès de la MAIF pour avoir des informations : SANS RETOUR (serait lié au confinement…). 
Après ces mois d'inquiétude, nous sommes bel et bien couverts correctement ! Ouf !!! Finalement il s'agit d'une erreur « administrative » interne à la MAIF ! 
Mais la situation est tendue avec la directrice d'agence et l'élue sociétaire, elles présentent leurs excuses … en septembre 2021 ! (La moindre des choses après 4 mois d'inquiétude et d'absence de retour de la MAIF !). 
Octobre 2021, réception d'un courrier en recommandé, nous indiquant que nos contrats seraient résiliés au 31 décembre 2021 !!!
Trois hypothèses :  
1/ Cette radiation est une nouvelle erreur administrative interne à la MAIF, donc corrigeable…
2/ Cas isolé, limité à une politique locale : la responsable d'agence et élue sociétaire souhaitent faire une démonstration de leur « pouvoir » local, si tel est le cas c'est inquiétant, mais corrigeable…
3/ politique générale de la MAIF… ! Si tel est le cas c'est TRES INQUIETANT pour un assureur se présentant comme MILITANT.
Je me permets ce message : les accès à mon compte MAIF pour la prise de RDV explicatif m'ont été bloqués… ??. 
</t>
  </si>
  <si>
    <t>04/11/2021</t>
  </si>
  <si>
    <t>clementclement-77587</t>
  </si>
  <si>
    <t>MAIF meilleur service client.....
A chaque fois que je téléphone il y a plus de 8 minutes d'attente.
Quand vous demandez un relevé d'information pour quitter cette mutuelle, très désagréable au téléphone</t>
  </si>
  <si>
    <t>morgane971-92706</t>
  </si>
  <si>
    <t xml:space="preserve">Service rapide et facile d’utilisation. Efficace j’ai eus le devis que je n’arrivais à avoir nulle part ailleurs en moins de cinq minutes et à un prix plus qu’abordable ! </t>
  </si>
  <si>
    <t>29/06/2020</t>
  </si>
  <si>
    <t>nabil-i-109857</t>
  </si>
  <si>
    <t xml:space="preserve">Je suis satisfait de la prestation, les prix et conditions me conviennent. Pour le moment je ne peux pas m’avancer plus, nous verrons par la suite si </t>
  </si>
  <si>
    <t>lecolier-l-127553</t>
  </si>
  <si>
    <t>je suis assure l'olivier pour ses tarifs et la simplicite via internet  c'est domage de ne pas faire plus d'effort sur les assurances maison.ca reste une bonne compagnie</t>
  </si>
  <si>
    <t>alainthu-51389</t>
  </si>
  <si>
    <t xml:space="preserve">En maladie ordinaire en juillet 2016 à mars 2017. J'ai perçu le complément de salaire enfin en décaler pendant quelques mois. Suite à deux contrôles médicaux à ma demande afin de justifier ma maladie le Centre de Gestion a pris comme décision avec mon accord et mon bien être ma demande d'une reprise en mi-temps thérapeutique. Suite à cette décision  j'ai été reconnu en longue maladie. Mon mi-temps avec mon salaire intégral par mon employeur. Au vu de cette décision. Intériale me réclame le remboursement de mon maintien de salaire perçu lors de ma maladie ordinaire. Actuellement en grande galère car je suis reconnu handicapé travail depuis octobre 2017. À ce jour je reçois maintenant des avis de recouvrement sous couvert d'un huissier . Je vais bien sur déposer un recours car on paie un produit avec des indemnisations qui ne sont pas réelles. Je tiens à vous rassurer malgré la situation, ils n'oublient pas le prélèvement des cotisations. Je vous laisse imaginer ce que représente un adhérent pour cette assurance Intériale. Aucun respect . C'est purement inadmissible. </t>
  </si>
  <si>
    <t>muhsin-i-125505</t>
  </si>
  <si>
    <t>Simple et pratique, je suis satisfait de votre service, C'était très rapide aussi.Merci pour la facilité. Bravo pour votre travail, vous m'avez sauvée.</t>
  </si>
  <si>
    <t>29/07/2021</t>
  </si>
  <si>
    <t>gwendolyne-v-126346</t>
  </si>
  <si>
    <t>Je suis très satisfaite. Le prix est quand à lui très raisonnable étant jeune permis je recommande fortement direct assurance pour vos début 
Cordialement</t>
  </si>
  <si>
    <t>04/08/2021</t>
  </si>
  <si>
    <t>alexandre-l-128725</t>
  </si>
  <si>
    <t>rapidité devis et contrat , tarif competitif par rapport assurance de ma banque,pressé de changé d assurance au plus vite,grosse somme economisé sur le credit total</t>
  </si>
  <si>
    <t>isabelle-b-115628</t>
  </si>
  <si>
    <t>Difficile d'avoir des renseignements corrects en cas de problème! Le contact par mail est insuffisant, pas de réponses claires. Je ne sais pas comment remplacer mon pare brise</t>
  </si>
  <si>
    <t>jmkerisit-79252</t>
  </si>
  <si>
    <t>Allianz se permet d'augmenter son tarif de 8% sans aucune explication. Aucune discussion possible avec le conseiller qui se retranche derrière une "décision" du siège.</t>
  </si>
  <si>
    <t>17/09/2019</t>
  </si>
  <si>
    <t>patrick-128180</t>
  </si>
  <si>
    <t xml:space="preserve">Je n'avais pas à ce jour de réponse sur une demande de prise en charge de lunettes...
J'ai pu joindre sans difficulté le service client et j'ai été très bien renseigné par Emeline, qui a su démêler l'écheveau .  En fait au lieu d'un devis chez l'un et d'une autre prise en charge chez l'autre, les opticiens avaient fait 2 demandes de prise en charge d'où blocage .
Du coup, si je suis très satisfait du professionnalisme et de l'efficacité d'Emeline, je ne le suis pas du tout du (ou de la) gestionnaire qui voyant le litige ne m'a pas contacté d'une façon ou d'une autre . Bilan une semaine de perdue ! Cette assurance n'est pas chère, certe , mais ce n'est pas non plus la moins chère, compte tenu des taux de remboursements, mais si il faut en plus les appeler tous le 4 matins pour avoir des réponses ....en tout cas , merci Emeline.
, </t>
  </si>
  <si>
    <t>alex-68378</t>
  </si>
  <si>
    <t>Suite à une surtension dans 2 résidences, je contacte le service sinistres pour déclarer la perte quasi totale de l'ensemble d'electro-ménager. Un expert est donc mandaté. Suite à son passage, on m'indique que je peux renouveler mes appareils. Au bout de 2 mois, et après beaucoup de relances, je reçois le rapport de l'expert. Il est indiqué que seul, l'ordinateur portable a besoin d'un devis de réparation. La réparation consiste au remplacement de la prise d'alimentation. Donc pas besoin de devis. 1 mois après, on me demande des devis des autres appareils que je ne possède plus et à ma charge en plus. Ma responsabilité n'étant pas engagé, l'assurance c'est donc retourné contre enedis.  Cette dernière réclame soit disant les devis. Au bout de 4 mois, l'assurance m'a remboursé le montant de mes garanties et doit donc aller récupérer la vétusté ainsi que ma franchise auprès d'enedis.  Et depuis plusieurs relances, on m'insulte de menteur et que mon dossier est clos. Je demande donc d'utiliser ma protection juridique contre enedis. On m'indique que le montant du préjudice est inférieur au montant des frais de justice... sans préciser le montant. Mon préjudice est de 1200 euros ainsi que la franchise. Je consulte les conditions et m'appercoit que la protection juridique est utilisable a partir de 431 euros et que le remboursement ne doit pas excéder 30 jours... j'ai donc recontacter le service sinistre, mais plus de nouvelles... finalement, la seul chose qui respecte, c'est le prélèvement des mensualités sur mon compte.</t>
  </si>
  <si>
    <t>elhadji-s-124815</t>
  </si>
  <si>
    <t xml:space="preserve">Globalement je suis satisfaite. Mais on aurait aimé que notre ancienneté avec direct asssurance soit prise en compte malgré un récent sinistre fait par mon conjoint. Coucou </t>
  </si>
  <si>
    <t>perrine-54893</t>
  </si>
  <si>
    <t>Une horreur. Problèmes administratifs trop longs à raconter, service client absent, se rejetant la balle quand ils sont joignables. Et niveau prestation, très cher pour .....presque rien. Je me suis faite avoir en beauté.
A fuir, vraiment.</t>
  </si>
  <si>
    <t>24/05/2017</t>
  </si>
  <si>
    <t>laurine-d-106941</t>
  </si>
  <si>
    <t xml:space="preserve">soyait changer d'assurance voiture car j'ai mal ete  renseigner pour un devis et surtout mal renseigner pour arreter mon assurance voiture mon prelevement ce fait encore </t>
  </si>
  <si>
    <t>alm-59267</t>
  </si>
  <si>
    <t>Le niveau de prix est dans la moyenne, à améliorer, néanmoins AXA est proche des clients grâce à ses agents compétents, les garanties me semblent bonnes, je n'ai jamais eu de sinistres, j'aimerai avoir un bonus +++ au delà de 50%</t>
  </si>
  <si>
    <t>30/11/2017</t>
  </si>
  <si>
    <t>christophe-d-116858</t>
  </si>
  <si>
    <t>je suis satisfait du service en ligne
devis facile à réaliser et  compréhension parfaite
bonne relation client, réception du devis rapide
facile et efficace</t>
  </si>
  <si>
    <t>karenriviere-123292</t>
  </si>
  <si>
    <t xml:space="preserve">Bonjour à tous,
Étant chez l'olivier depuis moins d'1an, ils ont résilier mon contrat d'assurance auto a défaut de paiement, par la suite j'ai voulu re souscrire chez eux, mais malheureusement ils ont refuser le paiement mensuel. Sachez que si vous voulez re souscrire un contrat chez eux après une résiliation de manque de paiement, et ba il vous demanderont de payer annuellement !!! sinon il refuse de vous assuré. c'est un scandale !!!! JE VOUS DECONSEIL L'OLIVIER ASSURANCE !!
</t>
  </si>
  <si>
    <t>thiebill-111364</t>
  </si>
  <si>
    <t>AMV est l'une des assurances la moins chère 
pour les motards et réagit vite en cas de problème : 
J'en suis très content car je peux faire de la moto 
pas trop cher.
Bravo AMV !</t>
  </si>
  <si>
    <t>virginie-81648</t>
  </si>
  <si>
    <t>Vol sans effraction pas de indemnisation. Changez votre pub télé pour la sérénité de la famille quand on a besoin de vous Hé bien il n y a personne Dure d indemniser vos vaches à lait.</t>
  </si>
  <si>
    <t>monnier-r-121184</t>
  </si>
  <si>
    <t>Très pratique pour assuré son véhicule rapidement. Service client lors de la réalisation du contrat, à l'écoute. Démarche très facile pour signer les contrats et envoyé les divers papiers après coup.</t>
  </si>
  <si>
    <t>25/06/2021</t>
  </si>
  <si>
    <t>mati-65893</t>
  </si>
  <si>
    <t>Plus de 3 mois pour qu'on m'envoie un plombier pour une recherche de fuite et toujours rien. quand on les appelle (2O min d'attente pratiquement a chaque fois) aucune réponse acceptable.</t>
  </si>
  <si>
    <t>16/10/2018</t>
  </si>
  <si>
    <t>philippe-b-110287</t>
  </si>
  <si>
    <t xml:space="preserve"> Site facile d'utilisation. Très bon rapport qualité prix et un très grand choix   de formule. Rapide et efficace. Je vous remercie, bien cordialement.</t>
  </si>
  <si>
    <t>thomas-c-106339</t>
  </si>
  <si>
    <t>Je vous ai contacté pour une amélioration du tarif mais vous avez refusé alors aurevoir! La loi oblige à revoir le tarif si je roule moins mais vous l'avez refusé et meme sans accident mon tarif à augmenté, c'est se moquer de moi... L'olivier assurance est moins cher ...</t>
  </si>
  <si>
    <t>a64-80231</t>
  </si>
  <si>
    <t xml:space="preserve">J ai toujours était contente sauf il y a quelques jours où le service client m assuré que les devis en ligne ne servaient à rien (?) et en plus il se pas gêné pour me dire d aller voir la concurrence </t>
  </si>
  <si>
    <t>19/10/2019</t>
  </si>
  <si>
    <t>az49-99192</t>
  </si>
  <si>
    <t>Bonjour, 
J'ai souscrit un contrat d'assurance vie Euractiel chez AXA, le 1er octobre 2012. 
En raison des nombreux frais précomptés, mon contrat a actuellement une performance à -67 €, malgré les nombreux versements effectués durant toutes ces années. 
Pour cette raison, je souhaite procéder au rachat total de mon contrat d'assurance vie auprès d'AXA. Malgré de nombreux mails envoyés et de nombreux appels effectués depuis plusieurs mois, je n'ai obtenu aucune réponse de la part de mon conseiller AXA. 
Cordialement.</t>
  </si>
  <si>
    <t>25/10/2020</t>
  </si>
  <si>
    <t>dlgr-66622</t>
  </si>
  <si>
    <t>très mauvaise couverture des dégâts des eaux. attention ils ne prennent pas en compte la recherche de fuite contraire si les dégâts ne leur paraissent pas suffisants (par téléphone uniquement bien entendu). Vraiment à éviter.</t>
  </si>
  <si>
    <t>05/09/2018</t>
  </si>
  <si>
    <t>paulodu13-94468</t>
  </si>
  <si>
    <t>Client de longue date chez MAAF, j'ai déclaré 4 sinistres habitation en 2019 (1 abandonné, 1 seul en responsabilité. La MAAF a décidé de ne plus m'assurer... Le parapluie pour les jours ensoleillés...</t>
  </si>
  <si>
    <t>didier-f-108785</t>
  </si>
  <si>
    <t xml:space="preserve">jE REVIENS CHEZ VOUS CAR J AI EU UNE OFFRE DE SHOWROOM PRIVEE DEBUT MARS 2021 DE 100 EUROS; J ESPERE QU ELLE EST PRISE EN COMPTE; BONNE JOURNEE A VOUS </t>
  </si>
  <si>
    <t>laurent-92575</t>
  </si>
  <si>
    <t>A priori, les tarifs semblent intéressants. Je réfléchis à changer d'assurance pour tous les véhicules de la maison. Je ne comprends pas les extensions proposées</t>
  </si>
  <si>
    <t>hamdada-b-113686</t>
  </si>
  <si>
    <t xml:space="preserve">Conseiller à l’écoute et compétent assurance complète 
Très bon rapport qualité prix 
Très bonne option pack sécurité 
Je déconseille a tout le monde </t>
  </si>
  <si>
    <t>jl-129252</t>
  </si>
  <si>
    <t>Surtout fuir Malakoff humanis!
Ils vous ignorent et vous méprisent quand il s'agit de toucher vos droits (retraite entre autres).
Impossible de communiquer avec eux, téléphone, mails, courriers etc</t>
  </si>
  <si>
    <t>olive-71994</t>
  </si>
  <si>
    <t>Déblocage contrat retraite sup en art. 83 IMPOSSIBLE</t>
  </si>
  <si>
    <t>08/03/2019</t>
  </si>
  <si>
    <t>alki-69082</t>
  </si>
  <si>
    <t>Attention, Il est très difficile de résilier son contrat.  Fin 2017, ils n'ont pas voulu tenir compte de mon courrier recommandé envoyé par voie électronique, envoyé dans les délais, au motif qu il n'était pas signé à la main. Fin 2018, ils considèrent que j'aurais du renouveler ma demande de résiliation et qu à défaut mon contrat a été renouvelé automatiquement. C'est vraiment scandaleux. J'assimile ces manières à de la vente forcée. Je viens d'écrire à leur service réclamations. A défaut de réponse positive, j'écrirai au Médiateur. A suivre</t>
  </si>
  <si>
    <t>03/12/2018</t>
  </si>
  <si>
    <t>mas-63657</t>
  </si>
  <si>
    <t>assurance qui ne mérite pas sa qualité d'assurance car dès qu'on a besoin elle n'est pas au rdv. A éviter si vous cherchez une assurance digne de ce nom.</t>
  </si>
  <si>
    <t>29/04/2018</t>
  </si>
  <si>
    <t>wilson-g-115607</t>
  </si>
  <si>
    <t xml:space="preserve">je suis très satisfait de la proposition et me suis assurer de suite!
assurance complète et très compétitive. surtout sur l'option réparation après la garantie?
je recommande vivement </t>
  </si>
  <si>
    <t>gardere-p-107870</t>
  </si>
  <si>
    <t xml:space="preserve">simple et rapide  niveau prix tres bien ,bien renseigner , satisfaction et bien renseigner sur le devis, devis bien lisible a lire , niveau prix trés bien placer </t>
  </si>
  <si>
    <t>n-a-105096</t>
  </si>
  <si>
    <t>J'ai contacté votre service sur une demande de remboursement re. frais d'osteopathie, j'ai été bien accueillie et la personne a répondu à mes demandes.</t>
  </si>
  <si>
    <t>lemarchand-m-121531</t>
  </si>
  <si>
    <t>Satisfaite de ce service en ligne. le traitement a été rapide.
Satisfaite de ce service en ligne. le traitement a été rapide.
Satisfaite de ce service en ligne. le traitement a été rapide.</t>
  </si>
  <si>
    <t>mehdi-55030</t>
  </si>
  <si>
    <t>Suite à un accident, le "service client" m'assure qu'aucune prise en charge n'est possible même si cela ne respecte pas la loi française (oui oui, j'ai du mettre un avocat sur le coup, c'est pour dire...). Aucune tentative de prêt de véhicule, même pas un expert ne passe voir mon véhicule. RIEN.
Et ca devient pire.
Un malus est appliqué à mon contrat et mes mensualités de paiement augment suite à ce malus (pour un véhicule qui est épave et donc sans besoin d'etre assuré).
Et ca devient pire. Si si je vous assure (pas comme eux).
Impossible de résilier mon contrat sans preuve de destruction du véhicule, ce qui n'est pas envisageable sans visite d'expert, qu'ils ne veulent pas envoyer.
Vous voyez le cercle sans fin pendant lequel ils me prélèvent tous les mois ?
A fuir de toute urgence, ne jamais s'approcher de cette assurance. Uniquement des tonnes d'emmerdes à l'horizon.</t>
  </si>
  <si>
    <t>carina-101306</t>
  </si>
  <si>
    <t>Après une galère avec mon garagiste je sollicitemon assurance afin de mandater un expert . 
Chose qu'ils refusent . 
Assurance juste là pour nous prendre notre argent.</t>
  </si>
  <si>
    <t>jonathan-l-134934</t>
  </si>
  <si>
    <t xml:space="preserve">Rapide, concret pas de perte de temps.
J'attends de voir si mon ancienne assurance sera bien stoppée en temps et en heure.
N'ayant jamais été assuré chez vous, si j'ai un sinistre je pourrais juger de votre efficacité </t>
  </si>
  <si>
    <t>aubry-71383</t>
  </si>
  <si>
    <t>Un an et demi pour résoudre un dégât des eaux "léger"
axa à choisi les entreprises pour effectuer les réparations. Les entreprises sont choisies par leurs tarifs (très bas). travail évidemment très mauvais.</t>
  </si>
  <si>
    <t>17/02/2019</t>
  </si>
  <si>
    <t>lili-87130</t>
  </si>
  <si>
    <t xml:space="preserve">Suite a cat nat 2017 , l assurance ne veut rien entendre malgré les preuves et la venue d un second espère. Le personnel de cette assurance est hautain , traite le client plus bas que terre , est complètement fermé a toutes discussion et en plus assurance hors de prix . Assurance a fuir totalement </t>
  </si>
  <si>
    <t>roberto-sanchez-69614</t>
  </si>
  <si>
    <t>Dégats des eaux en juillet. Assurance non réactive, non joignable, désagréable au téléphone.
Expert débordé qui ne répond pas aux emails.
Résultat : presque 6 mois après le dégat des eaux, les travaux doivent être finis. Nous, nous avons déménagés, car le plafond était effondré sur une partie du salon, et l'appartement était devenu peu accueillant.</t>
  </si>
  <si>
    <t>21/12/2018</t>
  </si>
  <si>
    <t>stephaaaanie-97318</t>
  </si>
  <si>
    <t xml:space="preserve">Le CNP assurance est de mèche avec les impôts impossible de toucher l'assurance Vie !!!! Fuyez ! Fuyez ! Mon père est décédé en avril 2020 et depuis j'attends ! Apres RDV, lettres recommandées etc etc...
Et pour info je gère une entreprise !!!!!!!!!!!! Quelle honte de votre part !
</t>
  </si>
  <si>
    <t>13/10/2021</t>
  </si>
  <si>
    <t>dub-67322</t>
  </si>
  <si>
    <t>je suis chez cégéma , pour ma première année je suis très décu et ce n'est peu dire je ne peut plus avoir accès  à mon espace client je dis bien impossible de plus impossible de les avoir par téléphone tous les conseillers sont sans cesse occupés sur une autre ligne !! pire sur les site Cégéma lorsque j'essaye d'avoir mon compte il m'est répondu que je suis inconnu chez eux alors que le possède une carte de tiers de tiers payant en bonne et dû forme !!je vais  donc appelé la maison mère, lui exposé mes griefs et d'annoncer certainement mon changement de complémentaire santé pour les mois à venir !!</t>
  </si>
  <si>
    <t>28/08/2020</t>
  </si>
  <si>
    <t>arthur-55919</t>
  </si>
  <si>
    <t xml:space="preserve">4 mois que j'essaie de résilier suite à un déménagement. On me ballade de recommandé en recommandé, de service en service et en attendant on continue de me prélever tout les mois. Service client au téléphone de mauvaise fois et insultant. Bref, je n'attend qu'une chose en être débarrassé définitivement. </t>
  </si>
  <si>
    <t>10/07/2017</t>
  </si>
  <si>
    <t>lenfant-g-131842</t>
  </si>
  <si>
    <t>je suis satisfait du service et des explications fournis sur les différences entre les options et les assurances de base rapide et très réactif au demande</t>
  </si>
  <si>
    <t>luc-m-131879</t>
  </si>
  <si>
    <t>Bonjour je ne peux répondre dessuite ,il me faux plus de temps pour vous donnez mon avis positif ou négatif. Désoler veuillez me rappeler dans un mois et je pourrez vous répondre merci</t>
  </si>
  <si>
    <t>dric-133191</t>
  </si>
  <si>
    <t>SATISFAIT DU SERVICE
TRÈS RAPIDE ET EFFICACE
BEAUCOUP DE CLART2 DANS LES RÉPONSES
TOUJOURS DISPONIBLES ET PREND LE TEMPS DE RÉPONDRE AUX QUESTIONS DEMANDÉES</t>
  </si>
  <si>
    <t>chris-57412</t>
  </si>
  <si>
    <t>Je déconseille vivement ! Surtout pour les jeunes conducteurs ! Sur internet on la croit la moin cher ce n'est pas vrai ! Au bout de quelque jours de retard il vous rajoute 20 euros de frais plus le mois d'apres haha je vous laisse deviner a peu pret la facture ! A cause d'eux j'ai été resillier pour non paiment mais merci psk aujourd'hui je suis chez une assurance moin cher plus disponible !!!</t>
  </si>
  <si>
    <t>19/09/2017</t>
  </si>
  <si>
    <t>01/09/2017</t>
  </si>
  <si>
    <t>bebert07400-62923</t>
  </si>
  <si>
    <t xml:space="preserve">Tres bonne assurance inscription tres facile le tout par internet je conseil vraiment cette assurance </t>
  </si>
  <si>
    <t>mylene-66098</t>
  </si>
  <si>
    <t xml:space="preserve">Je ne peux malheureusement pas mettre moins d'une étoile et pourtant je recommande à tous ceux qui hésiterais à souscrire chez eux de fuir! 
En effet j'ai été victime d'un accident de voiture (j'ai 25 ans) qui m'handicape. J'était en CDI j'ai perdu mon emploi, vous vous retrouvez sans salaire et sans provision de leur part du jour au lendemain, le service client est inacceptable et inhumain on vous ment sur les délais de traitement. On a même bloqué mon numéro et par miracle en essayant d'un autre numéro ça marche étrange hein!  
</t>
  </si>
  <si>
    <t>09/08/2018</t>
  </si>
  <si>
    <t>hermes-89173</t>
  </si>
  <si>
    <t>Mon avis concerne plusieurs sinistres vécus en 20 ans assurés par la MATMUT en région centre.
Un cambriolage qui a été suivi et indemnisé très correctement.
Un incendie de cheminée qui a été très compliqué à gérer puisque les réparations effectuées ont été faites en dépit du bon sens et empêchant le fonctionnement du chauffage par foyer fermé, la MATMUT a été à nos côtés du début à la fin.
Un dégât des eaux très sérieux là aussi pris en charge de façon efficace et rapide.
Il faut savoir tirer son chapeau quand c'est mérité.</t>
  </si>
  <si>
    <t>09/05/2020</t>
  </si>
  <si>
    <t>yves1330-113853</t>
  </si>
  <si>
    <t>25 ans de mutuelle des motards sans accident et juste un dépannage à domicile.
Je ne leur coûte pas trop cher
Augmentation de 80€ en 2021 unilatérale soit disant pour des sinistres corporels en augmentation ... (les rodéos je suppose).
Je pars sans regret - aucun souci pour trouver moins cher avec les mêmes garanties, d'autant que cette mutuelle ne veut pas me rembourser le trop plein versé de cotisation versée soit 11 mois au total malgré mes relances écrites. C'est commercialement nul s'ils veulent me revoir un jour. Je vais saisir ma protection juridique.
Visiblement nous ne les intéressons pas, juste bon à PAYER. 
Bilan aujourd'hui  : tarifs maintenant hors sol et surtout pas avoir besoin de quoi que ce soit avec cette mutuelle...
A fuir et c'est dommage!</t>
  </si>
  <si>
    <t>16/05/2021</t>
  </si>
  <si>
    <t>toto-68059</t>
  </si>
  <si>
    <t>J'ai toujours été un bon client :  formule chere et aucun sinistre. Mais le jour ou je veux résilier c'est la croix et la bannière ! Impossible d'avoir une info fiable on se fait balader.... J'en suis a trois courrier dont 2 en recommandés et je n'ai tjs pas la certitude au bout de 4 mois que mon assurance sera bien resiliee..</t>
  </si>
  <si>
    <t>25/10/2018</t>
  </si>
  <si>
    <t>geffroy-d-125974</t>
  </si>
  <si>
    <t>simple et pratique , facilité d'accès . les prix sont très concurrentiels . Espérons ne pas être déçus par la suite . Je ne pense pas , direct assurance est particulièrement bien noté .</t>
  </si>
  <si>
    <t>sarine-96000</t>
  </si>
  <si>
    <t>Je déconseille fortement cette assurance qui est totalement inutile . Conseillers nullissimes . 
Voila les faits : 
     Mon pneu avant gauche explose sur l'autoroute sans avoir heurté quoique se soit, je prend la première bretelle de sortie car je suis assez rapidement sur la jante.
J'appelle donc l'assurance, un premier conseiller m'explique qu'il n'y a aucune prise en charge car je suis sortie de l'autoroute, ce qui est faux car je suis encore sur la bretelle de sortie.
Ensuite après de nombreux appels et leur passant le dépanneur au téléphone qui leur explique ma position, ils cherchent une autre excuse en me disant "vous êtes a plus de 50km, il ne peut donc y avoir de prise en charge" la blague !? car je suis précisément a 55,8km !!!! 
Pour finalement m'expliquer que les pneumatiques ne sont pas pris en charge dans mon contrat ! Mais a quoi servez vous ??? Peut être il aurait fallu me le dire directement ? Encore faut il avoir a faire à des gens compétents !!!!! C'est une honte cette assurance.
Je suis en train de résilier mon assurance et je continuerai après cela a leur faire partout ou je peux une publicité désastreuse et amplement méritée .</t>
  </si>
  <si>
    <t>06/08/2020</t>
  </si>
  <si>
    <t>sans-97768</t>
  </si>
  <si>
    <t xml:space="preserve">Contact téléphonique sans attente. 
 Interlocutrice agréable et réponse immédiate à la question posée.
Satisfait également du contact par internet que j'ai utilisé au cours du mois écoulé  dont le traitement de ma demande a été effectuée  rapidement.
 </t>
  </si>
  <si>
    <t>thierry-m-131239</t>
  </si>
  <si>
    <t>Satisfait des prix et des options
A voir maintenant la réactivité en cas de sinistre 
Je suis un ancien client en n ayant pas été déçu de votre prestation .je suis de retour</t>
  </si>
  <si>
    <t>gregoire-d-112443</t>
  </si>
  <si>
    <t>L'olivier est la meilleure offre par rapport à ma situation , en plus le service est clair, accessible que se soit par internet ou par téléphone.
Reste à voir dans les coups dur comment ils réagissent.
Cdt</t>
  </si>
  <si>
    <t>hervem-61623</t>
  </si>
  <si>
    <t>Je suis parti en retraite en décembre 2017,mon entreprise a transmis à AG2R en novembre 2017 un dossier afin que je puisse continuer à bénéficier d'une complémentaire santé dans le cadre de la loi Evin.
Depuis il ne se passe rien, le service client joint par téléphone n'est capable d'aucune réponse, AG2R ne répond ni aux mails, ni au courrier. Depuis pratiquement deux mois, je n'ai plus de couverture et je ne sais pas si je serais affilié un jour, c'est très inconfortable.</t>
  </si>
  <si>
    <t>sandra1111-50755</t>
  </si>
  <si>
    <t>Je suis assurée chez AXA depuis 15 ans. Tout allait bien jusqu'à il y a 4 mois où j'ai eu un sinistre pour lequel je n'étais pas responsable. 
Je souhaitais faire réparer mon véhicule dans un garage concessionnaire de la marque, mais AXA vous impose d'aller chez leurs garages partenaires, sinon c'est à vous de faire l'avance des réparations et AXA ne finance pas les frais d'un véhicule de remplacement.
J'ai donc accepté d'aller chez un de leur partenaire.
Et là, début des problèmes. Les réparations dont le garage m'avait dit qu'elles dureraient 15 jours ont duré plus de 4 mois, tout ça parce que ce garage Renault n'était pas équipé pour intervenir sur mon véhicule Volkswagen et devait commander les outils au compte goutte.
En plus, le véhicule de remplacement qu'AXA m'avait promis n'est arrivé qu'au bout d'un mois. Avant cela, le garage n'en avait pas de disponible. En attendant, mon agent m'a dit de me débrouiller pour trouver un véhicule et que les frais me seraient remboursés.
Au bout de deux mois, et après divers rappels, AXA refuse de me rembourser l'intégralité des frais sous prétexte que ces frais ne sont pris en charge qu'à partir de l'ordre de réparation qui avait été donné au garage, ce qui ne m'avait nullement été expliqué par mon agent.
Je dispose d'un véhicule golf équipé de pneus hivers et tout ce que j'ai eu de la part du garage où m'a envoyée AXA, c'est une twingo équipée de pneus été. Quand j'ai dit à mon assureur que j'avais peur de rouler avec ce véhicule (car je fais chaque jour 70 kilomètres sur autoroute pour me rendre sur mon lieu de travail et car par ailleurs la législation au Luxembourg impose d'avoir des pneus hiver à partir d'octobre), j'ai eu pour seule réponse que leur partenaire n'avait pas d'obligation de fournir des véhicules avec des pneus hivers. Donc à moi de me débrouiller et tant pis pour moi si leur partenaire a mis plus de 4 mois à réparer ma voiture, ce n'est pas le problème d'AXA. ils m'ont envoyé chez un partenaire incompétent et m'ont ensuite laissé me débrouiller.
Lorsque j'ai adressé des mails à mon assureur pour lui demander ce qu'il pouvait faire pour m'aider, aucune réponse! Au bout d'un troisième rappel, une réponse enfin, mais guère satisfaisante: en gros c'est comme ça et AXA ne fera rien.
Lorsque l'on m'a dit que les factures que j'ai présentées pour le véhicule de remplacement ne me seraient remboursées que partiellement, j'ai demandé à avoir une copie de mon contrat d'assurance pour vérifier l'entendue de mes garanties. Depuis, j'attends qu'AXA daigne peut être un jour me donner une réponse. C'est juste la 4eme ou 5eme fois que je fais la demande.
AXA est un bon assureur, tant qu'on paye la prime et qu'on a pas de sinistre.
Le jour où ça arrive, on comprend à quel point les services d'AXA sont médiocres. Personnellement, j'ai été étonnée de constater qu'on ne reçoit que très difficilement une réponse de la part d'AXA. 
AXA a géré mon sinistre de la manière la plus chaotique qui soit. 
Ce qui est surprenant, c'est qu'AXA va récupérer tous ses débours auprès de l'assureur de la personne responsable de l'accident. Mais même sachant cela, AXA essaye au maximum de minimiser ses débours, n'hésitant pas à laisser à charge de son assuré une partie des frais du véhicule de remplacement par exemple, ou en envoyant ses assurés dans des garages partenaires d'AXA, garages auprès desquels AXA obtient des prix préférentiels, peu importe que ces garages soient ou non compétents pour effectuer les réparations. 
En résumé donc, très grosse déception.</t>
  </si>
  <si>
    <t>pm-102293</t>
  </si>
  <si>
    <t xml:space="preserve">Aucun suivi rigoureux
Aucun sens commercial 
Éviter de souscrire 
Vous laisse attendre le bon vouloir de traitement 
Un mois pour récupérer les fonds placés depuis plus de 15 ans </t>
  </si>
  <si>
    <t>07/01/2021</t>
  </si>
  <si>
    <t>annemarie-65386</t>
  </si>
  <si>
    <t xml:space="preserve">Une honte à eux 
Ils m’ont résilié après un mois d’adhésion sous motif que je n’avais pas retourné la totalité des pièces 
Ce qui est totalement faux 
Un mail de 21 pièces justificatives leur a bien adressé 
Ne répondent jamais au mail que je leur ai fait 
Ils m’ont retenu 80 euros de résiliation 
Les services téléphoniques sont mous et incompétents </t>
  </si>
  <si>
    <t>10/07/2018</t>
  </si>
  <si>
    <t>carlosavatar-75259</t>
  </si>
  <si>
    <t xml:space="preserve">Je suis allé passer un peu de temps en Angleterre et ma voiture est tombée en panne sur le chemin de la France. J'ai appelé l'assureur pour lui expliquer la situation et on m'a dit de prendre contact l'autre jour parce que le service clientèle était fermé. Heures d'ouverture 9: -17. Et j'ai Reste dans la rue jusqu'au lendemain </t>
  </si>
  <si>
    <t>19/04/2019</t>
  </si>
  <si>
    <t>stb-111762</t>
  </si>
  <si>
    <t xml:space="preserve">Bonjour,
Pour information de chacun, j'ai pour préparé l'acquisition de mon habitation principale procédé le 31 mars 2021 à la demande de déblocage d'une part de mon assurance vie AFER (contrat en place depuis plus de 6 ans).
A ce jour lundi 24 avril, malgré plusieurs relances téléphoniques et mail je n'ai toujours pas été crédité de la somme dont j'ai demandé le retrait, et cette situation m'est préjudiciable, je la déplore, je tenais à en faire part pour information des personnes qui pourraient avoir ce type de situation à gérer
</t>
  </si>
  <si>
    <t>mguillaume-d-122972</t>
  </si>
  <si>
    <t>C'est impeccable... c'est nickel, c'est top et on en redemande. C'est rapide et efficace. Très satisfait du service aussi bien aujourd'hui qu'hier, Cordialement.</t>
  </si>
  <si>
    <t>ringotophe-78386</t>
  </si>
  <si>
    <t xml:space="preserve">Jamais vu une assurance aussi simple et rapide !!!
Le prix hyper abordable, les nombreuses options inclus dans les différents contrats... Enfin, une assurance que je recommande vivement du fait de leur sérieux, ainsi que de leur professionnalisme. </t>
  </si>
  <si>
    <t>13/08/2019</t>
  </si>
  <si>
    <t>beauger-d-106934</t>
  </si>
  <si>
    <t>je suis satisfait du prix, je suis satisfait des services de mon interlocuteur qui à été très explicatif à toutes mes questions ce fut rapide et pratique</t>
  </si>
  <si>
    <t>ah-117615</t>
  </si>
  <si>
    <t>Assurance qui répond pas au recommandé ni au email
Attente des remboursements très très long
Mutuelle à ne pas recommander
J'en veux fortement à mon coursier
Impossible de voir son compte par internet depuis un mome</t>
  </si>
  <si>
    <t>batmiriel-56465</t>
  </si>
  <si>
    <t>J'ai eu comme beaucoup d'entre vous un appel il y a une heure avec une femme qui  m'a parlé de cette assurance pour les accidents etc.. Pendant cet appel j'ai échangé (bêtement je pense) mes coordonnés bancaires avec elle en sachant qu'elle connaissait déjà les premières lettres du compte BIC. Ca m'a paru bizarre mais j'ai quand mêmefait. J'ai déjà une mutuelle chez une autre structure qui prends en compte la prévoyance, les cas d'accident, et prise en charges hospitalières, mais je n'ai pas réagis sur le coup car elle m'a bien dit que ce n'était pas la même chose, c'était en plus de ma mutuelle de base et sécu sociale. J'ai donc regardé tout vos avis et me dis que j'ai fait une bêtise, j'ai pas réfléchi.. Ceux qui ont eu le même cas que mois, est-ce que la lettre de résiliation avec AR à été efficace ? Je pense le faire lundi ( au bout de 4 jours sur les 14 ayants droits)
Ou vous à t-il fallu faire des démarches plus compliqués ? Ça me stress maintenant</t>
  </si>
  <si>
    <t>03/08/2017</t>
  </si>
  <si>
    <t>lionnel-c-123713</t>
  </si>
  <si>
    <t>très satisfait des services lors de la souscription et facilités de mise en place d'un contrat auto au téléphone et par transfert de mail auprès de l'assurance.</t>
  </si>
  <si>
    <t>dimitry--98384</t>
  </si>
  <si>
    <t>202€ tous risques pour une Peugeot 208 4cv fiscaux tarif ultra chère, pour n’avoir jamais eu de sinistres.
Courrier de résiliation envoyer depuis le 10 janvier je suis toujours débité sur mon compte jusqu’à ce mois ci (octobre) la conseillère me dis qu’il manque encore des documents lettre écrite et signer envoyer ainsi que certificat de cession du grand n’importe quoi cette assurance très déçue.</t>
  </si>
  <si>
    <t>06/10/2020</t>
  </si>
  <si>
    <t>beaubouchez-f-127068</t>
  </si>
  <si>
    <t xml:space="preserve">De de vignette d'assurance très rapide opératrice bien aimable 
Merci
J ai récupéré mon véhicule rapidement grâce à vous 
Je suis très content 
Et merci cordialement </t>
  </si>
  <si>
    <t>08/08/2021</t>
  </si>
  <si>
    <t>emilie-m-114752</t>
  </si>
  <si>
    <t>Rapport couverture/prix très intéressant. Site internet permet de traiter facilement son contrat. Réactif pour répondre aux questions.
Je recommande ce site.</t>
  </si>
  <si>
    <t>kerasix-103773</t>
  </si>
  <si>
    <t>Assurance de groupe (Anciennes hôtesses navigantes d'Air France) Mensualités un peu élevées sans rapport avec le montant des retraites.Règlements ponctuels, par retour du courrier, dès transmission de la Caisse maladie.</t>
  </si>
  <si>
    <t>bh1444-68123</t>
  </si>
  <si>
    <t>J'ai un avis très négatif de l'activité sinistre de la Maif qui, d'une manière blessante, met en doute les paroles de ses sociétaires et fait preuve de dilettantisme.</t>
  </si>
  <si>
    <t>27/10/2018</t>
  </si>
  <si>
    <t>pierreantoinemarie-55824</t>
  </si>
  <si>
    <t>Prélèvements non justifiés et pas remboursés, aucun service n'est capable de donner des explications. Allez ailleurs ! J'ai beau dire que je suis dans une situation compliqué à cause de ses prélèvements, les conseillers rigolent au téléphone et raccroche sans me laisser le temps de m'expliquer</t>
  </si>
  <si>
    <t>emmanuel-d-130041</t>
  </si>
  <si>
    <t>Les prix me conviennent et sont intéressants. Je suis nouvellement assuré chez Direct Assurance. J'attends donc de voir la plateforme et les différents services qui me seront proposés tout au long de mon contrat.</t>
  </si>
  <si>
    <t>29/08/2021</t>
  </si>
  <si>
    <t>francoise-53512</t>
  </si>
  <si>
    <t>Impossibilité de recevoir un dossier concernant une assurance vie dont je suis bénéficiaire</t>
  </si>
  <si>
    <t>mimi17-116948</t>
  </si>
  <si>
    <t>Mon avis pour Emeline je n'ai jamais eu affaire avec une t'elle personne je suis comblé formidable Emeline agréable a discuter et tout est clair et surtout le professionnalisme
Bravo a elle continuer comme cela.
Cordialement 
Michel Mercier</t>
  </si>
  <si>
    <t>nicolas-d-106896</t>
  </si>
  <si>
    <t>Je suis nouveau client, on va voir dans 1 an ! (Augmentation de la cotisation de 800% malgré Corona (!), 0 accident, 0 souci et Bonus ??!!!) J'ai payé 310€, on va voir combien je vais payé (en plus, of course !) dans 1 an...</t>
  </si>
  <si>
    <t>tropea-a-113420</t>
  </si>
  <si>
    <t xml:space="preserve">Je suis satisfait du service. 
Mais ne comprends pourquoi mon Taux d’assurance a diminué aussi fort alors que j’étais tjs assuré chez vous et là je repars avec un taux bcp plus bas (bonus /malus). </t>
  </si>
  <si>
    <t>sifdin-b-110152</t>
  </si>
  <si>
    <t>Pas au top question communication, un coup je suis assuré un coup je ne le suis pas.
Gros problèmes pour transmettre les documents....
Reste à voir la suite....</t>
  </si>
  <si>
    <t>laetitia-c-113534</t>
  </si>
  <si>
    <t>L'assurance scolaire des enfants est tres bien. Je n'ai rien a dire au niveau du prix car je ne paye vraiment pas chere pour une assurance scolaire et extrascolaire.</t>
  </si>
  <si>
    <t>aprelon-p-130113</t>
  </si>
  <si>
    <t xml:space="preserve">je suis satisfait du service et du conseiller que j'ai eu au téléphone.
Le site internet est très simple à utiliser
l'envoi des documents sur le site très pratique
</t>
  </si>
  <si>
    <t>faty78-52135</t>
  </si>
  <si>
    <t>Assurée chez Allianz depuis 4 ans, j'ai subie un incendie en juillet dernier, depuis il refuse de répondre à mes demandes de détail sur l'indemnisation proposée. Obligée de faire intervenir un avocat. Ils ont même essayé de me déduire la décontamination alors qu'elle est prévue au contrat.</t>
  </si>
  <si>
    <t>07/02/2017</t>
  </si>
  <si>
    <t>maxime-t-116194</t>
  </si>
  <si>
    <t>Je suis satisfait du service.  Néanmoins, chaque année ma cotisation augmente alors que mon bonus augmente....
Donc si cela ne fait qu'augmenter je finirais par changer d'assurance.</t>
  </si>
  <si>
    <t>carolive-86666</t>
  </si>
  <si>
    <t xml:space="preserve">Sinistre sur une salle de bain depuis début janvier.
La rapport d expert est rendu depuis le 21.
Notre salle de bain est inutilisable depuis 1 mois. Compliqué avec 3 enfants dont 1 bébé. Aucune nouvelle de l'assurance et surtout le comble du comble ils sont injoignables!!! 25 appels sans succès...tous les conseillers sont occupés!!...du jamais vu!!
Dès que c'est possible nous résilions cette assurance. </t>
  </si>
  <si>
    <t>03/02/2020</t>
  </si>
  <si>
    <t>hauet-c-111865</t>
  </si>
  <si>
    <t>je suis satisfait de la rapidité et de la qualité du service proposer avec des prix 3 fois moins cher qu'en agence, je recommande très fortement, et surtout pour les jeunes permis</t>
  </si>
  <si>
    <t>tanguy--l-135456</t>
  </si>
  <si>
    <t>Je suis satisfait de votre mutuelle j’aime bien vraiment je vais la recommander à mes amis et ma famille comme sa il vont être bien protéger et mes amis aussi ??</t>
  </si>
  <si>
    <t>antoine-62186</t>
  </si>
  <si>
    <t xml:space="preserve">J’ai eu un sinistre au mois de novembre 2017 un tiers responsable a été reconnu par un témoin mais après expertise de mon véhicule ils ne veulent pas prendre en compte le sinistre car d’après eux la voiture été déjà a réparé car mon pare-chocs été déjà un peu abîmé et ne m’ont plus jamais donne suite maintenant j’ai donc un pare-chocs une aile et un phare à faire réparer à mes frais. A quoi bon être assurer dans ces cas là ? </t>
  </si>
  <si>
    <t>10/03/2018</t>
  </si>
  <si>
    <t>bliss-78226</t>
  </si>
  <si>
    <t>Actuellement cliente à la MGP depuis plusieurs années, étant ads puis pm en 2012, j'ai contacté la mgp afin de mettre à jour mes coordonnées en avril 2019.
Lors de cette démarche, mon interlocuteur s'est rendu compte d'une erreur concernant mon dossier. En effet, il appert que je n'avais pas de complément de traitement or, j'avais la garantie primo. L'un ne va pas sans l'autre et qui plus est, normalement, on a le complément de traitement d'office mais pas la garantie primo qui est une option.
Il s'agirait d'un beug informatique selon ses déclarations. Celui-ci a eu lieu en 2012 et n'a pas été rétablie depuis lors sur mon dossier.
Heureusement que tout s'est bien déroulé pour moi jusque là...
Dès lors que j'en ai eu connaissance, j'ai contacté la mgp téléphoniquement à de multiples reprises (6 ou plus) mon interlocuteur du moment avait fait remonté l'information.
J'ai également envoyé un courrier à deux reprises car il manquait des documents. Le premier contenait mon bulletin de salaire d'avril et le second, mon arrêté de titularisation pm pour ce faire.
Des choses ont été faites mais rien ne correspond avec ma demande initiale(mise à jour grade et autre...)
Le dernier contact remonte en juillet et mon interlocutrice m'a confirmé qu'il s'agissait d'une erreur de leur part, que cela allait être corrigé rapidement et que j'allais recevoir un nouvel échéancier incluant bien mon traitement de salaire.
Aujourd'hui, le 6 aout 2019, je reçois un courrier de la mgp stipulant que j'ai sollicité le règlement échelonné de la somme de 180 euros dont je suis redevable et cela réparti en deux cotisations prélevées sur septembre et octobre.
Ce jour, j'appelle la mgp. Tout d'abord, mon interlocutrice m'interroge afin de s'assurer qu'il s'agit bien de moi et énumère donc mon statut puis fait référence complément de traitement. Je lui demande donc si je l'ai bien et qu'il a été mis à jour, elle me répond positivement, je le vois marqué.
Je lui fait part du courrier. Elle m'informe qu'il s'agit probablement d'un rappelle suite à la mise à jour du complément de traitement salaire mais vérifie auprès de ses collègues. Après quelques minutes d'attente, mon interlocutrice m'annonce qu'elle confirme bien qu'il s'agit d'un rappel  pour le complément de traitement sur deux ans.
De ce fait, je suis remontée et déclare qu'il n'est pas question que je paie pour un statut que je n'avais jusqu'à ce eux mêmes corrige le problème sur juillet ou aout 2019.
On doit me contacter car je ne suis pas d'accord et de plus, je n'ai rien sollicité pour le remboursement dont je n'avais pas connaissance. Je suis en attente d'être contacté. Il faut attendre que la demande soit prise n compte avant toute chose, ce qui peut s'avérer être long surtout selon leurs priorités.
Le premier prélèvement est prévu début septembre et au vu des délais du manque de professionnalisme de la mgp pour traiter les dossiers, je pense que je serais prélevé avant la réparation du préjudice.
EN BREF, LA MGP EST FABULEUSE. ELLE ME RÉCLAME DE L'ARGENT (180 EUROS) POUR UNE PRESTATION OBLIGATOIRE MAIS QUI A ETE SUPPRIMÉE SUR MON DOSSIER PERSONNEL DEPUIS 2012 POUR RAISONS INCONNUES DE LEUR FAIT 
Elle se permet de me demander de l'argent sur deux ans alors que mon dossier a été mis a jour que très récemment, c'est extraordinaire de leur part et totalement de l'abus voire de l'ordre de la justice.
La mgp et son service sont devenus médiocres et lamentables
Difficulté à joindre, interlocuteur différent pour le même dossier, délai de traitement trop long, incompréhension totale des demandes, manque de rigueur et de professionnalisme.
A FUIR......</t>
  </si>
  <si>
    <t>06/08/2019</t>
  </si>
  <si>
    <t>pe94-103875</t>
  </si>
  <si>
    <t>Depuis le questionnaire pour établir le devis, la commande, l'envoi des documents justificatifs, tout a été réalisé suivant une procédure efficace.
Le prix est compétitif et les conseillers réactifs.</t>
  </si>
  <si>
    <t>naif-68080</t>
  </si>
  <si>
    <t xml:space="preserve">Une fois client on est un numéro, site internet peu pratique, je paie par chèque, j'ai un message téléphonique me disant que l'on peut encaisser mon chèque, pas d'écrit pas de retour de chèque, mais une lettre de résiliation pour non paiement.
Sans dialogue possible je m'assure ailleurs, puis suis assailli par une officine de recouvrement qui me réclame de payer à nouveau l'intégralité de la prime.
A éviter impérativement. </t>
  </si>
  <si>
    <t>lilou30-101756</t>
  </si>
  <si>
    <t>Je suis chez Allianz depuis 07/2020 et je reçois depuis des lettres de relance pour impayés, un bug de votre part d'après le serveur vocal. Impossible d'avoir un interlocuteur qui puisse me renseigner à ce sujet, baladé de serveur en serveur pour entendre à maintes reprises "je n'ai pas accès à votre dossier"! Dès la date anniversaire je change d'assurance!!!</t>
  </si>
  <si>
    <t>22/12/2020</t>
  </si>
  <si>
    <t>varmatic-114940</t>
  </si>
  <si>
    <t>Ils me raccroche au nez, car j ai reçu mon avis d échéance annuel , il y a une ligne (frais de courtage )que je n arrive pas à comprendre , j ai eu trois personnes au téléphone l une derrière l autre elles me raccrochent au nez parce que ils n arrivent pas à l expliquer c est quoi, a fuir.</t>
  </si>
  <si>
    <t>lumeng-90009</t>
  </si>
  <si>
    <t>Sinistre déclaré en Janvier, La matmut se désolidarise aujourd'hui car le sinistre serait selon eux, un vice antérieur à notre acquisition de bien.
Cependant, la MATMUT est incapable de nous donner ce document certifiant ce fait qui nous permettrait de  nous retourner contre les fautifs.
De plus, l'expertise n'ayant même pas été terminé, car la fuite n'a toujours pas été détecté, nous nous étonnons donc de ces affirmations qui ne s'appuie sur aucun fondement, si ce n'est la volonté d'éviter une indemnisation.
Croyant bon de garder le silence ou en ne nous répondant mal, la Matmut semble jouer avec ses sociétaires les plus démunis pour ne pas faire son travail.
A éviter à tout prix si vous recherchez de l'humanité et de l'efficacité</t>
  </si>
  <si>
    <t>28/05/2020</t>
  </si>
  <si>
    <t>edunkel-105639</t>
  </si>
  <si>
    <t>Très facile, très efficace mais toujours trop chère notamment sur les franchises et de petites mesquineries comme pas de fournitures de constats, de carte avec les numéros d’urgences ou d’assistances ...</t>
  </si>
  <si>
    <t>ly-s-107698</t>
  </si>
  <si>
    <t>Très satisfait du service et le prix est très raisonnable avec de bonne garantie. 
meilleur tarif que j'ai trouvé. Merci pour votre confiance étant donné que c'est la première fois que je m'assure.</t>
  </si>
  <si>
    <t>amzil-r-115695</t>
  </si>
  <si>
    <t>C'est la première fois que je fais cette assurance pour ma nouvelle voiture. J'espère être satisfaite pour pouvoir la recommander à mes proches. A voir</t>
  </si>
  <si>
    <t>camoesas-b-122691</t>
  </si>
  <si>
    <t xml:space="preserve">Service rapide, clair et précis ! J’ai effectué mon devis oralement par appel téléphonique, cela a été rapide et organisé.
En plus de cela, les prix sont bas ! </t>
  </si>
  <si>
    <t>sylvain-u-110219</t>
  </si>
  <si>
    <t xml:space="preserve">Etant assuré depuis de nombreuses années à la GMF, pour les automobiles que j'ai pu avoir durant ces années et l'habitation, je recommande vivement cette assurance. Cordialement.
</t>
  </si>
  <si>
    <t>brigitte-78099</t>
  </si>
  <si>
    <t>Adhérente depuis 40 ans, je suis extrêmement déçue . Actuellement, suite à des problèmes de santé, je me trouve dans une détresse financière et je n'arrive pas à obtenir le paiement de mon complément de salaire depuis 7mois. Malgré un dossier de surendettement accepté par la banque de France, la MGP tarde à traiter mon dossier. J'ai laissé plusieurs messages expliquant l'urgence de ma situation, et malgré l'intervention de l'assistante sociale je n'ai obtenu aucune réponse. Je suis désespérée et ils en moquent.</t>
  </si>
  <si>
    <t>badly-94133</t>
  </si>
  <si>
    <t xml:space="preserve"> On verra quand j'aurai besoin de vous...
Mais je ne doute pas de votre professionnalisme car j'ai déjà contracté une assurance avec votre entreprise.</t>
  </si>
  <si>
    <t>15/07/2020</t>
  </si>
  <si>
    <t>isabelle-h-108652</t>
  </si>
  <si>
    <t>prix très intéressant, franchises assez élevées mais en regardant mon passé d'assurée je m'aperçois que je n'en ai pas eu besoin de les utiliser depuis de nombreuses années....je touche du bois!</t>
  </si>
  <si>
    <t>ericetflo-89348</t>
  </si>
  <si>
    <t>Assuré chez active assurance depuis peu, je trouve qu'ils ont été super rapide dans l'envoie de ma carte verte. J'ai reçu immédiatement par mail mon assurance pour un mois.J'ai eu ensuite une personne au téléphone qui m'a précisé que j'avais fait une erreur sur ma demande de devis, j'ai accepté sa nouvelle proposition, et j'ai reçu par retour de courrier ma nouvelle carte verte. Pour le moment, rien à dire sur cette assurance...à suivre...</t>
  </si>
  <si>
    <t>spengler-h-122635</t>
  </si>
  <si>
    <t>assurance au top,tres dispo , assistance telephonique impeccable et l'ecoute du client , tarif tres correctes, je suis entierement satisfait... merci amv</t>
  </si>
  <si>
    <t>kabuki-61211</t>
  </si>
  <si>
    <t>Les remboursements sont très rapides et envoyés par mail ce qui est plus pratique que d'aller sur son compte client dont on a toujours perdu les codes. Très bon contact avec Mélanie pour des changements de niveau de garantie</t>
  </si>
  <si>
    <t>raymond54891-108475</t>
  </si>
  <si>
    <t>Je suis client depuis longtemps mutavie, la filiale assurance-vie de la MACIF. J'ai demandé un retrait partiel le 03/03/2021. La demande est toujours signalée "en cours". Contacté, le conseiller me dit qu'il me débloque, que j'aurai l'argent sous 8 jours. Contacté à nouveau ce matin, même réponse. Bref, je suis baladé. Parallèlement, je remarque des problèmes d'accès au site récurrents. Je soupçonne fortement des gros soucis techniques, non communiqués évidemment.</t>
  </si>
  <si>
    <t>ericmonnier-58387</t>
  </si>
  <si>
    <t>30 ans d'anciennete, 2 sinistres non responsables (degats des eaux occasionnes par un voisin) en 2 ans et Maaf me radie ! assuance à fuir</t>
  </si>
  <si>
    <t>26/10/2017</t>
  </si>
  <si>
    <t>a-m-124316</t>
  </si>
  <si>
    <t xml:space="preserve">incomprehensible on vous assure avec tout les documents fournis et ensuite au bout de 3 jours on vous dit que l assurance n est pas possible bravo  
pourtant tout les documents son été fournis  
par contre pour prélever l argent la c est du rapide  on verra si le remboursement se ferra aussi vite </t>
  </si>
  <si>
    <t>caroline--93015</t>
  </si>
  <si>
    <t xml:space="preserve">Satisfait. J'ai déjà été assurer chez vous et je n'étais pas déçu donc je reviens..bonne explication devis bien clair et pas de surprise à la souscription </t>
  </si>
  <si>
    <t>02/07/2020</t>
  </si>
  <si>
    <t>tangara10-104805</t>
  </si>
  <si>
    <t>J'ai une maison datant du xv° siècle. En 2017 la commune a été reconnue en catastrophe naturelle pour sécheresse. Suite à cette sécheresse les murs se sont fissurés, fissures partant du bas, les grosses pierres de tous les angles (pierres de 60 x 60 cm) se sont également fissurées, une partie d'un mur s'est effondré sans compter toutes les fissures qui se sont formées à droite et à gauche. PACIFICA a dépêché son expert favori SARETEC. Celui-ci est venu avec ses jolis petits souliers de ville, a fait le tour de la maison et au bout d'un quart d'heure est reparti en nous laissant espérer que les dégâts de la façade et les fissures des pierres des fondations de la maison serait pris en charge. Mais voilà, une certaine Emilie très hautaine a répondu que nous ne serions indemnisés de rien, tous les prétextes étant bons comme le fait que la maison était vieillissante, gag ! oui elle a 600 ans mais était impeccable, photos à l'appui. Puis ensuite, étant assuré également pour les mouvements de terrain, là ce n'était pas la faute des mouvements de terrain. Le terrain n'étant pas mouvant malgré toutes les preuves apportées et une contre-expertise à nos frais. Tous les prétextes étaient bons, jusqu'aux arbres que le vendeur nous avait surtout conseillé de ne pas enlever car ils maintenaient le terrain. 11 ans chez PACIFICA et 9 contrats d'assurance. Lorsque cette affaire sera passée devant les tribunaux, adieu PACIFICA et ses comparses de chez SARETEC !!!</t>
  </si>
  <si>
    <t>farid-a-133389</t>
  </si>
  <si>
    <t>Le prix est Cher par rapport aux autres services 
Ke service par contre est rapide 
Merci pour votre rapidité et votre service simple à utilisé 
Ait athmane farid</t>
  </si>
  <si>
    <t>elena-105969</t>
  </si>
  <si>
    <t>Vraiment déçu de cette mutuelle , très long sur les remboursements 4 semaines minimum quand on envoie les documents et je parle même pas de mon forfait naissance que j’attend depuis janvier!!! C’est pas normal quand on paie faut que je remercie mon employeur elle était mieux la précédente !!! Un catastrophe !!</t>
  </si>
  <si>
    <t>kahdidja-b-111140</t>
  </si>
  <si>
    <t>je suis satisfait des tarifs proposés par direct assurance par rapport aux autres compagnies d'assurances  , vous êtes compétitifs , personnels joignables et accecibles</t>
  </si>
  <si>
    <t>lotfi-o-134551</t>
  </si>
  <si>
    <t>Excellent conseiller au téléphone, qui a fait preuve d'un grand professionnalisme et écoute par rapport à mon projet. Il a fait la différence par rapport aux nombreux contacts que j'ai eu suite à ma demande de devis.</t>
  </si>
  <si>
    <t>26/09/2021</t>
  </si>
  <si>
    <t>encolere21-62750</t>
  </si>
  <si>
    <t>Clients depuis  25 ans chez EUROFIL, nous recevons aujourd'hui un recommandé qui nous informe qu'EUROFIL résilie notre contrat auto  pour "inadéquation du risque au regard de la politique d'acceptation de leur compagnie "  Nous venons de les appeler : la raison est 3 sinistres en deux ans (pour lesquels notre responsabilité n'a pas été engagée)</t>
  </si>
  <si>
    <t>28/03/2018</t>
  </si>
  <si>
    <t>tibout-63170</t>
  </si>
  <si>
    <t>Depuis 4 ans assurée pour mon chat chez eux L'année dernière (2017) mon Tibout a eu plusieurs blessures qui m ont bien été remboursées mais en fin d'année 2017 ma cotisation est passée de 15.7€ à 24.41 €... J appelle et on me dit " on vous a remboursé 360€ alors que le montant de vous avez cotisé sur 2017   188€ .. Donc normal relisez votre contrat. Nous ne sommes pas là pour perdre de l'argent "  Apparemment ils m ont adressé un mail que je n'ai pas reçu ... Ma bonne fois contre la leur. Obligée de rester une année encore en espérant ne pas avoir des frais supérieurs à ma cotisation  Dommage .......</t>
  </si>
  <si>
    <t>secci-p-124168</t>
  </si>
  <si>
    <t>Prix intéressant.
Aimerait pouvoir avoir un contrat à la carte. Par exemple, prendre l'assurance Tiers essentiel, avec le choix d'ajouter uniquement quelques options sans pour autant prendre la formule supérieure (exemple ajouter l'option Bris de glace). 
Aurait aimer trouver une formule de garantie au km (assurance pour un minimum de km à l'année puis prix au km supplémentaires)</t>
  </si>
  <si>
    <t>jowill-63535</t>
  </si>
  <si>
    <t>Incapables !!!, que rajouter de plus.... Nous sommes en 2018, on nous demande d'économiser du papier et favoriser nos démarches via internet.Mais de l'autre côté impossible d'avoir une attestation en ligne ce qui me parait vraiment être le minimum lorsque l'on a un identifiant et protection mot de passe!!! mais non pas possible demandez par mail, on vous répondra .....quand on aura le temps !!!
demande est donc faite par mail en mentionnant tout ce dont j'ai besoin(nom prenom, date de début de contrat et date de fin ) pour annuler la mutuelle de mon épouse qu'on lui colle d'office bien évidemment...
je recois le papier manque la date de fin : oh zut alors ,20 jours pour faire le papier et pas fichu de le remplir correctement.
Je me fais donc envoyer balader pour l'annulation de l'autre mutuelle (bien voyous au passage) sous prétexte qu'il manque la date de fin....no comment
je rappelle donc harmonie : pas une excuse , je note votre demande , vous aurez le papier sous 15 jours!!!
MDR...vaut mieux en rire...</t>
  </si>
  <si>
    <t>24/04/2018</t>
  </si>
  <si>
    <t>poussereau-t-133114</t>
  </si>
  <si>
    <t>Le fait de tout regler par internet, sans se déplacer est vraiment intéressant, et la rapidité de mise en place du contrat , encore davantage.
Parfait.</t>
  </si>
  <si>
    <t>valentin-l-133665</t>
  </si>
  <si>
    <t xml:space="preserve">Je suis satisfait du service. Les sont peu élevés. La rapidité de souscription est satisfaisante . Le temps d’attente au téléphone est relativement court.  </t>
  </si>
  <si>
    <t>maurice-s-107270</t>
  </si>
  <si>
    <t>Simple et pratique, les prix sont dans la moyenne.
Mon interlocuteur au téléphone a été très professionnel et patient. Je suis donc satisfait du service.</t>
  </si>
  <si>
    <t>francis-l-109757</t>
  </si>
  <si>
    <t xml:space="preserve">Je suis satisfait du service et souhaite avoir une proposition  d'assurance pour le RAV4, à compter de 2022. 
Je suis actuellement  assuré par l'Assurance L'Olivier, </t>
  </si>
  <si>
    <t>lila-92580</t>
  </si>
  <si>
    <t>Je suis satisfait. Le service on-line et la communication par telephone sont bien.
Je suis satisfait. Le service on-line et la communication par telephone sont bien.</t>
  </si>
  <si>
    <t>hakima-b-105803</t>
  </si>
  <si>
    <t xml:space="preserve">Je suis très satisfaite de votre service client en ligne très agréable et très courtois; Je remercie direct assurance pour ses tarifs clairs et précis.
</t>
  </si>
  <si>
    <t>jean-luc-b-104976</t>
  </si>
  <si>
    <t>Pourquoi cet augmentation sur mon assurance habitation?
je comprend pas ce qui peux provoquer ça en cette période difficile. En tous cas ce n'ai pas justifié à mes yeux.
Incompréhension totale</t>
  </si>
  <si>
    <t>edgard-c-130854</t>
  </si>
  <si>
    <t xml:space="preserve">COMPAGNIE TRES COMPETITIVE ET DELAIS DE REPONSE TRES  RAPIDES SITE TRES BIEN CONCU TARIFS APPRECIABLES POUR LES PASSIONNES DE MOTOS A CONSEILLER VIVEMENT </t>
  </si>
  <si>
    <t>fab08-117664</t>
  </si>
  <si>
    <t>très satisfait du service de la GMF , mais aussi des tarifs et des prestations proposer, je recommande les services de la GMF qui sont toujours à l'écoute et soucieux d'y répondre favorablement</t>
  </si>
  <si>
    <t>anne-c-130849</t>
  </si>
  <si>
    <t xml:space="preserve">tres satisfaite dans l ensemble
Prix tres interessants par rapport à la concurrence
Interlocutrice correcte professionnelle a l écoute
Rien a ajouter
</t>
  </si>
  <si>
    <t>piwi--134615</t>
  </si>
  <si>
    <t xml:space="preserve">Impossible de faire le tiers payant car soit disant problème de teletransmission. Très mauvaise couverture dentaire et optique, bref je déconseille fortement </t>
  </si>
  <si>
    <t>gregory-m-101282</t>
  </si>
  <si>
    <t>bonjour
personne agréble au telephone et rapide,mes questions ont ete tres vite traité par le coneillé,il connaissait tres bien son produit.
je recommande ce service</t>
  </si>
  <si>
    <t>capitaine-l-110754</t>
  </si>
  <si>
    <t>Je suis satisfaite du service, les prix sont très corrects et le service client est agréable et compétent. Je recommande l'olivier assurance sans problèmes</t>
  </si>
  <si>
    <t>17/04/2021</t>
  </si>
  <si>
    <t>touze-l-113285</t>
  </si>
  <si>
    <t>Je suis satisfaite de l’offre et de la rapidité à laquelle j’ai pu souscrire mon contrat. L’offre étant la meilleure pour un jeune conducteur, je recommande.</t>
  </si>
  <si>
    <t>coraline--94237</t>
  </si>
  <si>
    <t xml:space="preserve">Je suis satisfaite du service , simple rapide pratique rien a dire assurance pas cher, toujours disponible, je n’est jamais eu aucun litige malgré, je recommande </t>
  </si>
  <si>
    <t>16/07/2020</t>
  </si>
  <si>
    <t>misterpseudo-81401</t>
  </si>
  <si>
    <t xml:space="preserve">Client de la MAIF depuis de nombreuses années, plus de 15 ans je crois, j’étais assez satisfait de la manière dont ont été gérés quelques incidents. Les contacts étaient faciles et toujours agréables.
Par contre, leur attitudes et leur gestion de l’incident suivant m’a fait revoir complétement mon avis.
Propriétaire d’un appartement à Grenoble, il est en location meublé courts séjours. Le  3 juillet  2016 je constate des dégâts dans la chambre à coucher provoqués par une fuite d’eau provenant de l’étage  supérieur. Je signale immédiatement le sinistre à la MAIF.
Le plombier envoyé par le syndic le 7 juillet indiquera  une fuite privative logement Mr. X ( le propriétaire de l’appartement du second étage) sur robinet évier.
L’expert ne viendra faire le constat que le 29 août  soit près de 2 mois après le sinistre. Par la suite et après plusieurs courriers de ma part et l’intervention du conseil juridique de UFC Que Choisir de Grenoble, ce même expert indiquera  qu’aucune fuite n’a été détectée par le plombier. L’origine du sinistre n’a pu être démontré  . Quelle est la validité d’une expertise effectuée après un tel délai ?  Qui croire ? Le plombier passé quelques heures   après l’incident ou l’expert intervenu 2 mois après, une fois les causes réparées.
J’ai donc entamer une action en justice dont j’ai été débouté après deux ans.  Je l’ai fait non pas tant pour les montants en jeu, relativement peu importants, mais sur le principe de la plus élémentaire justice. 
Par la suite, ayant attendu l’issue du procès pour envoyer la facture de l’embellissement de la pièce (et la justice est débordée comme chacun sait), je me suis vu signaler qu’un délai de deux étant dépassé depuis le sinistre, je n’avait plus droit au dédommagement selon l’article L114-1 du Code des assurances. 
</t>
  </si>
  <si>
    <t>27/11/2019</t>
  </si>
  <si>
    <t>dominique-v-131494</t>
  </si>
  <si>
    <t xml:space="preserve">Je suis satisfait du service. Et surtout de la patience de la conseillère. Aimable et Professionnel. Que dire de plus. Je recommandes. C’est top. Une bonne assurance. </t>
  </si>
  <si>
    <t>tazghaiti-f-117273</t>
  </si>
  <si>
    <t xml:space="preserve"> Procédure pour souscrire à un contrat vraiment très  rapide je suis satisfait  et je recommande L OLIVIER ASSURANCE  qui sont raisonnable sur les prix </t>
  </si>
  <si>
    <t>julien-l-117360</t>
  </si>
  <si>
    <t xml:space="preserve">Parfait, bien reçu réponse rapide. Facile à utiliser. Je recommande totalement ! Mon assurance est moins chère que mon ancienne moto a2 alors que les autres assureurs ne prennent pas </t>
  </si>
  <si>
    <t>magogo-81705</t>
  </si>
  <si>
    <t xml:space="preserve">La conseillère qui harcèle sous le nom de Marie Laure est non seulement mal veillante mais aussi mauvaise conseillère... Avec soulagement je ne donne pas suite avec santé vet. Y a olein d'autre mutuelle, fêtes le tri ! </t>
  </si>
  <si>
    <t>hello18500-76011</t>
  </si>
  <si>
    <t>Je déconseille très très fortement. Ne souscrivez pas. La souscription  est simple, pour payer aussi ! J'ai dépassé (de 9 jours) le délai de 30 jours pour obtenir ma carte grise donc contrat résilié à J30 +1 par eurofil alors que j' ai fais une avance de 3 mois comme le demande eurofil ; ils ne veulent rien savoir des délais administratifs pour lesquels malheureusement je ne suis pas responsable. 30 ans de permis, aucun sinistre. Ils ne prenaient pas grand risque avec moi. Nous sommes pris pour des portes
 monnaie. A moins qu' ils ne changent d'avis, je porte l'affaire plus loin même si mon cas est insignifiant comparé à d'autres assurés.</t>
  </si>
  <si>
    <t>jeannette--130006</t>
  </si>
  <si>
    <t xml:space="preserve">Je déconseille fortement cette mutuelle ! J ai une facture dentaire de 1500€ pas un centime remboursé !! Il leur manque toujours un document !! Je regrette vraiment d avoir fait confiance à Neoliane surtout que depuis 2ans c’est ma première demande </t>
  </si>
  <si>
    <t>chezeau-b-110154</t>
  </si>
  <si>
    <t xml:space="preserve">Je suis satisfait des prix concernant l'assurance automobile. Pratique de pouvoir le faire en ligne et en plus rapide. Je recommande à mes amis et à ma famille. </t>
  </si>
  <si>
    <t>mariegc59--127136</t>
  </si>
  <si>
    <t xml:space="preserve">juste 3 mois ce jour mon papa avait prescrit une assurance obsèques datant de septembre 1998 et a 14.81€ soit payée 3 x son enterrement .......
je dois recevoir 1525.00€ SUR LE CONTRAT STIPILE BIEN DANS LES 48H QUI SUIT LE DC LA SOMMES EST VERSES..........
je suis la fille unique de mon papa malheureusement décédé le 9/05/2021 j ai envoyée avec A/R le dossier le 11/05/2021qui m ont répondu le 15/05 demande de faire parvenir le document CERFA que j ai renvoyée encore avec A/R début juillet
LE 15/07 JE TELEPHONE POUR SAVOIR SI C EST BON 
ILS ME REPONDENT PAS DE SOUCIS VOUS AUREZ LA SOMME FIN JUILLET 
DEBUT AOUT NE VOYANT RIEN SUR MON COMPTE JE LEUR TELEPHONE DE NOUVEAU 
ET LA UNE PERSONNE ME DIT IL FAUT ATTENDRE ENTRE 6/9 MOIS ???
PAYER LES OBSEQUES DE VOTRE PAPA
DONC J AI REPONDU MON PAPA AVAIT PRIS CETTE ASSURANCE JUSTEMENT POUR PAS DEVOIR AVANCER LES FRAIS 
ET DE PLUS JE SUIS RETRAITEE JE GAGNE 1100€ COMMENT DOIS JE FAIRE 
SI JE PAYE MON LOYER MON GAZ ET MON EDF ET MA NOURITURE 
JE DOIS MOURIR AUSSI 
DONC APRES DISCUTER AVEC UN MEDIATEUR ET JE VOUS DONNE LES INFORMATIONS 
Comme prévu dans le contrat d'Obsèques  souscrit le 4/12/1998 ,donc ancien contrat qui justifie un paiement sous les 48h  auprès de votre compagnie, 
Je fais suite à Article L-132-23-1 
J AI ENVOYEE COURRIER AVEC A/R
COURAGE </t>
  </si>
  <si>
    <t>pamplemousse-96665</t>
  </si>
  <si>
    <t>J'avais droit à un an de mutuelle gratuite suite à une rupture conventionnelle. Mais harmonie mutuelle ne me rembourse rien et du fait qu'elle se bloque sur ma sécurité sociale, je ne peux pas me faire faire une paire de lunettes à ma vue. Mutuelle à fuir.</t>
  </si>
  <si>
    <t>pierre-c-135585</t>
  </si>
  <si>
    <t>Assuré depuis plusieurs années, je renouvelle mon contrat suite à l'achat d'une nouvelle moto. Ma confiance est intacte, et j'ai trouvé auprès de mes interlocuteurs écoute et bienveillance dans l'aide apportée à la rédaction en ligne. Les services sont rapides, (envoi de documents, attestation, etc..)Merci encore, je ne manquerai pas de recommander.</t>
  </si>
  <si>
    <t>02/10/2021</t>
  </si>
  <si>
    <t>coco-06-101280</t>
  </si>
  <si>
    <t>Une véritable honte ..!!!!.2 mois pour traiter une facture de dépassement d’honoraires pour une personne de 93ans qui honore tous les mois une cotisation importante ... !! Nous devrions faire la même chose pour le prélèvement mensuel !!’ En attendant ils mettent les gens dans l’ennuie !!’ À fuir ....</t>
  </si>
  <si>
    <t>jojo-126922</t>
  </si>
  <si>
    <t>Sur une demande de réversion : prétend ne pas avoir reçu la demande via le compte "assurance retraite" et prétend que l'ex-épouse de mon conjoint n'est pas remariée, m'accorde donc un prorata de la réversion et me demande de justifier le remariage de l'ex-femme de mon mari !!!!! Déjà eu affaire à cet organisme pour demander une aide sociale pour ma mère, la quantité de justifs demandés plus le rapport d'une assistante sociale est très dissuasif ! Passez au large si vous le pouvez....</t>
  </si>
  <si>
    <t>06/08/2021</t>
  </si>
  <si>
    <t>heb-60297</t>
  </si>
  <si>
    <t>ASSURANCEUR A OUBLIER MALGRÉ LES MILLIONS D' EUROS QU'ILS DÉPOIENT DANS LEUR PUBS FUYEZ !!!!
MEME LEUR MAIL POUR RECLAMATION REVIENT COMME NON LU LA HONTE</t>
  </si>
  <si>
    <t>08/01/2018</t>
  </si>
  <si>
    <t>zeid-d-127781</t>
  </si>
  <si>
    <t xml:space="preserve">Je suis satisfait du service le prix me convient parfaitement simple et pratique je aime très bien de continuer avec cette service dans tout les restants dans ma vie </t>
  </si>
  <si>
    <t>12/08/2021</t>
  </si>
  <si>
    <t>vanhuysse-f-113426</t>
  </si>
  <si>
    <t>Bonjour, je vous ai demandé de changer le compte en banque, vous m'avez certifié par téléphone que cela était fait, hors, vous m'envoyer le manda Sepa avec l'ancien compte... 
Vous ne serez pas payé dans un an si vous ne le modifiez pas.</t>
  </si>
  <si>
    <t>laurent-52852</t>
  </si>
  <si>
    <t>Beaucoup moins proche du sociétaire. Aucune réponse apportée à de très nombreux courriers. 
Très suspicieux lors d'un sinistre jusqu'à mandater un détective privé et mettre en doute la véracité d'un permis de conduire !.....</t>
  </si>
  <si>
    <t>lllll-101230</t>
  </si>
  <si>
    <t>Bonjour à tous,
J’ai récemment fait un devis auprès de la maaf pour une polo 5 5cv fiscaux que j’ai depuis 2 ans au tiers +. 
J’ai mon permis depuis 2017 et j’étais assuré jusqu’en 2018 chez eux puis ils m’ont résilié parce que j’avais eu un sinistre en avril 2017 (300€ de réparations pour un pare choc abîmé suite à un freinage d’urgence devant moi). J’avais du coup pris SOS malus et payé près de 2000€ au tiers par an. 2021 anniversaire de mon contrat, descente rapide pour n’être plus qu’à un CRM de 1 à compter du 1er janvier. 
Je contacte plusieurs assurances la maaf me dit 1080/an au tiers +, j’accepte et paie la 1ère mensualité. Le lendemain un conseiller m’appelle et me dit qu’ils ne prennent pas les assurés comme moi sauf si je souscris à l’assurance habitation et au plan prévoyance. Leur disant que c’est clairement du chantage on me dit que c’est comme ça que la direction tranche les dossiers. 
J’ai donc perdu 3 jours avec des incompétents qui change de discours toutes les 30 min puis j’ai trouvé finalement moins cher ailleurs, chez un assureur qui sait lire les papiers et comprend qu’à 1er janvier je suis ni malusé ni bonussé au lieu de me poser des conditions intrinsèques à mon assurance</t>
  </si>
  <si>
    <t>10/12/2020</t>
  </si>
  <si>
    <t>nicolas-d-122761</t>
  </si>
  <si>
    <t>Déjà assuré chez Direct assurances pour mon ancien logement j'ai voulu assurer mon nouveau logement situé à 30190 BOURDIC mais votre conseiller m'a indiqué que c'était impossible car Direct Assurance ne couvrait pas ce secteur.
J'ai du trouver en urgence une autre assurance pour mon nouveau logement !</t>
  </si>
  <si>
    <t>avantime-54890</t>
  </si>
  <si>
    <t>J'attends depuis 12/16 ma carte verte on est en Mai. Après 15 min d'attente au tel à chaque fois on me dit que ça va venir et j'appelle ts les mois</t>
  </si>
  <si>
    <t>phe01-79488</t>
  </si>
  <si>
    <t>Nadège</t>
  </si>
  <si>
    <t>chapeau-l-115744</t>
  </si>
  <si>
    <t xml:space="preserve">Je suis satisfait des tarifs et des différentes formules proposés l’envoi du devis et rapide et conforme à mes attentes. Cordialement.                  </t>
  </si>
  <si>
    <t>cricri27-85302</t>
  </si>
  <si>
    <t>Bonjour , je viens de souscrire un contrat ave l'assurance  l'OLIVIER Devis  467.95 et finalement je dois payer 681 
majoration de 24.8% pour avoir omis un bris de glace sur le vehicule de ma femme + une majoration de 80 euros LAMENTABLE FUYEZ</t>
  </si>
  <si>
    <t>28/12/2019</t>
  </si>
  <si>
    <t>perez-rey-a-133288</t>
  </si>
  <si>
    <t>Ça a été un peu compliqué
Il faut simplifier
Le prix est raissonable
L'information sur couvertures est insuffissant et doit etre a disposition du nouveau client avant tout le procés</t>
  </si>
  <si>
    <t>lombardi-a-135809</t>
  </si>
  <si>
    <t xml:space="preserve">satisfait pour le moment par le service pour ce qu'il offre au niveau qualité prix,
merci pour être les plus bas du marché et me permettre d'assurer mon fourgon </t>
  </si>
  <si>
    <t>le-gall-j-112457</t>
  </si>
  <si>
    <t xml:space="preserve">Niveau qualité prix plus qu’à satisfaisant , prix très attractif , service rapide en ligne , aussi à ce rapide.envoie carte verte provisoire instantané </t>
  </si>
  <si>
    <t>dadou-103083</t>
  </si>
  <si>
    <t xml:space="preserve">Je regrette d'avoir souscrit à cette mutuelle Neoliane par l'intermédiaire d'un courtier MBS contact
Difficulté pour avoir un interlocuteur "competent" quand enfin votre appel finit par aboutir
Pas de réponse à vos questions et renvoi sur un autre numéro qui ne cesse de vous répéter : EN RAISON D'UN GRAND NOMBRE D'APPELS ETC........."
ALORS OUI JE SUIS TRES EN COLERE d'autant plus que mes mails restent sans réponse 
Autant vous dire que notre collaboration n'ira pas au delà de l'année et avant si je pouvais dénoncer le contrat
Si vous n'êtes pas capable d'assurer le suivi de vos adhérents évitez de démarcher pour étoffer votre portefeuille clients.
J'attends votre Appel au 06 88 98 97 42 le plus rapidement possible j'attends.
</t>
  </si>
  <si>
    <t>ced-50938</t>
  </si>
  <si>
    <t xml:space="preserve">Bonjour,
J'ai été démarché le 28/12/2016 par téléphone par un courtier (il me semble car la personne ne s'est pas présentée)  avec un numéro régional s’affichant sur le téléphone, pour souscrire à un contrat santé Neoliane. J’ai eu le droit à un discours sur cet organisme, aux nouvelles réformes de santé ainsi que l’amoindrissement des frais d’hospitalisation de la mutuelle etc etc etc, poli j’écoute. 
Et par la suite, je donne un numéro que je reçois par sms, en m’assurant que cela n’engage à rien. Mais au final, ce numéro a permis de souscrire électroniquement à ce contrat de santé que je ne voulais en aucun cas souscrire. Cette personne au bout du fil voulait simplement vendre un contrat afin de rentrer dans ces « quotas »…
A présent, je souhaite donc me rétracter, après recherches sur internet, (à ce jour je n’ai toujours pas reçu le contrat à mon domicile) j’ai 14 jours calendaires à compter de la date d’adhésion. 
Lorsque que j'essaie de joindre Néoliane, il m'indique que le contrat prend effet à partir du 01/02/2017, et que je n'ai pas encore de numéro d’adhérent et qu’il sera créé la semaine prochaine (10 jours pour créer un numéro d’adhérent cela me paraît bien long surtout que tout se fait par logiciel). Mais pourquoi il arrive à me dire à partir de quand mon contrat débute alors qu'ils m'ont même pas de numéro d'adhérent à mon nom? Mais Comment obtenir mon numéro d’adhérent ??
J’ai l’impression qu’ils font tout pour perdre du temps, et ainsi m’envoyer le contrat à mon domicile après les 14 jours de rétraction !!! 
Cela s’appelle du démarchage ABUSIF, car nous ne sommes même pas au courant des garanties que vous vantez si exceptionnelles soient elles !! Mais surtout que par téléphone nous arrivons à souscrire à un contrat et que nous n’avons pas véritablement conscience de cet engagement!! 
Merci par avance de vos réponses
</t>
  </si>
  <si>
    <t>04/01/2017</t>
  </si>
  <si>
    <t>pamela-b-124998</t>
  </si>
  <si>
    <t xml:space="preserve">Facilite de souscription et site internet clair et intuitif
Tarifs corrects et très clairs de compréhension, en espérant ne pas être déçue en tant qu’assurée 
</t>
  </si>
  <si>
    <t>pierre-64048</t>
  </si>
  <si>
    <t>Assuré depuis plus de 30 ans, je constate que  l'assureur  soit disant militant ressemble de plus en plus à un assureur commercial.
Les tarifs ont beaucoup augmenté, surtout en habitation .  Les contrats sont de plus en plus segmentés. Pourquoi pas, sauf qu'alors cela ne s'appelle plus une mutuelle.
Il n'y a plus de point de contact physique pour le traitement des dossiers de sinistre. Tout se passe par téléphone. C'est une dégradation du service à la clientèle.
Je ne supporte plus les publicités de la MAIF. Cette insistance sur le côté on n'est pas pareil, alors que si ils sont pareils que les autres mûs par la recherche du profit, est irritante. 
Pour rappel, la MAIF était autrefois une mutuelle réservée aux instituteurs et ayant vraiment une préoccupation sociale.</t>
  </si>
  <si>
    <t>16/05/2018</t>
  </si>
  <si>
    <t>amari-messaoud-97707</t>
  </si>
  <si>
    <t xml:space="preserve">Des prix compétitives et pas chères. Mais le service n'est pas du tout à la hauteur, nul. Des conseillers incompétents qui ne sont pas du tout à l'écoute du client, je ne la recommande pas. </t>
  </si>
  <si>
    <t>beatrice-53727</t>
  </si>
  <si>
    <t xml:space="preserve">On nous ballade depuis huit mois... Ma sœur a déjà posté un avis défavorable sur l'assurance décès et obsèques de notre père, décédé en septembre. Lorsque l'on daigne vous répondre par mail après de nombreux échanges par téléphone (appel surtaxé), mails et courriers ; on vous demande les pièces justificatives, on vous donne enfin le nom d'une personne à qui envoyer les papiers. Mais cette madame "X" existe t-elle vraiment ??? Car bizarrement elle ne répond pas à vos mails... A t-elle comme consigne de faire trainer le règlement ??
L'assurance obsèques doit être versées dans  les 72 H à réception des documents. Attention, quand vous êtes les enfants, on ne cherche pas à vous joindre. Donc si vous ne savez pas que vos parents ont souscris une assurance auprès de swisslife pour vous aider à payer les obsèques ou une assurance décès, ne l'attendez pas ... 
Depuis fin janvier le dossier de notre mère est complet car, évidemment, on lui a demandé les pièces en plusieurs fois, et depuis c'est à nous de les relancer sans cesse. Et dans son cas 8 mois ce sont écoulés avant qu'elle ne touche l'assurance décès de notre père, et l'assurance obsèques ne lui a toujours pas été versée.
C'est comme on dit "une usine à gaz"...
Pour percevoir vos versements, ça va, mais pour vous régler ce que vous avez droit, c'est une autre question. Ils vous prélèvent même le mois après votre décès, alors qu'ils sont prévenus en temps et en heure et il faut ensuite faire la demande de remboursement, celle ci n'a toujours pas été faite... 
Pour attirer le client, sur le site internet swisslife, on vous annonce : fiables, attentionnés, sérénité... Nous n'avons certainement pas la même définition de ces trois mots...  
C'est lamentable et honteux. 
</t>
  </si>
  <si>
    <t>11/05/2017</t>
  </si>
  <si>
    <t>marcmarc-113866</t>
  </si>
  <si>
    <t xml:space="preserve">Tarif très intéressant, facilité et rapidité de souscription. Rien de plus à redire. Je recommande cette assurance.C'est pas des neuneus comme chez euro assurance et compagnie. </t>
  </si>
  <si>
    <t>tuntun-64380</t>
  </si>
  <si>
    <t xml:space="preserve">mon vehicules etait assure tous risque vole en novembre et 6 mois plus tard toujours rembourse et il se renvoi la balle entre les services .
je vous deconseille car tout va bien quand vous avez pas de probleme mais des que vous avez bession il y a plus personne. merci </t>
  </si>
  <si>
    <t>oui123-93168</t>
  </si>
  <si>
    <t xml:space="preserve">Bonjour j'ai  déjà déclaré la fuite d'eau le 07/05/2020 et l'assurance sogessur m' a demander de contacter l'expert ! Normalement c'est leur travail pas le mien ! Donc j'ai  contacté l'expert au moins 5 fois et l'expert est que passer le 27/05/2020!Après il dit qu'il va contacté l'assurance pour résoudre mon problème !j'ai attendue 2 semaines et j'ai appeler l'assurance mais à chaque fois que je les appele ils me disent que leur collègue va me contacter mais ils ne m'ont  jamais contacter ! Puis le 04/07/2020 je les recontacte et j'attends 30 min ils ne me répondent même pas ! </t>
  </si>
  <si>
    <t>franck-e-116783</t>
  </si>
  <si>
    <t>Assurance satisfaisant. Prix bas.  Garantie satisfaisant.Service client un peu long, mais c'est dû au nombre d'appels. Personnel très gentil et courtois.</t>
  </si>
  <si>
    <t>23/09/2021</t>
  </si>
  <si>
    <t>franck-m-112189</t>
  </si>
  <si>
    <t>franchises trop importantes,modifications de contrat payantes.Options trop chères.Site internet trop basique,trop peu d'informations.,peu d'actions possibles sur le site.</t>
  </si>
  <si>
    <t>brahim--96182</t>
  </si>
  <si>
    <t>N'hésite pas à vous résilier sans vous prévenir vous fessant être dans l'illégalité complet.
Assurance médiocre a éviter les  prix peuvent être intéressant mais en cas de problème .... bonne chance</t>
  </si>
  <si>
    <t>ay-63168</t>
  </si>
  <si>
    <t>Bien efficace bon conseil.....</t>
  </si>
  <si>
    <t>mamadi-90058</t>
  </si>
  <si>
    <t>Service par téléphone treS très mauvais</t>
  </si>
  <si>
    <t>29/05/2020</t>
  </si>
  <si>
    <t>bichou-63333</t>
  </si>
  <si>
    <t>Bonjour, Nous sommes garagistes et travaillons avec toutes les assurances. En ce qui concerne axa c'est l'horreur : Le service prestataires est un service fantôme, il est quasi impossible de le joindre et, quand au bout de plusieurs essais on y parvient enfin, on nous dit que l'on va nous recontacter par mail ou téléphone et cela reste en l'état, pas de réponse, aucun retour. Fautes d'éléments et de références dossiers nous ne pouvons encaisser les chèques expédiés par AXA qui s'accumulent depuis plusieurs mois et qui nous font faute dans notre trésorerie. Plusieurs assistances ont été condamnées pour cette pratique qui consiste à faire fructifier leur trésorerie aux dépends des prestataires missionnés, qu'en sera t'il d'AXA?</t>
  </si>
  <si>
    <t>17/04/2018</t>
  </si>
  <si>
    <t>valinette76-69678</t>
  </si>
  <si>
    <t xml:space="preserve">Je me suis retrouvée en difficulté pensant tomber en panne. Une dépanneuse est arrivée dans les 15 minutes. Le dépanneur a vérifié mon problème et a estimé qu' il n y avait rien. Donc il est reparti. Aucun frais m a été facturé </t>
  </si>
  <si>
    <t>26/12/2018</t>
  </si>
  <si>
    <t>dan-68451</t>
  </si>
  <si>
    <t>depuis le mois de juin je ne recois plus mes remboursement,j ai demande par telephone des expliquations,a ce jour pas de reponse merci pour le serieux de cette assurance,contrat souscrit aupres de center assur je les ai contacte par telephone pour leur signaler le probleme,</t>
  </si>
  <si>
    <t>marc--106200</t>
  </si>
  <si>
    <t xml:space="preserve">Remboursement non effectué depuis janvier j'attends 2 remboursement et toujours rien malgré les relances etant donner que c'est une mutuelle du travail avec les collègues et le syndicat nous verront de rassembler afin que l'employeur résilie chez eux car c'est abusé déjà on paie et derrière sa service déplorable </t>
  </si>
  <si>
    <t>lonely-54315</t>
  </si>
  <si>
    <t xml:space="preserve">Bonjour,
Je suis chez AMV depuis 2015 pour ma 125, il y a quelques semaineS mon conjoint à un accident, une automobiliste n'a pas respecté le stop.
(dialogue difficile car étant responsable, la partie adverse n'a pas voulu remplir le constat correctement et mon conjoint a juste pu faire un dessin de l'accident avant d'avoir le constat enlevé des main)
La moto a été expertisé, l'expert est ok pour les réparations.
Le problème est que le gestionnaire n'a pas lancé le recours contre l'assurance adverse mais me parle vaguement de priorité.
Aujourd'hui je n'ai aucune nouvelle, la moto ne peut pas rouler tant qu'elle n'est pas réparé.
Par contre ma cotisation est réglée à l'année
Par contre AMV qui est quand même un assureur de moto renommé donne plus l'impression de défendre l’automobiliste....
</t>
  </si>
  <si>
    <t>26/04/2017</t>
  </si>
  <si>
    <t>schonbrunn-16635</t>
  </si>
  <si>
    <t>Le groupe AXA est beaucoup trop cher pour moi, ayant une petite retraite les tarifs d'Axa n'entrent plus dans mon budget, je cherche un assureur avec des tarifs plus bas.</t>
  </si>
  <si>
    <t>kyan-p-138605</t>
  </si>
  <si>
    <t>Pour un 50cm3 c'est extrêmement cher, malgré que ça soit l'assurance la moins chère du marché. De plus, il n'y a même pas de formule bonus/malus. C'est bien dommage.</t>
  </si>
  <si>
    <t>colf-87278</t>
  </si>
  <si>
    <t xml:space="preserve">J'ai souscrit à une option premium "assistance 0km et valeur majorée". 
Suite à un sinistre avec véhicule non réparable je me rend compte que la valeur majorée n'a pas été prise en compte. C'est seulement après questionnement de ma part que l'on m'informe que la valeur majorée est gérée par une autre compagnie : MAPFRE. Seulement celle-ci à cessé ses activités en france, L'olivier se décharge et renvoie la balle sur MAPFRE. Pourtant c'est bien à l'Olivier que je payais ces 12 euros supplémentaires tout les mois. 3 mois que l'accident à eu lieu, je n'ai toujours aucun retour de l'olivier malgré mes appels incessants qui ne fais rien face à cette situation mais qui a bien su encaisser l'argent tout les mois !!!  </t>
  </si>
  <si>
    <t>vtracy-61296</t>
  </si>
  <si>
    <t>Assurance habitation trop cher, c'était un premier ménage on pensais pouvoir faire confiance mais lorsque l'on a finis par faire le tour, c'était vraiment cher finalement. De plus nous avons était prélever deux fois le premier mois, nous n'avons pas eux de remboursements, et le pire c'est d'avoir payer deux mois dans le vide... en colère, plus jamais!</t>
  </si>
  <si>
    <t>09/02/2018</t>
  </si>
  <si>
    <t>sylvie-59494</t>
  </si>
  <si>
    <t>je suis assurée par Intériale pour la Prévoyance et je ne suis pas très satisfaite ces derniers mois. Je suis en attente du complément de mon salaire du mois de septembre et octobre. Nous sommes le 27 novembre et je n'ai toujours rien reçu. Mon travail me paie 924 euros et avec un loyer de 531 euros, je n'ai plus assez pour payer mes prélèvements. Après plusieurs contacts téléphoniques, mon dossier est remonté à chaque fois.......  Toujours pas de virement. Je commence à avoir des soucis sur mon compte bancaire par leur faute. Je précise que je cotise chez eux depuis 20 ans.</t>
  </si>
  <si>
    <t>27/11/2018</t>
  </si>
  <si>
    <t>francois--102052</t>
  </si>
  <si>
    <t xml:space="preserve">Catastrophe J’essaye de les joindre impossible toujours en attente plus de 15 minutes j’ai des remboursements qui ne sont toujours pas effectué ceci est inacceptable plus de 1 mois </t>
  </si>
  <si>
    <t>31/12/2020</t>
  </si>
  <si>
    <t>yahia-g-133748</t>
  </si>
  <si>
    <t>Top jusque la souscription du contrat, bon rapport qualité prix. J’espère la même réactivité en cas de panne ou d'accidents. Super l’idée d'assurer le conjoint automatiquement en second conducteur... belle initiative et surtout gratuitement</t>
  </si>
  <si>
    <t>ranaivoson-andriambala-130069</t>
  </si>
  <si>
    <t>Je suis vraiment satisfait du prix et l application en attendant je recommanderai à mes entourage qui on besoin d'assurance automobile où autre 
Cordialement 
Merci</t>
  </si>
  <si>
    <t>drine-96582</t>
  </si>
  <si>
    <t xml:space="preserve">DES INCOMPÉTENTS !! 
VOILÀ MAINTENANT 1 AN QUE NOUS AVONS REMBOURSÉ NOS EMPRUNTS IMMOBILIER PAR ANTICIPATION .
 DE MON CÔTÉ TOUT A ÉTÉ FAIT DANS LES RÈGLES ,UN COURRIER EN RECOMMANDÉ AVEC ACCUSÉ RÉCEPTION À CARDIFF ET LA PREUVE DU REMBOURSEMENT ANTICIPÉ DE NOS EMPRUNTS.
CARDIFF À CONTINUER DE PRÉLEVER L'ASSURANCE MENSUEL PENDANT 6 MOIS APRÈS QUE NOUS AYONS REMBOURSÉ NOS EMPRUNTS.
CARDIFF DEVAIT NOUS REMBOURSER CE QU'ILS ONT TROP PRÉLEVÉ,ET VOILÀ 1 AN MAINTENANT QUE JE BATAILLE AVEC EUX POUR QU'IL ME REMBOURSE .
LES SEULES RÉPONSES QUE J'AI DE LEUR PART, C'EST QU'ILS ÉTUDIENT NOTRE DOSSIER.
 MÊME LA BNP LEUR A ENVOYÉ PLUSIEURS MAILS ,POUR FAIRE BOUGER LES CHOSES ET QU'ILS NOUS REMBOURSE .
MAIS RIEN N'Y FAIT  ,ILS NOUS LAISSE TOUJOURS ATTENDRE....
MAIS JE NE VAIS RIEN LÂCHER .
ON NOUS DOIT ENTRE  200 € ET 300 € .
JE DÉCONSEILLE FORTEMENT CETTE ASSURANCE, QUI A DU MAL À COMMUNIQUER AINSI QU'À RECONNAÎTRE LEURS ERREURS ET BIEN ÉVIDEMMENT A REMBOURSER CE QU'ILS ONT TROP PRIS.
ON NOUS A PAS LAISSÉ LE CHOIX D'UNE ASSURANCE QUAND NOUS AVIONS FAIT NOS EMPRUNTS À LA BNP  ,CARDIF NOUS A ÉTÉ IMPOSÉE ,MAIS PAR CONTRE UNE FOIS  L'EMPRUNT REMBOURSÉ PAR ANTICIPATION ,C'EST À NOUS DE NOUS DÉBROUILLER POUR RÉSILIER L'ASSURANCE .
ALORS ATTENTION MÉFIANCE !!!!
</t>
  </si>
  <si>
    <t>23/08/2020</t>
  </si>
  <si>
    <t>alicia-r-138978</t>
  </si>
  <si>
    <t>Satisfait je pensais que ce serais moins chere. Autour des 10e par mois          
                                                                     .</t>
  </si>
  <si>
    <t>kisif-59594</t>
  </si>
  <si>
    <t>Service client archi nul impossible d obtenir un conseiller par fil, aucune réponse aux mails, il est difficile pour les conseillers de la BNP d'orienter les clients vers les produits cardif</t>
  </si>
  <si>
    <t>12/12/2017</t>
  </si>
  <si>
    <t>emma-0607-57396</t>
  </si>
  <si>
    <t xml:space="preserve">J'ai acheté une voiture mi août, que j'ai assuré chez direct assurance malheureusement pour moi j'ai été victime d'un visce cacher et ma voiture a prit feu sept jours apres l'achat. Le sinistre a bien été déclaré cependant l'assistance à mis 15 jours avant de trouver un garage agréer ce qui a bien sûr retarder le passage de l'expert. Le 5 septembre l'expertise et faite cependant depuis cette date je n'ai aucune information concernant l'avancement de mon dossier, impossible de joindre le service sinistre par téléphone ainsi que l'expert qui ne me rappel pas! Je trouve cette situation inadmissible le suivi vraiment très limite. Ça fait maintenant un mois je n'ai aucune information, aucun retour du rapport d'expertise alors qu'il est censé être disponible 48h apres le passage de l'expert, que fait direct assurance? Et pourquoi je n'arrive pas à contacter le service sinistre ? </t>
  </si>
  <si>
    <t>16/09/2017</t>
  </si>
  <si>
    <t>aucun-129340</t>
  </si>
  <si>
    <t>j,ai contacté mon assurance Pacifica  suite  au tonnerre du jeudi 12 aout qui a grille mon ballon d,eau chaude..J,ai ete très contente de son remboursement et de la personne qui s,est occupee de mon sinistre. Merci CAS.....</t>
  </si>
  <si>
    <t>jamel-89437</t>
  </si>
  <si>
    <t xml:space="preserve">Je me suis fait voler un volant un gps et un autoradio dans ma bmw . Assurer tout risque j'ai fait tout le nécessaire. Expertise bâclée estimation des dégâts 16000€ . Je trouve un autre garage je refait passer l'expert 12500€ véhicule estimé à 13000€ (bien en dessous de sa valeur) bmw pack m de 2015 j'aimerais bien en trouver une à ce prix . Bref ils me disent allez y commencer les réparations nous allons vous indemniser ça fait 2 mois que j'attend le remboursement et 4 mois sans ma voiture. Surprise un détective privée enquête sur moi pour fraude !?? oui oui fraude pour un volant un gps et un autoradio. Ils recherchent tout pour ne pas payer sachant qu'il m'ont écris par mail noir sur blanc que j'allais être remboursé mais ça fait 2 mois ! 
A fuir .
J'ai du prendre un avocat alors que je suis victime d'un simple vole d'accessoires auto ! Va comprendre </t>
  </si>
  <si>
    <t>ben-temam-e-129147</t>
  </si>
  <si>
    <t xml:space="preserve">Je suis satisfait car cela était très rapide et très simple. Tout est clair et précis. Le fait de recevoir une carte verte aussi rapidement ma convaincu de m’assurer chez l’olivier assurance </t>
  </si>
  <si>
    <t>juju92220-64667</t>
  </si>
  <si>
    <t xml:space="preserve">Plus le temps passe et moins de soins sont remboursés.
4 semaines d’attente pour recevoir une réponse suite a un remboursement non perçu, puisqu’il est quasi impossible de les avoir en ligne. Autant de réponses différentes que d’interlocuteurs ! 
A plus de 3000€ le forfait annuel, il est inadmissible de voir des remboursements diminuer au fil du temps, des délais d’attente totalement aberrants, ils ne sont même capable’ dz lire correctement un relevé d’en la CPAM pour rembourser la part complémentaire. Dommage que mon employeur nous impose une telle mutuelle. </t>
  </si>
  <si>
    <t>11/06/2018</t>
  </si>
  <si>
    <t>isa34-59386</t>
  </si>
  <si>
    <t>J ai assuré mon chien chez solly azar et je ne suis pas satisfaite de l assurance car je me suis vu refuser une majoration du taux de remboursement car sur le questionnaire j ai fait état de plus de 2 visites en 3 mois chez mon vétérinaire alors qu il s agissait simplement d une recherche de diagnostic. Le contrat ne stipulait rien à cet égard.</t>
  </si>
  <si>
    <t>04/12/2017</t>
  </si>
  <si>
    <t>oriane-h-123816</t>
  </si>
  <si>
    <t>après comparatif, il y a moins cher ailleurs, dommage que direct assurance n'offre pas davantage fidélités car cela donnerait envie de rester chez eux</t>
  </si>
  <si>
    <t>claudie09-104991</t>
  </si>
  <si>
    <t>Un peu élevé mais j' ai un contrat décès. Mais par contre rien à avancer n importe où. La Mgp est prise en compte partout. Jusqu'à ce jour je n' ai pas été déçue des prestations de la Mgp</t>
  </si>
  <si>
    <t>jean-d-111598</t>
  </si>
  <si>
    <t xml:space="preserve">je suis satisfait du devis et tarif
du contrat et echeancier
prochainement demande devis auto pour mes 2 vehicules
merci beaucoup de votre professionnalisme
</t>
  </si>
  <si>
    <t>25/04/2021</t>
  </si>
  <si>
    <t>bruno-b-130517</t>
  </si>
  <si>
    <t>énorme différence entre le prix mensuel et le prix annuel, et les frais de dossier sont trop importants, surtout pour une assurance en ligne !
De plus, les comparateurs d'assurances annoncent des prix plus bas mais sans pouvoir moduler les options, on se retrouve donc à devoir passer directement par votre site avec des prix plus élevés.</t>
  </si>
  <si>
    <t>dias-s-139242</t>
  </si>
  <si>
    <t>Je suis satisfaite. Clarté et transparence sur le site pour effectuer un devis. Rapide et efficace. Conseiller par téléphone vraiment à l’écoute. Merci</t>
  </si>
  <si>
    <t>pascal-m-131598</t>
  </si>
  <si>
    <t>Je suis satisfait des services. De plus je trouve une trés bonne réactivité et le personnel agréable et compétant.
J' apprécie aussi le fait de pouvoir prendre rendez-vous rapidement en agence</t>
  </si>
  <si>
    <t>fairplay89-51518</t>
  </si>
  <si>
    <t xml:space="preserve"> j'étais surprise de tous ces mauvais messages , eh bien à présent je comprends nous y voila 2éme catégorie depuis quelques temps et là boum expertise médicale et hop on vous paye plus ben voyons ....pas assez d être malade en plus on vous enfonce ...j'attends des nouvelles mais je ne baisserai pas les bras totalement inadmissible ....un courrier vient de partir .....</t>
  </si>
  <si>
    <t>gaelle--112847</t>
  </si>
  <si>
    <t xml:space="preserve">De plus en plus désastreux à tout niveau : remboursements optiques et dentaires, délais de traitement des dossiers (15 jours d'attente minimum pour toucher des allocations journalières quand on est à mi-salaire), accueil téléphonique souvent arrogant etc ... Je vais changer de mutuelle. </t>
  </si>
  <si>
    <t>unjeunemotive-58316</t>
  </si>
  <si>
    <t>De même accident le 13 juin 2017 non responsable. C'était mon seul moyen de locomotion pour aller au travail, aujourd'hui toujours rien à par que l'expert a enfin donne un verdict après plus 4 mois...(bca expertise de ris orangis) à déclaré la moto vei et que c'est à moi de la vendre à un épaviste qu'il à trouvé duquel, je dois lui vendre mon véhicule et me prendre plus de 1000 euros de frais de gardiennage...  en bref je retiens que l'assurance ne joue pas sont rôle, et que je compte ne pas en rester la (bientôt 5mois !!!), je m'informe auprès de la ffmc et d'un avocat pour obtenir réparation de mes préjudices.</t>
  </si>
  <si>
    <t>criss77-58106</t>
  </si>
  <si>
    <t xml:space="preserve">le 10 DEC 2016 on ma volé mon vehicule retrouvé le 23 jan 2017 recuperer mon vehicule reparé fin mai   6 mois  de problemes  avec l'expert qui etait en dessous de tout et la lenteur syteme administratif de GMF . on oeuvrés plus a charge que dans le but de satisfaire le client et de l'epauler dans les demarches  on ce demande pourquoi  je me suis assuré avec un max de garanties et n'ai meme pas eut la moindre attention de leur part  </t>
  </si>
  <si>
    <t>16/10/2017</t>
  </si>
  <si>
    <t>mochk-l-123069</t>
  </si>
  <si>
    <t xml:space="preserve">Simple rapide et pratique pour inscription
Conseiller performant et à l'écoute, je recommande
Prix compétitif comparé à la concurrence sinon mieux avec les options </t>
  </si>
  <si>
    <t>10/07/2021</t>
  </si>
  <si>
    <t>julie-s-107912</t>
  </si>
  <si>
    <t>Je suis satisfaite de la formule de contrat d'assurance auto souscrite à l'instant.
le contrat proposé correspond exactement à mes besoins. très bon rapport qualité prix</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</si>
</sst>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1" t="s">
        <v>7</v>
      </c>
      <c r="I1" s="1" t="s">
        <v>8</v>
      </c>
      <c r="J1" s="1" t="s">
        <v>9</v>
      </c>
      <c r="K1" s="1" t="s">
        <v>10</v>
      </c>
    </row>
    <row r="2">
      <c r="A2" s="2">
        <v>5.0</v>
      </c>
      <c r="B2" s="2" t="s">
        <v>11</v>
      </c>
      <c r="C2" s="2" t="s">
        <v>12</v>
      </c>
      <c r="D2" s="2" t="s">
        <v>13</v>
      </c>
      <c r="E2" s="2" t="s">
        <v>14</v>
      </c>
      <c r="F2" s="2" t="s">
        <v>15</v>
      </c>
      <c r="G2" s="2" t="s">
        <v>16</v>
      </c>
      <c r="H2" s="2" t="s">
        <v>17</v>
      </c>
      <c r="I2" s="2" t="str">
        <f>IFERROR(__xludf.DUMMYFUNCTION("GOOGLETRANSLATE(C2,""fr"",""en"")"),"top prices, ease of registration and clear services offered
I easily recommend this insurance, hoping never to be disappointed afterwards")</f>
        <v>top prices, ease of registration and clear services offered
I easily recommend this insurance, hoping never to be disappointed afterwards</v>
      </c>
    </row>
    <row r="3">
      <c r="A3" s="2">
        <v>2.0</v>
      </c>
      <c r="B3" s="2" t="s">
        <v>18</v>
      </c>
      <c r="C3" s="2" t="s">
        <v>19</v>
      </c>
      <c r="D3" s="2" t="s">
        <v>20</v>
      </c>
      <c r="E3" s="2" t="s">
        <v>21</v>
      </c>
      <c r="F3" s="2" t="s">
        <v>15</v>
      </c>
      <c r="G3" s="2" t="s">
        <v>22</v>
      </c>
      <c r="H3" s="2" t="s">
        <v>23</v>
      </c>
      <c r="I3" s="2" t="str">
        <f>IFERROR(__xludf.DUMMYFUNCTION("GOOGLETRANSLATE(C3,""fr"",""en"")"),"I cannot afford to wait 3 to 4 weeks for reimbursement; As for the broker it only serves as a transmission belt, no other utility")</f>
        <v>I cannot afford to wait 3 to 4 weeks for reimbursement; As for the broker it only serves as a transmission belt, no other utility</v>
      </c>
    </row>
    <row r="4">
      <c r="A4" s="2">
        <v>1.0</v>
      </c>
      <c r="B4" s="2" t="s">
        <v>24</v>
      </c>
      <c r="C4" s="2" t="s">
        <v>25</v>
      </c>
      <c r="D4" s="2" t="s">
        <v>26</v>
      </c>
      <c r="E4" s="2" t="s">
        <v>14</v>
      </c>
      <c r="F4" s="2" t="s">
        <v>15</v>
      </c>
      <c r="G4" s="2" t="s">
        <v>27</v>
      </c>
      <c r="H4" s="2" t="s">
        <v>28</v>
      </c>
      <c r="I4" s="2" t="str">
        <f>IFERROR(__xludf.DUMMYFUNCTION("GOOGLETRANSLATE(C4,""fr"",""en"")"),"I wanted to ensure a Tesla Model 3 LR ...
The price of insurance any risk offered by the Macif was exorbitant:
115 euros per month ... (almost 2x more expensive than others)
Obviously, the Macif is not yet aware of the evolution of electric vehicles (v"&amp;"ery secure, reliable, inviolable, maintenance -free, little discount, etc.) and is based only on tax power.
In addition, the man I had on the phone on September 7, 21, was not particularly kind, and had nothing to do that I leave the Macif.
OK it's note"&amp;"d...
")</f>
        <v>I wanted to ensure a Tesla Model 3 LR ...
The price of insurance any risk offered by the Macif was exorbitant:
115 euros per month ... (almost 2x more expensive than others)
Obviously, the Macif is not yet aware of the evolution of electric vehicles (very secure, reliable, inviolable, maintenance -free, little discount, etc.) and is based only on tax power.
In addition, the man I had on the phone on September 7, 21, was not particularly kind, and had nothing to do that I leave the Macif.
OK it's noted...
</v>
      </c>
    </row>
    <row r="5">
      <c r="A5" s="2">
        <v>1.0</v>
      </c>
      <c r="B5" s="2" t="s">
        <v>29</v>
      </c>
      <c r="C5" s="2" t="s">
        <v>30</v>
      </c>
      <c r="D5" s="2" t="s">
        <v>31</v>
      </c>
      <c r="E5" s="2" t="s">
        <v>32</v>
      </c>
      <c r="F5" s="2" t="s">
        <v>15</v>
      </c>
      <c r="G5" s="2" t="s">
        <v>33</v>
      </c>
      <c r="H5" s="2" t="s">
        <v>34</v>
      </c>
      <c r="I5" s="2" t="str">
        <f>IFERROR(__xludf.DUMMYFUNCTION("GOOGLETRANSLATE(C5,""fr"",""en"")"),"I am on work stoppage since Nov 2017, assured Cardifff in the event of illness, disability ectt. No care, and you walk.")</f>
        <v>I am on work stoppage since Nov 2017, assured Cardifff in the event of illness, disability ectt. No care, and you walk.</v>
      </c>
    </row>
    <row r="6">
      <c r="A6" s="2">
        <v>1.0</v>
      </c>
      <c r="B6" s="2" t="s">
        <v>35</v>
      </c>
      <c r="C6" s="2" t="s">
        <v>36</v>
      </c>
      <c r="D6" s="2" t="s">
        <v>37</v>
      </c>
      <c r="E6" s="2" t="s">
        <v>21</v>
      </c>
      <c r="F6" s="2" t="s">
        <v>15</v>
      </c>
      <c r="G6" s="2" t="s">
        <v>38</v>
      </c>
      <c r="H6" s="2" t="s">
        <v>39</v>
      </c>
      <c r="I6" s="2" t="str">
        <f>IFERROR(__xludf.DUMMYFUNCTION("GOOGLETRANSLATE(C6,""fr"",""en"")"),"Inadmissible ... I set them too perceived following an error of my dentist on care dates, a month ago and many phone calls that I expect a simple receipt in order to be reimbursed by the mutual concerned and I n Have nothing, a receipt is one of! It's sim"&amp;"ple and quick they put me in difficulty because it is a strong sum, it's shameful !!
")</f>
        <v>Inadmissible ... I set them too perceived following an error of my dentist on care dates, a month ago and many phone calls that I expect a simple receipt in order to be reimbursed by the mutual concerned and I n Have nothing, a receipt is one of! It's simple and quick they put me in difficulty because it is a strong sum, it's shameful !!
</v>
      </c>
    </row>
    <row r="7">
      <c r="A7" s="2">
        <v>4.0</v>
      </c>
      <c r="B7" s="2" t="s">
        <v>40</v>
      </c>
      <c r="C7" s="2" t="s">
        <v>41</v>
      </c>
      <c r="D7" s="2" t="s">
        <v>42</v>
      </c>
      <c r="E7" s="2" t="s">
        <v>43</v>
      </c>
      <c r="F7" s="2" t="s">
        <v>15</v>
      </c>
      <c r="G7" s="2" t="s">
        <v>44</v>
      </c>
      <c r="H7" s="2" t="s">
        <v>28</v>
      </c>
      <c r="I7" s="2" t="str">
        <f>IFERROR(__xludf.DUMMYFUNCTION("GOOGLETRANSLATE(C7,""fr"",""en"")"),"Customer for a few years with departures and return Suite sale of the vehicle, I am satisfied with the service and the prices are attractive, only the franchise is a bit high.")</f>
        <v>Customer for a few years with departures and return Suite sale of the vehicle, I am satisfied with the service and the prices are attractive, only the franchise is a bit high.</v>
      </c>
    </row>
    <row r="8">
      <c r="A8" s="2">
        <v>4.0</v>
      </c>
      <c r="B8" s="2" t="s">
        <v>45</v>
      </c>
      <c r="C8" s="2" t="s">
        <v>46</v>
      </c>
      <c r="D8" s="2" t="s">
        <v>47</v>
      </c>
      <c r="E8" s="2" t="s">
        <v>14</v>
      </c>
      <c r="F8" s="2" t="s">
        <v>15</v>
      </c>
      <c r="G8" s="2" t="s">
        <v>48</v>
      </c>
      <c r="H8" s="2" t="s">
        <v>49</v>
      </c>
      <c r="I8" s="2" t="str">
        <f>IFERROR(__xludf.DUMMYFUNCTION("GOOGLETRANSLATE(C8,""fr"",""en"")"),"Satisfied at the moment of the customer relational and the information that I have received by contacting customer service.
The explanations were clear and the person took the time.")</f>
        <v>Satisfied at the moment of the customer relational and the information that I have received by contacting customer service.
The explanations were clear and the person took the time.</v>
      </c>
    </row>
    <row r="9">
      <c r="A9" s="2">
        <v>5.0</v>
      </c>
      <c r="B9" s="2" t="s">
        <v>50</v>
      </c>
      <c r="C9" s="2" t="s">
        <v>51</v>
      </c>
      <c r="D9" s="2" t="s">
        <v>47</v>
      </c>
      <c r="E9" s="2" t="s">
        <v>14</v>
      </c>
      <c r="F9" s="2" t="s">
        <v>15</v>
      </c>
      <c r="G9" s="2" t="s">
        <v>52</v>
      </c>
      <c r="H9" s="2" t="s">
        <v>28</v>
      </c>
      <c r="I9" s="2" t="str">
        <f>IFERROR(__xludf.DUMMYFUNCTION("GOOGLETRANSLATE(C9,""fr"",""en"")"),"Satisfied for the moment.
To see in time.
Thank you for the kindness on the phone.
Very well reactivity, left for one year with the olive assurance")</f>
        <v>Satisfied for the moment.
To see in time.
Thank you for the kindness on the phone.
Very well reactivity, left for one year with the olive assurance</v>
      </c>
    </row>
    <row r="10">
      <c r="A10" s="2">
        <v>5.0</v>
      </c>
      <c r="B10" s="2" t="s">
        <v>53</v>
      </c>
      <c r="C10" s="2" t="s">
        <v>54</v>
      </c>
      <c r="D10" s="2" t="s">
        <v>47</v>
      </c>
      <c r="E10" s="2" t="s">
        <v>14</v>
      </c>
      <c r="F10" s="2" t="s">
        <v>15</v>
      </c>
      <c r="G10" s="2" t="s">
        <v>55</v>
      </c>
      <c r="H10" s="2" t="s">
        <v>56</v>
      </c>
      <c r="I10" s="2" t="str">
        <f>IFERROR(__xludf.DUMMYFUNCTION("GOOGLETRANSLATE(C10,""fr"",""en"")"),"I am very satisfied
Prices suit me
simple and fast
Fast, friendly and effective advisers
I highly recommend the olive assurance!")</f>
        <v>I am very satisfied
Prices suit me
simple and fast
Fast, friendly and effective advisers
I highly recommend the olive assurance!</v>
      </c>
    </row>
    <row r="11">
      <c r="A11" s="2">
        <v>5.0</v>
      </c>
      <c r="B11" s="2" t="s">
        <v>57</v>
      </c>
      <c r="C11" s="2" t="s">
        <v>58</v>
      </c>
      <c r="D11" s="2" t="s">
        <v>47</v>
      </c>
      <c r="E11" s="2" t="s">
        <v>14</v>
      </c>
      <c r="F11" s="2" t="s">
        <v>15</v>
      </c>
      <c r="G11" s="2" t="s">
        <v>59</v>
      </c>
      <c r="H11" s="2" t="s">
        <v>60</v>
      </c>
      <c r="I11" s="2" t="str">
        <f>IFERROR(__xludf.DUMMYFUNCTION("GOOGLETRANSLATE(C11,""fr"",""en"")"),"I am very satisfied with the impeccable price, reception of the advisor by phone, and the speed of execution of what I wanted. It's up to me to ride well.
Thanks :)")</f>
        <v>I am very satisfied with the impeccable price, reception of the advisor by phone, and the speed of execution of what I wanted. It's up to me to ride well.
Thanks :)</v>
      </c>
    </row>
    <row r="12">
      <c r="A12" s="2">
        <v>1.0</v>
      </c>
      <c r="B12" s="2" t="s">
        <v>61</v>
      </c>
      <c r="C12" s="2" t="s">
        <v>62</v>
      </c>
      <c r="D12" s="2" t="s">
        <v>63</v>
      </c>
      <c r="E12" s="2" t="s">
        <v>14</v>
      </c>
      <c r="F12" s="2" t="s">
        <v>15</v>
      </c>
      <c r="G12" s="2" t="s">
        <v>64</v>
      </c>
      <c r="H12" s="2" t="s">
        <v>65</v>
      </c>
      <c r="I12" s="2" t="str">
        <f>IFERROR(__xludf.DUMMYFUNCTION("GOOGLETRANSLATE(C12,""fr"",""en"")"),"Militant insurer ... especially for dividends or how to get butter on the back of a usurped reputation.
Insured at MAIF for many years, I had the unpleasant surprise to see my car and home home contracts overnight. Information taken from the MAIF (after "&amp;"x emails sent +3 days of telephone attempts and many hours of expectations on the servers): you have not paid your contributions!
Indeed, I had warned the MAIF via delegation and email advisor to a change of situation upon receipt of the schedule (a vehi"&amp;"cle sold and not replaced) and allowed myself to adjust the amount of my subscription before Proceed with the bank transfer (-97.80 € on a sum of € 1960.00).
6 months later!!! The recommendation for formal notice arrived at my house during the holidays!
"&amp;"
It is true that following a difficult divorce, I had 4-5 years ago a few delay in my payment ago, but is it a reason to transfer a ""member"", which only declared a loss in 15 years old?
In order not to blacken the table more, I will not talk about ""li"&amp;"mit"" exchanges with certain advisers.
The maif in her mutual spirit in the service and benefit of her members is beautiful and well dead, only a ""militant zombie"" remains that has slipped into his skin to better destroy you!
Flee!")</f>
        <v>Militant insurer ... especially for dividends or how to get butter on the back of a usurped reputation.
Insured at MAIF for many years, I had the unpleasant surprise to see my car and home home contracts overnight. Information taken from the MAIF (after x emails sent +3 days of telephone attempts and many hours of expectations on the servers): you have not paid your contributions!
Indeed, I had warned the MAIF via delegation and email advisor to a change of situation upon receipt of the schedule (a vehicle sold and not replaced) and allowed myself to adjust the amount of my subscription before Proceed with the bank transfer (-97.80 € on a sum of € 1960.00).
6 months later!!! The recommendation for formal notice arrived at my house during the holidays!
It is true that following a difficult divorce, I had 4-5 years ago a few delay in my payment ago, but is it a reason to transfer a "member", which only declared a loss in 15 years old?
In order not to blacken the table more, I will not talk about "limit" exchanges with certain advisers.
The maif in her mutual spirit in the service and benefit of her members is beautiful and well dead, only a "militant zombie" remains that has slipped into his skin to better destroy you!
Flee!</v>
      </c>
    </row>
    <row r="13">
      <c r="A13" s="2">
        <v>4.0</v>
      </c>
      <c r="B13" s="2" t="s">
        <v>66</v>
      </c>
      <c r="C13" s="2" t="s">
        <v>67</v>
      </c>
      <c r="D13" s="2" t="s">
        <v>42</v>
      </c>
      <c r="E13" s="2" t="s">
        <v>43</v>
      </c>
      <c r="F13" s="2" t="s">
        <v>15</v>
      </c>
      <c r="G13" s="2" t="s">
        <v>68</v>
      </c>
      <c r="H13" s="2" t="s">
        <v>69</v>
      </c>
      <c r="I13" s="2" t="str">
        <f>IFERROR(__xludf.DUMMYFUNCTION("GOOGLETRANSLATE(C13,""fr"",""en"")"),"I just subscribed to this insurance, I am not yet a mature opinion. We will see in the future Ci it meets my expectations.")</f>
        <v>I just subscribed to this insurance, I am not yet a mature opinion. We will see in the future Ci it meets my expectations.</v>
      </c>
    </row>
    <row r="14">
      <c r="A14" s="2">
        <v>1.0</v>
      </c>
      <c r="B14" s="2" t="s">
        <v>70</v>
      </c>
      <c r="C14" s="2" t="s">
        <v>71</v>
      </c>
      <c r="D14" s="2" t="s">
        <v>72</v>
      </c>
      <c r="E14" s="2" t="s">
        <v>21</v>
      </c>
      <c r="F14" s="2" t="s">
        <v>15</v>
      </c>
      <c r="G14" s="2" t="s">
        <v>73</v>
      </c>
      <c r="H14" s="2" t="s">
        <v>74</v>
      </c>
      <c r="I14" s="2" t="str">
        <f>IFERROR(__xludf.DUMMYFUNCTION("GOOGLETRANSLATE(C14,""fr"",""en"")"),"To flee as soon as you have the possibility, not to choose if you are looking for a health mutual,
Even the star I put it is not deserved. (No choice to give a 0)
When you want to terminate they are ready to do anything to scratch a few more months, the"&amp;"y come out of the laws specific to them !!
 ")</f>
        <v>To flee as soon as you have the possibility, not to choose if you are looking for a health mutual,
Even the star I put it is not deserved. (No choice to give a 0)
When you want to terminate they are ready to do anything to scratch a few more months, they come out of the laws specific to them !!
 </v>
      </c>
    </row>
    <row r="15">
      <c r="A15" s="2">
        <v>3.0</v>
      </c>
      <c r="B15" s="2" t="s">
        <v>75</v>
      </c>
      <c r="C15" s="2" t="s">
        <v>76</v>
      </c>
      <c r="D15" s="2" t="s">
        <v>26</v>
      </c>
      <c r="E15" s="2" t="s">
        <v>77</v>
      </c>
      <c r="F15" s="2" t="s">
        <v>15</v>
      </c>
      <c r="G15" s="2" t="s">
        <v>78</v>
      </c>
      <c r="H15" s="2" t="s">
        <v>79</v>
      </c>
      <c r="I15" s="2" t="str">
        <f>IFERROR(__xludf.DUMMYFUNCTION("GOOGLETRANSLATE(C15,""fr"",""en"")"),"It's a shame. Not an ounce of heart. My illiterate parents had to pay the broken pots because the Macif does not want to do anything")</f>
        <v>It's a shame. Not an ounce of heart. My illiterate parents had to pay the broken pots because the Macif does not want to do anything</v>
      </c>
    </row>
    <row r="16">
      <c r="A16" s="2">
        <v>3.0</v>
      </c>
      <c r="B16" s="2" t="s">
        <v>80</v>
      </c>
      <c r="C16" s="2" t="s">
        <v>81</v>
      </c>
      <c r="D16" s="2" t="s">
        <v>13</v>
      </c>
      <c r="E16" s="2" t="s">
        <v>14</v>
      </c>
      <c r="F16" s="2" t="s">
        <v>15</v>
      </c>
      <c r="G16" s="2" t="s">
        <v>82</v>
      </c>
      <c r="H16" s="2" t="s">
        <v>83</v>
      </c>
      <c r="I16" s="2" t="str">
        <f>IFERROR(__xludf.DUMMYFUNCTION("GOOGLETRANSLATE(C16,""fr"",""en"")"),"Having a non -responsible self -listed loss insured maximum insurance payable my vehicle quickly in charge in a garage agreed two days after passing the expert 3,900 euros in repair The garage was fast enough for repairs they did the right one work vehicl"&amp;"e as new in addition and clean I thank the whole Direct Insurance team for the speed and efficiency of their approved garage")</f>
        <v>Having a non -responsible self -listed loss insured maximum insurance payable my vehicle quickly in charge in a garage agreed two days after passing the expert 3,900 euros in repair The garage was fast enough for repairs they did the right one work vehicle as new in addition and clean I thank the whole Direct Insurance team for the speed and efficiency of their approved garage</v>
      </c>
    </row>
    <row r="17">
      <c r="A17" s="2">
        <v>3.0</v>
      </c>
      <c r="B17" s="2" t="s">
        <v>84</v>
      </c>
      <c r="C17" s="2" t="s">
        <v>85</v>
      </c>
      <c r="D17" s="2" t="s">
        <v>13</v>
      </c>
      <c r="E17" s="2" t="s">
        <v>14</v>
      </c>
      <c r="F17" s="2" t="s">
        <v>15</v>
      </c>
      <c r="G17" s="2" t="s">
        <v>86</v>
      </c>
      <c r="H17" s="2" t="s">
        <v>87</v>
      </c>
      <c r="I17" s="2" t="str">
        <f>IFERROR(__xludf.DUMMYFUNCTION("GOOGLETRANSLATE(C17,""fr"",""en"")"),"I am satisfied with the service but the prices are too high in comparison with the competition, except an interesting commercial offer, I must take out a new contract with the competition")</f>
        <v>I am satisfied with the service but the prices are too high in comparison with the competition, except an interesting commercial offer, I must take out a new contract with the competition</v>
      </c>
    </row>
    <row r="18">
      <c r="A18" s="2">
        <v>4.0</v>
      </c>
      <c r="B18" s="2" t="s">
        <v>88</v>
      </c>
      <c r="C18" s="2" t="s">
        <v>89</v>
      </c>
      <c r="D18" s="2" t="s">
        <v>47</v>
      </c>
      <c r="E18" s="2" t="s">
        <v>14</v>
      </c>
      <c r="F18" s="2" t="s">
        <v>15</v>
      </c>
      <c r="G18" s="2" t="s">
        <v>90</v>
      </c>
      <c r="H18" s="2" t="s">
        <v>91</v>
      </c>
      <c r="I18" s="2" t="str">
        <f>IFERROR(__xludf.DUMMYFUNCTION("GOOGLETRANSLATE(C18,""fr"",""en"")"),"I am satisfied with the service received. 1 week between having taken out a single third party insurance and the reception of the green card. I am very happy because my vehicle has not been insured for over 3 years")</f>
        <v>I am satisfied with the service received. 1 week between having taken out a single third party insurance and the reception of the green card. I am very happy because my vehicle has not been insured for over 3 years</v>
      </c>
    </row>
    <row r="19">
      <c r="A19" s="2">
        <v>4.0</v>
      </c>
      <c r="B19" s="2" t="s">
        <v>92</v>
      </c>
      <c r="C19" s="2" t="s">
        <v>93</v>
      </c>
      <c r="D19" s="2" t="s">
        <v>47</v>
      </c>
      <c r="E19" s="2" t="s">
        <v>14</v>
      </c>
      <c r="F19" s="2" t="s">
        <v>15</v>
      </c>
      <c r="G19" s="2" t="s">
        <v>94</v>
      </c>
      <c r="H19" s="2" t="s">
        <v>17</v>
      </c>
      <c r="I19" s="2" t="str">
        <f>IFERROR(__xludf.DUMMYFUNCTION("GOOGLETRANSLATE(C19,""fr"",""en"")"),"Very good thank you. This is the second vehicle I assure with the olive tree. Fast and efficient when we want to ensure a vehicle quickly !!")</f>
        <v>Very good thank you. This is the second vehicle I assure with the olive tree. Fast and efficient when we want to ensure a vehicle quickly !!</v>
      </c>
    </row>
    <row r="20">
      <c r="A20" s="2">
        <v>4.0</v>
      </c>
      <c r="B20" s="2" t="s">
        <v>95</v>
      </c>
      <c r="C20" s="2" t="s">
        <v>96</v>
      </c>
      <c r="D20" s="2" t="s">
        <v>97</v>
      </c>
      <c r="E20" s="2" t="s">
        <v>43</v>
      </c>
      <c r="F20" s="2" t="s">
        <v>15</v>
      </c>
      <c r="G20" s="2" t="s">
        <v>98</v>
      </c>
      <c r="H20" s="2" t="s">
        <v>99</v>
      </c>
      <c r="I20" s="2" t="str">
        <f>IFERROR(__xludf.DUMMYFUNCTION("GOOGLETRANSLATE(C20,""fr"",""en"")"),"I am satisfied with very practical I have nothing to blame on this online insurance subscription solution. I hope this will continue in the future")</f>
        <v>I am satisfied with very practical I have nothing to blame on this online insurance subscription solution. I hope this will continue in the future</v>
      </c>
    </row>
    <row r="21" ht="15.75" customHeight="1">
      <c r="A21" s="2">
        <v>5.0</v>
      </c>
      <c r="B21" s="2" t="s">
        <v>100</v>
      </c>
      <c r="C21" s="2" t="s">
        <v>101</v>
      </c>
      <c r="D21" s="2" t="s">
        <v>13</v>
      </c>
      <c r="E21" s="2" t="s">
        <v>14</v>
      </c>
      <c r="F21" s="2" t="s">
        <v>15</v>
      </c>
      <c r="G21" s="2" t="s">
        <v>102</v>
      </c>
      <c r="H21" s="2" t="s">
        <v>28</v>
      </c>
      <c r="I21" s="2" t="str">
        <f>IFERROR(__xludf.DUMMYFUNCTION("GOOGLETRANSLATE(C21,""fr"",""en"")"),"I am satisfied insurance inexpensive and complete I highly recommend it having done all around and having seen exorbitant prices my choice is cheerfully at Direct Insurance.")</f>
        <v>I am satisfied insurance inexpensive and complete I highly recommend it having done all around and having seen exorbitant prices my choice is cheerfully at Direct Insurance.</v>
      </c>
    </row>
    <row r="22" ht="15.75" customHeight="1">
      <c r="A22" s="2">
        <v>5.0</v>
      </c>
      <c r="B22" s="2" t="s">
        <v>103</v>
      </c>
      <c r="C22" s="2" t="s">
        <v>104</v>
      </c>
      <c r="D22" s="2" t="s">
        <v>13</v>
      </c>
      <c r="E22" s="2" t="s">
        <v>14</v>
      </c>
      <c r="F22" s="2" t="s">
        <v>15</v>
      </c>
      <c r="G22" s="2" t="s">
        <v>105</v>
      </c>
      <c r="H22" s="2" t="s">
        <v>49</v>
      </c>
      <c r="I22" s="2" t="str">
        <f>IFERROR(__xludf.DUMMYFUNCTION("GOOGLETRANSLATE(C22,""fr"",""en"")"),"Thanks to Direct Assurances for his professionalism. For the level of listening of his teams, their seriousness. I recommend this insurer without reservation, also for its price performance!")</f>
        <v>Thanks to Direct Assurances for his professionalism. For the level of listening of his teams, their seriousness. I recommend this insurer without reservation, also for its price performance!</v>
      </c>
    </row>
    <row r="23" ht="15.75" customHeight="1">
      <c r="A23" s="2">
        <v>1.0</v>
      </c>
      <c r="B23" s="2" t="s">
        <v>106</v>
      </c>
      <c r="C23" s="2" t="s">
        <v>107</v>
      </c>
      <c r="D23" s="2" t="s">
        <v>13</v>
      </c>
      <c r="E23" s="2" t="s">
        <v>14</v>
      </c>
      <c r="F23" s="2" t="s">
        <v>15</v>
      </c>
      <c r="G23" s="2" t="s">
        <v>108</v>
      </c>
      <c r="H23" s="2" t="s">
        <v>87</v>
      </c>
      <c r="I23" s="2" t="str">
        <f>IFERROR(__xludf.DUMMYFUNCTION("GOOGLETRANSLATE(C23,""fr"",""en"")"),"Price offer via quote acceptable for the 1st year, but in the following years the contributions are burying from year to year. So wait for terminations ....")</f>
        <v>Price offer via quote acceptable for the 1st year, but in the following years the contributions are burying from year to year. So wait for terminations ....</v>
      </c>
    </row>
    <row r="24" ht="15.75" customHeight="1">
      <c r="A24" s="2">
        <v>2.0</v>
      </c>
      <c r="B24" s="2" t="s">
        <v>109</v>
      </c>
      <c r="C24" s="2" t="s">
        <v>110</v>
      </c>
      <c r="D24" s="2" t="s">
        <v>47</v>
      </c>
      <c r="E24" s="2" t="s">
        <v>14</v>
      </c>
      <c r="F24" s="2" t="s">
        <v>15</v>
      </c>
      <c r="G24" s="2" t="s">
        <v>111</v>
      </c>
      <c r="H24" s="2" t="s">
        <v>99</v>
      </c>
      <c r="I24" s="2" t="str">
        <f>IFERROR(__xludf.DUMMYFUNCTION("GOOGLETRANSLATE(C24,""fr"",""en"")"),"I hoped to pay cheaper to assure them dear you I find that your 2020 price its many pull up especially for drivers like me
")</f>
        <v>I hoped to pay cheaper to assure them dear you I find that your 2020 price its many pull up especially for drivers like me
</v>
      </c>
    </row>
    <row r="25" ht="15.75" customHeight="1">
      <c r="A25" s="2">
        <v>5.0</v>
      </c>
      <c r="B25" s="2" t="s">
        <v>112</v>
      </c>
      <c r="C25" s="2" t="s">
        <v>113</v>
      </c>
      <c r="D25" s="2" t="s">
        <v>13</v>
      </c>
      <c r="E25" s="2" t="s">
        <v>14</v>
      </c>
      <c r="F25" s="2" t="s">
        <v>15</v>
      </c>
      <c r="G25" s="2" t="s">
        <v>114</v>
      </c>
      <c r="H25" s="2" t="s">
        <v>17</v>
      </c>
      <c r="I25" s="2" t="str">
        <f>IFERROR(__xludf.DUMMYFUNCTION("GOOGLETRANSLATE(C25,""fr"",""en"")"),"Very well I highly recommend very accessible and good service always operational
The options are very reliable and the price very tightened")</f>
        <v>Very well I highly recommend very accessible and good service always operational
The options are very reliable and the price very tightened</v>
      </c>
    </row>
    <row r="26" ht="15.75" customHeight="1">
      <c r="A26" s="2">
        <v>3.0</v>
      </c>
      <c r="B26" s="2" t="s">
        <v>115</v>
      </c>
      <c r="C26" s="2" t="s">
        <v>116</v>
      </c>
      <c r="D26" s="2" t="s">
        <v>47</v>
      </c>
      <c r="E26" s="2" t="s">
        <v>14</v>
      </c>
      <c r="F26" s="2" t="s">
        <v>15</v>
      </c>
      <c r="G26" s="2" t="s">
        <v>117</v>
      </c>
      <c r="H26" s="2" t="s">
        <v>28</v>
      </c>
      <c r="I26" s="2" t="str">
        <f>IFERROR(__xludf.DUMMYFUNCTION("GOOGLETRANSLATE(C26,""fr"",""en"")"),"Insurance recovery by simple and effective Internet with the help of an advisor.
See after a claim if the insurance is up to my expectations.")</f>
        <v>Insurance recovery by simple and effective Internet with the help of an advisor.
See after a claim if the insurance is up to my expectations.</v>
      </c>
    </row>
    <row r="27" ht="15.75" customHeight="1">
      <c r="A27" s="2">
        <v>2.0</v>
      </c>
      <c r="B27" s="2" t="s">
        <v>118</v>
      </c>
      <c r="C27" s="2" t="s">
        <v>119</v>
      </c>
      <c r="D27" s="2" t="s">
        <v>63</v>
      </c>
      <c r="E27" s="2" t="s">
        <v>14</v>
      </c>
      <c r="F27" s="2" t="s">
        <v>15</v>
      </c>
      <c r="G27" s="2" t="s">
        <v>120</v>
      </c>
      <c r="H27" s="2" t="s">
        <v>121</v>
      </c>
      <c r="I27" s="2" t="str">
        <f>IFERROR(__xludf.DUMMYFUNCTION("GOOGLETRANSLATE(C27,""fr"",""en"")"),"I am assured for the leprêt of a vehicle in the event of a breakdown. This Friday, broken down (2 hours of repair but immobilization of the vehicle 5 days for lack of part + WE of May 8). La Maif refuses the loan: a 3 -hour repair is needed !!! Non sense."&amp;" It is not immobilization and not the repair that is important. A way to damage the insured. Where is the militant insurer. MAIF has become like all insurances a way to earn as much money as possible. It is no longer a mutual.")</f>
        <v>I am assured for the leprêt of a vehicle in the event of a breakdown. This Friday, broken down (2 hours of repair but immobilization of the vehicle 5 days for lack of part + WE of May 8). La Maif refuses the loan: a 3 -hour repair is needed !!! Non sense. It is not immobilization and not the repair that is important. A way to damage the insured. Where is the militant insurer. MAIF has become like all insurances a way to earn as much money as possible. It is no longer a mutual.</v>
      </c>
    </row>
    <row r="28" ht="15.75" customHeight="1">
      <c r="A28" s="2">
        <v>2.0</v>
      </c>
      <c r="B28" s="2" t="s">
        <v>122</v>
      </c>
      <c r="C28" s="2" t="s">
        <v>123</v>
      </c>
      <c r="D28" s="2" t="s">
        <v>13</v>
      </c>
      <c r="E28" s="2" t="s">
        <v>14</v>
      </c>
      <c r="F28" s="2" t="s">
        <v>15</v>
      </c>
      <c r="G28" s="2" t="s">
        <v>124</v>
      </c>
      <c r="H28" s="2" t="s">
        <v>125</v>
      </c>
      <c r="I28" s="2" t="str">
        <f>IFERROR(__xludf.DUMMYFUNCTION("GOOGLETRANSLATE(C28,""fr"",""en"")"),"I am satisfied with Direct Insurance He offers unbeatable rate. I want to insure my first car is the top. Really go your eyes closed.")</f>
        <v>I am satisfied with Direct Insurance He offers unbeatable rate. I want to insure my first car is the top. Really go your eyes closed.</v>
      </c>
    </row>
    <row r="29" ht="15.75" customHeight="1">
      <c r="A29" s="2">
        <v>5.0</v>
      </c>
      <c r="B29" s="2" t="s">
        <v>126</v>
      </c>
      <c r="C29" s="2" t="s">
        <v>127</v>
      </c>
      <c r="D29" s="2" t="s">
        <v>42</v>
      </c>
      <c r="E29" s="2" t="s">
        <v>43</v>
      </c>
      <c r="F29" s="2" t="s">
        <v>15</v>
      </c>
      <c r="G29" s="2" t="s">
        <v>117</v>
      </c>
      <c r="H29" s="2" t="s">
        <v>28</v>
      </c>
      <c r="I29" s="2" t="str">
        <f>IFERROR(__xludf.DUMMYFUNCTION("GOOGLETRANSLATE(C29,""fr"",""en"")"),"Rather good prices and opinions overall brought me to you. The simplicity of subscription is also a good point especially for the oldest. .")</f>
        <v>Rather good prices and opinions overall brought me to you. The simplicity of subscription is also a good point especially for the oldest. .</v>
      </c>
    </row>
    <row r="30" ht="15.75" customHeight="1">
      <c r="A30" s="2">
        <v>5.0</v>
      </c>
      <c r="B30" s="2" t="s">
        <v>128</v>
      </c>
      <c r="C30" s="2" t="s">
        <v>129</v>
      </c>
      <c r="D30" s="2" t="s">
        <v>13</v>
      </c>
      <c r="E30" s="2" t="s">
        <v>14</v>
      </c>
      <c r="F30" s="2" t="s">
        <v>15</v>
      </c>
      <c r="G30" s="2" t="s">
        <v>130</v>
      </c>
      <c r="H30" s="2" t="s">
        <v>60</v>
      </c>
      <c r="I30" s="2" t="str">
        <f>IFERROR(__xludf.DUMMYFUNCTION("GOOGLETRANSLATE(C30,""fr"",""en"")"),"I am satisfied with service and pricing. I have 3 insurance contracts within this insurance company and for the moment I have only had positive experiences.")</f>
        <v>I am satisfied with service and pricing. I have 3 insurance contracts within this insurance company and for the moment I have only had positive experiences.</v>
      </c>
    </row>
    <row r="31" ht="15.75" customHeight="1">
      <c r="A31" s="2">
        <v>1.0</v>
      </c>
      <c r="B31" s="2" t="s">
        <v>131</v>
      </c>
      <c r="C31" s="2" t="s">
        <v>132</v>
      </c>
      <c r="D31" s="2" t="s">
        <v>133</v>
      </c>
      <c r="E31" s="2" t="s">
        <v>77</v>
      </c>
      <c r="F31" s="2" t="s">
        <v>15</v>
      </c>
      <c r="G31" s="2" t="s">
        <v>134</v>
      </c>
      <c r="H31" s="2" t="s">
        <v>17</v>
      </c>
      <c r="I31" s="2" t="str">
        <f>IFERROR(__xludf.DUMMYFUNCTION("GOOGLETRANSLATE(C31,""fr"",""en"")"),"I had a claim in March 2021 or I am a victim I had to advance the sum of 400 euros for the repair invoice which amounted to 4,300 euros combining reimbursed me 3,900 euros and to this day I am still in Waiting for the regulation on the phone n and says th"&amp;"at the other insurance is the franchise was still incredible that it is me who settles the deductible of the other. On the phone I am told that we have to wait for the use of Crédit Mutuel which is the other insurance.
After information with Crédit Mutue"&amp;"l I was told to have settled this franchise and close the file.
It has been almost 6 months since this claim took place and still not compensated !!
I think that Allianz this mock of me
I do not recommend this insurance")</f>
        <v>I had a claim in March 2021 or I am a victim I had to advance the sum of 400 euros for the repair invoice which amounted to 4,300 euros combining reimbursed me 3,900 euros and to this day I am still in Waiting for the regulation on the phone n and says that the other insurance is the franchise was still incredible that it is me who settles the deductible of the other. On the phone I am told that we have to wait for the use of Crédit Mutuel which is the other insurance.
After information with Crédit Mutuel I was told to have settled this franchise and close the file.
It has been almost 6 months since this claim took place and still not compensated !!
I think that Allianz this mock of me
I do not recommend this insurance</v>
      </c>
    </row>
    <row r="32" ht="15.75" customHeight="1">
      <c r="A32" s="2">
        <v>1.0</v>
      </c>
      <c r="B32" s="2" t="s">
        <v>135</v>
      </c>
      <c r="C32" s="2" t="s">
        <v>136</v>
      </c>
      <c r="D32" s="2" t="s">
        <v>137</v>
      </c>
      <c r="E32" s="2" t="s">
        <v>138</v>
      </c>
      <c r="F32" s="2" t="s">
        <v>15</v>
      </c>
      <c r="G32" s="2" t="s">
        <v>139</v>
      </c>
      <c r="H32" s="2" t="s">
        <v>140</v>
      </c>
      <c r="I32" s="2" t="str">
        <f>IFERROR(__xludf.DUMMYFUNCTION("GOOGLETRANSLATE(C32,""fr"",""en"")"),"Mutual dear and whose services are deteriorating more and more, catastrophic with regard to provident compensation wages, we are on February 28, 2018 and I have not been compensated since ..... December 2017! "".... Wait ..... your file is being processed"&amp;" ....."" This is what is answered by phone or by email! Would the employees of this mutual accept for 3 months with 1/2 salary ???")</f>
        <v>Mutual dear and whose services are deteriorating more and more, catastrophic with regard to provident compensation wages, we are on February 28, 2018 and I have not been compensated since ..... December 2017! ".... Wait ..... your file is being processed ....." This is what is answered by phone or by email! Would the employees of this mutual accept for 3 months with 1/2 salary ???</v>
      </c>
    </row>
    <row r="33" ht="15.75" customHeight="1">
      <c r="A33" s="2">
        <v>5.0</v>
      </c>
      <c r="B33" s="2" t="s">
        <v>141</v>
      </c>
      <c r="C33" s="2" t="s">
        <v>142</v>
      </c>
      <c r="D33" s="2" t="s">
        <v>13</v>
      </c>
      <c r="E33" s="2" t="s">
        <v>14</v>
      </c>
      <c r="F33" s="2" t="s">
        <v>15</v>
      </c>
      <c r="G33" s="2" t="s">
        <v>143</v>
      </c>
      <c r="H33" s="2" t="s">
        <v>28</v>
      </c>
      <c r="I33" s="2" t="str">
        <f>IFERROR(__xludf.DUMMYFUNCTION("GOOGLETRANSLATE(C33,""fr"",""en"")"),"Satisfactory price and say t insurance takes care of everything for paper with the former insurer I would advise it to other person if the occasion presents")</f>
        <v>Satisfactory price and say t insurance takes care of everything for paper with the former insurer I would advise it to other person if the occasion presents</v>
      </c>
    </row>
    <row r="34" ht="15.75" customHeight="1">
      <c r="A34" s="2">
        <v>3.0</v>
      </c>
      <c r="B34" s="2" t="s">
        <v>144</v>
      </c>
      <c r="C34" s="2" t="s">
        <v>145</v>
      </c>
      <c r="D34" s="2" t="s">
        <v>42</v>
      </c>
      <c r="E34" s="2" t="s">
        <v>43</v>
      </c>
      <c r="F34" s="2" t="s">
        <v>15</v>
      </c>
      <c r="G34" s="2" t="s">
        <v>146</v>
      </c>
      <c r="H34" s="2" t="s">
        <v>87</v>
      </c>
      <c r="I34" s="2" t="str">
        <f>IFERROR(__xludf.DUMMYFUNCTION("GOOGLETRANSLATE(C34,""fr"",""en"")"),"AMV had seduced me with the style she wanted to release on her site and of course the price offered.
Very happy with the insurance because I had never needed it, until the day, or I was overturned by a person who did not want to make a observation being "&amp;"young driver without insurance.
I have a witness but which has never managed to reach insurance ... Inevitably you have to call between 9 a.m. and 12 p.m. then being sent waiting for hours ... the witness is very nice but does not have that to make spend"&amp;"ing your life on the phone .... Despite several attempts and no effort of the advisor, my witness dropped the case (and I understand it) and therefore the insurance too .... without ever having the opportunity To have a hope of compensation for blows ... "&amp;"AMV are not too high level level, I understand better why ....
Just like their expertise ... You have to move a vehicle on the day that does not drive to be appraised .... when we explain to them that it is complicated ... they don't want to hear anythin"&amp;"g.")</f>
        <v>AMV had seduced me with the style she wanted to release on her site and of course the price offered.
Very happy with the insurance because I had never needed it, until the day, or I was overturned by a person who did not want to make a observation being young driver without insurance.
I have a witness but which has never managed to reach insurance ... Inevitably you have to call between 9 a.m. and 12 p.m. then being sent waiting for hours ... the witness is very nice but does not have that to make spending your life on the phone .... Despite several attempts and no effort of the advisor, my witness dropped the case (and I understand it) and therefore the insurance too .... without ever having the opportunity To have a hope of compensation for blows ... AMV are not too high level level, I understand better why ....
Just like their expertise ... You have to move a vehicle on the day that does not drive to be appraised .... when we explain to them that it is complicated ... they don't want to hear anything.</v>
      </c>
    </row>
    <row r="35" ht="15.75" customHeight="1">
      <c r="A35" s="2">
        <v>2.0</v>
      </c>
      <c r="B35" s="2" t="s">
        <v>147</v>
      </c>
      <c r="C35" s="2" t="s">
        <v>148</v>
      </c>
      <c r="D35" s="2" t="s">
        <v>42</v>
      </c>
      <c r="E35" s="2" t="s">
        <v>43</v>
      </c>
      <c r="F35" s="2" t="s">
        <v>15</v>
      </c>
      <c r="G35" s="2" t="s">
        <v>149</v>
      </c>
      <c r="H35" s="2" t="s">
        <v>150</v>
      </c>
      <c r="I35" s="2" t="str">
        <f>IFERROR(__xludf.DUMMYFUNCTION("GOOGLETRANSLATE(C35,""fr"",""en"")"),"I find deplorable that an insurer refuses to ensure you after two small accidents in wrong.")</f>
        <v>I find deplorable that an insurer refuses to ensure you after two small accidents in wrong.</v>
      </c>
    </row>
    <row r="36" ht="15.75" customHeight="1">
      <c r="A36" s="2">
        <v>1.0</v>
      </c>
      <c r="B36" s="2" t="s">
        <v>151</v>
      </c>
      <c r="C36" s="2" t="s">
        <v>152</v>
      </c>
      <c r="D36" s="2" t="s">
        <v>153</v>
      </c>
      <c r="E36" s="2" t="s">
        <v>77</v>
      </c>
      <c r="F36" s="2" t="s">
        <v>15</v>
      </c>
      <c r="G36" s="2" t="s">
        <v>154</v>
      </c>
      <c r="H36" s="2" t="s">
        <v>155</v>
      </c>
      <c r="I36" s="2" t="str">
        <f>IFERROR(__xludf.DUMMYFUNCTION("GOOGLETRANSLATE(C36,""fr"",""en"")"),"Insured at SOGESSUR for 4 months, I am frightened by the lack of consideration and professionalism. However, I opted for optimal coverage. A price of more than 2000 euros per year for a house! But what a bad surprise! Following the declaration of a claim "&amp;"within my home with an identified third party and of course! No one deigns to take into account the disaster. SOGESSUR SUSCREATION IN AVIA LEGIAL, First unpleasant surprise. A subcontractor who does not manage your file squarely. I am totally abandoned. I"&amp;" will turn to consumer associations. I am really worried about the future if I meet a new disaster. Indeed, I cannot change my insurance before the end of the year. 1 year of mandatory seniority before termination. I have always been insured with mutualis"&amp;"t insurers and I have always been completely satisfied. The contributions are higher but the service is of quality. But following a mortgage, my banker praised me the qualities of Sogessur. What a huge disappointment! I feel like I am completely getting.
"&amp;"
I believed it ... what a disappointment. I feel trapped. I'm very worried. I strongly advise against this insurer.")</f>
        <v>Insured at SOGESSUR for 4 months, I am frightened by the lack of consideration and professionalism. However, I opted for optimal coverage. A price of more than 2000 euros per year for a house! But what a bad surprise! Following the declaration of a claim within my home with an identified third party and of course! No one deigns to take into account the disaster. SOGESSUR SUSCREATION IN AVIA LEGIAL, First unpleasant surprise. A subcontractor who does not manage your file squarely. I am totally abandoned. I will turn to consumer associations. I am really worried about the future if I meet a new disaster. Indeed, I cannot change my insurance before the end of the year. 1 year of mandatory seniority before termination. I have always been insured with mutualist insurers and I have always been completely satisfied. The contributions are higher but the service is of quality. But following a mortgage, my banker praised me the qualities of Sogessur. What a huge disappointment! I feel like I am completely getting.
I believed it ... what a disappointment. I feel trapped. I'm very worried. I strongly advise against this insurer.</v>
      </c>
    </row>
    <row r="37" ht="15.75" customHeight="1">
      <c r="A37" s="2">
        <v>1.0</v>
      </c>
      <c r="B37" s="2" t="s">
        <v>156</v>
      </c>
      <c r="C37" s="2" t="s">
        <v>157</v>
      </c>
      <c r="D37" s="2" t="s">
        <v>158</v>
      </c>
      <c r="E37" s="2" t="s">
        <v>159</v>
      </c>
      <c r="F37" s="2" t="s">
        <v>15</v>
      </c>
      <c r="G37" s="2" t="s">
        <v>160</v>
      </c>
      <c r="H37" s="2" t="s">
        <v>161</v>
      </c>
      <c r="I37" s="2" t="str">
        <f>IFERROR(__xludf.DUMMYFUNCTION("GOOGLETRANSLATE(C37,""fr"",""en"")"),"Watch out for this insurance .. non -compliance with delay. Unreachable and yet the subscription we sell you dreams to flee I do not think that in France it could exist and be able to sell C products.")</f>
        <v>Watch out for this insurance .. non -compliance with delay. Unreachable and yet the subscription we sell you dreams to flee I do not think that in France it could exist and be able to sell C products.</v>
      </c>
    </row>
    <row r="38" ht="15.75" customHeight="1">
      <c r="A38" s="2">
        <v>2.0</v>
      </c>
      <c r="B38" s="2" t="s">
        <v>162</v>
      </c>
      <c r="C38" s="2" t="s">
        <v>163</v>
      </c>
      <c r="D38" s="2" t="s">
        <v>72</v>
      </c>
      <c r="E38" s="2" t="s">
        <v>21</v>
      </c>
      <c r="F38" s="2" t="s">
        <v>15</v>
      </c>
      <c r="G38" s="2" t="s">
        <v>164</v>
      </c>
      <c r="H38" s="2" t="s">
        <v>165</v>
      </c>
      <c r="I38" s="2" t="str">
        <f>IFERROR(__xludf.DUMMYFUNCTION("GOOGLETRANSLATE(C38,""fr"",""en"")"),"Consult the opinions on 60 million consumers before you start with Santiane if I had known I would have had fewer problems with 2 mutuals to pay because they tell you that they are taking care of the former but do not do not and a pension contract discree"&amp;"tly slipped with my mutual contract when it was to be included")</f>
        <v>Consult the opinions on 60 million consumers before you start with Santiane if I had known I would have had fewer problems with 2 mutuals to pay because they tell you that they are taking care of the former but do not do not and a pension contract discreetly slipped with my mutual contract when it was to be included</v>
      </c>
    </row>
    <row r="39" ht="15.75" customHeight="1">
      <c r="A39" s="2">
        <v>4.0</v>
      </c>
      <c r="B39" s="2" t="s">
        <v>166</v>
      </c>
      <c r="C39" s="2" t="s">
        <v>167</v>
      </c>
      <c r="D39" s="2" t="s">
        <v>168</v>
      </c>
      <c r="E39" s="2" t="s">
        <v>169</v>
      </c>
      <c r="F39" s="2" t="s">
        <v>15</v>
      </c>
      <c r="G39" s="2" t="s">
        <v>170</v>
      </c>
      <c r="H39" s="2" t="s">
        <v>17</v>
      </c>
      <c r="I39" s="2" t="str">
        <f>IFERROR(__xludf.DUMMYFUNCTION("GOOGLETRANSLATE(C39,""fr"",""en"")"),"I am a broker, Axa is a good payer in the event of a claim, I am very satisfied with them concerning the claims of my professional customers.
Same thing for special contracts,")</f>
        <v>I am a broker, Axa is a good payer in the event of a claim, I am very satisfied with them concerning the claims of my professional customers.
Same thing for special contracts,</v>
      </c>
    </row>
    <row r="40" ht="15.75" customHeight="1">
      <c r="A40" s="2">
        <v>1.0</v>
      </c>
      <c r="B40" s="2" t="s">
        <v>171</v>
      </c>
      <c r="C40" s="2" t="s">
        <v>172</v>
      </c>
      <c r="D40" s="2" t="s">
        <v>26</v>
      </c>
      <c r="E40" s="2" t="s">
        <v>77</v>
      </c>
      <c r="F40" s="2" t="s">
        <v>15</v>
      </c>
      <c r="G40" s="2" t="s">
        <v>173</v>
      </c>
      <c r="H40" s="2" t="s">
        <v>60</v>
      </c>
      <c r="I40" s="2" t="str">
        <f>IFERROR(__xludf.DUMMYFUNCTION("GOOGLETRANSLATE(C40,""fr"",""en"")"),"Too bad we can't put 0.
For years to pay for nothing and the day you have a disaster the cabinet Toubon the boss of the Macif it is he who decides ...
A new PMR bathroom paid 10,000 euros reimbursed 357 euros sinister the worst It is not even my fault.
"&amp;"
I do not recommend Macif at all to flee .... a disabled person has more than 80 percent a shame ...
")</f>
        <v>Too bad we can't put 0.
For years to pay for nothing and the day you have a disaster the cabinet Toubon the boss of the Macif it is he who decides ...
A new PMR bathroom paid 10,000 euros reimbursed 357 euros sinister the worst It is not even my fault.
I do not recommend Macif at all to flee .... a disabled person has more than 80 percent a shame ...
</v>
      </c>
    </row>
    <row r="41" ht="15.75" customHeight="1">
      <c r="A41" s="2">
        <v>1.0</v>
      </c>
      <c r="B41" s="2" t="s">
        <v>174</v>
      </c>
      <c r="C41" s="2" t="s">
        <v>175</v>
      </c>
      <c r="D41" s="2" t="s">
        <v>13</v>
      </c>
      <c r="E41" s="2" t="s">
        <v>14</v>
      </c>
      <c r="F41" s="2" t="s">
        <v>15</v>
      </c>
      <c r="G41" s="2" t="s">
        <v>130</v>
      </c>
      <c r="H41" s="2" t="s">
        <v>60</v>
      </c>
      <c r="I41" s="2" t="str">
        <f>IFERROR(__xludf.DUMMYFUNCTION("GOOGLETRANSLATE(C41,""fr"",""en"")"),"I am not satisfied with the service or the price or the communication; Too many dysfunctions on the administration of my file are to be deplored and the advisers are not up to the task; In any case, those with whom I was in contact.")</f>
        <v>I am not satisfied with the service or the price or the communication; Too many dysfunctions on the administration of my file are to be deplored and the advisers are not up to the task; In any case, those with whom I was in contact.</v>
      </c>
    </row>
    <row r="42" ht="15.75" customHeight="1">
      <c r="A42" s="2">
        <v>4.0</v>
      </c>
      <c r="B42" s="2" t="s">
        <v>176</v>
      </c>
      <c r="C42" s="2" t="s">
        <v>177</v>
      </c>
      <c r="D42" s="2" t="s">
        <v>13</v>
      </c>
      <c r="E42" s="2" t="s">
        <v>14</v>
      </c>
      <c r="F42" s="2" t="s">
        <v>15</v>
      </c>
      <c r="G42" s="2" t="s">
        <v>99</v>
      </c>
      <c r="H42" s="2" t="s">
        <v>99</v>
      </c>
      <c r="I42" s="2" t="str">
        <f>IFERROR(__xludf.DUMMYFUNCTION("GOOGLETRANSLATE(C42,""fr"",""en"")"),"I am satisfied with the ease of the site, quotes and to be able to do everything without having to move in an agency. On the other hand I find exaggeration that one invoices one month whole month when the contract begins only three days at the end of the "&amp;"month.")</f>
        <v>I am satisfied with the ease of the site, quotes and to be able to do everything without having to move in an agency. On the other hand I find exaggeration that one invoices one month whole month when the contract begins only three days at the end of the month.</v>
      </c>
    </row>
    <row r="43" ht="15.75" customHeight="1">
      <c r="A43" s="2">
        <v>2.0</v>
      </c>
      <c r="B43" s="2" t="s">
        <v>178</v>
      </c>
      <c r="C43" s="2" t="s">
        <v>179</v>
      </c>
      <c r="D43" s="2" t="s">
        <v>13</v>
      </c>
      <c r="E43" s="2" t="s">
        <v>14</v>
      </c>
      <c r="F43" s="2" t="s">
        <v>15</v>
      </c>
      <c r="G43" s="2" t="s">
        <v>180</v>
      </c>
      <c r="H43" s="2" t="s">
        <v>181</v>
      </c>
      <c r="I43" s="2" t="str">
        <f>IFERROR(__xludf.DUMMYFUNCTION("GOOGLETRANSLATE(C43,""fr"",""en"")"),"Price interest in the 1st year but when you have your contract have the competition play and you will realize that you can find much cheaper (for my part -100 €).
No commercial gesture on their part, shabby customer service in short after 1 year flee and"&amp;" you will not find it less expensive")</f>
        <v>Price interest in the 1st year but when you have your contract have the competition play and you will realize that you can find much cheaper (for my part -100 €).
No commercial gesture on their part, shabby customer service in short after 1 year flee and you will not find it less expensive</v>
      </c>
    </row>
    <row r="44" ht="15.75" customHeight="1">
      <c r="A44" s="2">
        <v>3.0</v>
      </c>
      <c r="B44" s="2" t="s">
        <v>182</v>
      </c>
      <c r="C44" s="2" t="s">
        <v>183</v>
      </c>
      <c r="D44" s="2" t="s">
        <v>13</v>
      </c>
      <c r="E44" s="2" t="s">
        <v>14</v>
      </c>
      <c r="F44" s="2" t="s">
        <v>15</v>
      </c>
      <c r="G44" s="2" t="s">
        <v>184</v>
      </c>
      <c r="H44" s="2" t="s">
        <v>28</v>
      </c>
      <c r="I44" s="2" t="str">
        <f>IFERROR(__xludf.DUMMYFUNCTION("GOOGLETRANSLATE(C44,""fr"",""en"")"),"Overall satisfied, but:
1 The Lelynx comparator offered a price a good fifty euros cheaper during the first simulation still at home and always the one I subscribed. I made another simulation without secondary driver. When I came back to subscribe it was"&amp;" too late, in the space of a few minutes.
2 Your options that inflate the price, excessively
3 The options and the choices can be very readable for an average customer, given the number and the conjugate impact on the price
4 Why this difference betwee"&amp;"n the monthly and annual levy? Why in this case oblige the customer to advance the first two months?")</f>
        <v>Overall satisfied, but:
1 The Lelynx comparator offered a price a good fifty euros cheaper during the first simulation still at home and always the one I subscribed. I made another simulation without secondary driver. When I came back to subscribe it was too late, in the space of a few minutes.
2 Your options that inflate the price, excessively
3 The options and the choices can be very readable for an average customer, given the number and the conjugate impact on the price
4 Why this difference between the monthly and annual levy? Why in this case oblige the customer to advance the first two months?</v>
      </c>
    </row>
    <row r="45" ht="15.75" customHeight="1">
      <c r="A45" s="2">
        <v>5.0</v>
      </c>
      <c r="B45" s="2" t="s">
        <v>185</v>
      </c>
      <c r="C45" s="2" t="s">
        <v>186</v>
      </c>
      <c r="D45" s="2" t="s">
        <v>13</v>
      </c>
      <c r="E45" s="2" t="s">
        <v>14</v>
      </c>
      <c r="F45" s="2" t="s">
        <v>15</v>
      </c>
      <c r="G45" s="2" t="s">
        <v>187</v>
      </c>
      <c r="H45" s="2" t="s">
        <v>28</v>
      </c>
      <c r="I45" s="2" t="str">
        <f>IFERROR(__xludf.DUMMYFUNCTION("GOOGLETRANSLATE(C45,""fr"",""en"")"),"Two pleasant employees for the establishment of my quote and the modification of the latter.
Fast and simple payment
Second contract and for the moment satisfied")</f>
        <v>Two pleasant employees for the establishment of my quote and the modification of the latter.
Fast and simple payment
Second contract and for the moment satisfied</v>
      </c>
    </row>
    <row r="46" ht="15.75" customHeight="1">
      <c r="A46" s="2">
        <v>1.0</v>
      </c>
      <c r="B46" s="2" t="s">
        <v>188</v>
      </c>
      <c r="C46" s="2" t="s">
        <v>189</v>
      </c>
      <c r="D46" s="2" t="s">
        <v>31</v>
      </c>
      <c r="E46" s="2" t="s">
        <v>32</v>
      </c>
      <c r="F46" s="2" t="s">
        <v>15</v>
      </c>
      <c r="G46" s="2" t="s">
        <v>190</v>
      </c>
      <c r="H46" s="2" t="s">
        <v>191</v>
      </c>
      <c r="I46" s="2" t="str">
        <f>IFERROR(__xludf.DUMMYFUNCTION("GOOGLETRANSLATE(C46,""fr"",""en"")"),"The worst borrowers, I have been waiting for an insurance certificate for more than 2 months and when I call I am transferred 3 to 4 times to tell me that the certificate cannot be sent and that the delays can be a week, 1 month or more ... Sacred joke .."&amp;". To flee")</f>
        <v>The worst borrowers, I have been waiting for an insurance certificate for more than 2 months and when I call I am transferred 3 to 4 times to tell me that the certificate cannot be sent and that the delays can be a week, 1 month or more ... Sacred joke ... To flee</v>
      </c>
    </row>
    <row r="47" ht="15.75" customHeight="1">
      <c r="A47" s="2">
        <v>2.0</v>
      </c>
      <c r="B47" s="2" t="s">
        <v>192</v>
      </c>
      <c r="C47" s="2" t="s">
        <v>193</v>
      </c>
      <c r="D47" s="2" t="s">
        <v>42</v>
      </c>
      <c r="E47" s="2" t="s">
        <v>43</v>
      </c>
      <c r="F47" s="2" t="s">
        <v>15</v>
      </c>
      <c r="G47" s="2" t="s">
        <v>64</v>
      </c>
      <c r="H47" s="2" t="s">
        <v>65</v>
      </c>
      <c r="I47" s="2" t="str">
        <f>IFERROR(__xludf.DUMMYFUNCTION("GOOGLETRANSLATE(C47,""fr"",""en"")"),"
Insured all risks at AMV everything was fine until I have an accident in which I am not responsible: a car overthrew me. AMV and opposing insurance recognize that I have no responsibility. So far, so good…
My accident took place in October 2017; I am i"&amp;"njured without hospitalization but my condition requires a work stoppage, I contact AMV the same day so that they quickly communicate the necessary documents to have my motorcycle repaired.
I will have to wait until March 2018 for an expert to be appoint"&amp;"ed and reported.
The motorcycle has been immobilized since the day of the accident at my motorcycle dealer. Since October 2017!
48 hours after his expertise, the expert indicates me by phone having submitted his report to AMV and that the motorcycle is "&amp;"repairable.
As I have done many times, I relaunch AMV so that the repairs are made as soon as possible because I have no vehicle than this motorcycle to move.
Amv indicates me that as I have undergone bodily damage it is above all necessary to supplemen"&amp;"t a compensation request file for these damages.
I answer them that it doesn't interest me, that all I want is that my motorcycle is repaired quickly. Surprise ! Despite my refusal to apply for bodily compensation AMV to me that without this file, no rep"&amp;"air of my motorcycle will be able to start.
And there it is the infernal cycle that begins! I complete the files to which is added each time new medical documents to provide and months pass; As a reminder, I have never made my own bodily compensation req"&amp;"uest.
My motorcycle has been immobilized at my dealership since October 2017 and we are in July 2018! AMV continues to take me every month on the basis of my contract any risk as if I continued to ride normally!
 I was even told that as long as my file "&amp;"was not complete, it was necessary to continue to pay full pot!
I am disgusted !
Since June 29, luckily I have moved and AMV does not cover the risks in the French overseas departments which allowed me to request the termination of my contract.
AMV tol"&amp;"d me that my termination request did not call into question the procedure for the management of my repairs which have still not started.
I relaunched them again yesterday and today by phone, by email and through my customer area and communication with th"&amp;"e person I had on the phone was still a very trying moment for my zenitude. With great courtesy, I heard myself replied that my file was under study but that I could not be given deadlines because many people working at AMV were on vacation; It made me ha"&amp;"ppy to hear it, and that if things took so long it was my fault and that it had even been notified to me beforehand by email that I could have undergone retalotation measures if I did not provide all the documents that I was asked! Fourorsions: This is ex"&amp;"actly the term used by an AMV employee by phone this Wednesday, July 11.
What does I have as a solutions left ???
Call on a legal advisor, and seize the insurance mediator.
These are the steps that I will have to start now, one thing is sure, I will no"&amp;"t give in!
AMV don't let yourself be seduced by prices!
AMV is a subsidiary of Equity. The name is well chosen but the answers are not. AMV Courage Flee!
")</f>
        <v>
Insured all risks at AMV everything was fine until I have an accident in which I am not responsible: a car overthrew me. AMV and opposing insurance recognize that I have no responsibility. So far, so good…
My accident took place in October 2017; I am injured without hospitalization but my condition requires a work stoppage, I contact AMV the same day so that they quickly communicate the necessary documents to have my motorcycle repaired.
I will have to wait until March 2018 for an expert to be appointed and reported.
The motorcycle has been immobilized since the day of the accident at my motorcycle dealer. Since October 2017!
48 hours after his expertise, the expert indicates me by phone having submitted his report to AMV and that the motorcycle is repairable.
As I have done many times, I relaunch AMV so that the repairs are made as soon as possible because I have no vehicle than this motorcycle to move.
Amv indicates me that as I have undergone bodily damage it is above all necessary to supplement a compensation request file for these damages.
I answer them that it doesn't interest me, that all I want is that my motorcycle is repaired quickly. Surprise ! Despite my refusal to apply for bodily compensation AMV to me that without this file, no repair of my motorcycle will be able to start.
And there it is the infernal cycle that begins! I complete the files to which is added each time new medical documents to provide and months pass; As a reminder, I have never made my own bodily compensation request.
My motorcycle has been immobilized at my dealership since October 2017 and we are in July 2018! AMV continues to take me every month on the basis of my contract any risk as if I continued to ride normally!
 I was even told that as long as my file was not complete, it was necessary to continue to pay full pot!
I am disgusted !
Since June 29, luckily I have moved and AMV does not cover the risks in the French overseas departments which allowed me to request the termination of my contract.
AMV told me that my termination request did not call into question the procedure for the management of my repairs which have still not started.
I relaunched them again yesterday and today by phone, by email and through my customer area and communication with the person I had on the phone was still a very trying moment for my zenitude. With great courtesy, I heard myself replied that my file was under study but that I could not be given deadlines because many people working at AMV were on vacation; It made me happy to hear it, and that if things took so long it was my fault and that it had even been notified to me beforehand by email that I could have undergone retalotation measures if I did not provide all the documents that I was asked! Fourorsions: This is exactly the term used by an AMV employee by phone this Wednesday, July 11.
What does I have as a solutions left ???
Call on a legal advisor, and seize the insurance mediator.
These are the steps that I will have to start now, one thing is sure, I will not give in!
AMV don't let yourself be seduced by prices!
AMV is a subsidiary of Equity. The name is well chosen but the answers are not. AMV Courage Flee!
</v>
      </c>
    </row>
    <row r="48" ht="15.75" customHeight="1">
      <c r="A48" s="2">
        <v>1.0</v>
      </c>
      <c r="B48" s="2" t="s">
        <v>194</v>
      </c>
      <c r="C48" s="2" t="s">
        <v>195</v>
      </c>
      <c r="D48" s="2" t="s">
        <v>196</v>
      </c>
      <c r="E48" s="2" t="s">
        <v>14</v>
      </c>
      <c r="F48" s="2" t="s">
        <v>15</v>
      </c>
      <c r="G48" s="2" t="s">
        <v>197</v>
      </c>
      <c r="H48" s="2" t="s">
        <v>155</v>
      </c>
      <c r="I48" s="2" t="str">
        <f>IFERROR(__xludf.DUMMYFUNCTION("GOOGLETRANSLATE(C48,""fr"",""en"")"),"Company that shows bad times but in view of the previous comments it is not a surprise ... I will see my home insurance and vehicles next week because as your slogan la Matmutt says you do not but you .. . Let the rest imagine
No longer having confidence"&amp;" in your dear assurance, I ask you to accept my most distinguished feelings")</f>
        <v>Company that shows bad times but in view of the previous comments it is not a surprise ... I will see my home insurance and vehicles next week because as your slogan la Matmutt says you do not but you .. . Let the rest imagine
No longer having confidence in your dear assurance, I ask you to accept my most distinguished feelings</v>
      </c>
    </row>
    <row r="49" ht="15.75" customHeight="1">
      <c r="A49" s="2">
        <v>4.0</v>
      </c>
      <c r="B49" s="2" t="s">
        <v>198</v>
      </c>
      <c r="C49" s="2" t="s">
        <v>199</v>
      </c>
      <c r="D49" s="2" t="s">
        <v>13</v>
      </c>
      <c r="E49" s="2" t="s">
        <v>14</v>
      </c>
      <c r="F49" s="2" t="s">
        <v>15</v>
      </c>
      <c r="G49" s="2" t="s">
        <v>200</v>
      </c>
      <c r="H49" s="2" t="s">
        <v>201</v>
      </c>
      <c r="I49" s="2" t="str">
        <f>IFERROR(__xludf.DUMMYFUNCTION("GOOGLETRANSLATE(C49,""fr"",""en"")"),"I am satisfied with the simulation which was addressed to me.
I am still in reflection to find out if I want to change insurer or not.
Yours")</f>
        <v>I am satisfied with the simulation which was addressed to me.
I am still in reflection to find out if I want to change insurer or not.
Yours</v>
      </c>
    </row>
    <row r="50" ht="15.75" customHeight="1">
      <c r="A50" s="2">
        <v>2.0</v>
      </c>
      <c r="B50" s="2" t="s">
        <v>202</v>
      </c>
      <c r="C50" s="2" t="s">
        <v>203</v>
      </c>
      <c r="D50" s="2" t="s">
        <v>26</v>
      </c>
      <c r="E50" s="2" t="s">
        <v>138</v>
      </c>
      <c r="F50" s="2" t="s">
        <v>15</v>
      </c>
      <c r="G50" s="2" t="s">
        <v>204</v>
      </c>
      <c r="H50" s="2" t="s">
        <v>65</v>
      </c>
      <c r="I50" s="2" t="str">
        <f>IFERROR(__xludf.DUMMYFUNCTION("GOOGLETRANSLATE(C50,""fr"",""en"")"),"Inability or poor desire for customer service to terminate a contract. I had to call 3 times and write two emails to have a simple question.")</f>
        <v>Inability or poor desire for customer service to terminate a contract. I had to call 3 times and write two emails to have a simple question.</v>
      </c>
    </row>
    <row r="51" ht="15.75" customHeight="1">
      <c r="A51" s="2">
        <v>5.0</v>
      </c>
      <c r="B51" s="2" t="s">
        <v>205</v>
      </c>
      <c r="C51" s="2" t="s">
        <v>206</v>
      </c>
      <c r="D51" s="2" t="s">
        <v>47</v>
      </c>
      <c r="E51" s="2" t="s">
        <v>14</v>
      </c>
      <c r="F51" s="2" t="s">
        <v>15</v>
      </c>
      <c r="G51" s="2" t="s">
        <v>56</v>
      </c>
      <c r="H51" s="2" t="s">
        <v>56</v>
      </c>
      <c r="I51" s="2" t="str">
        <f>IFERROR(__xludf.DUMMYFUNCTION("GOOGLETRANSLATE(C51,""fr"",""en"")"),"I am very satisfied with service. Perfect!
I am very happy with my insurance. I hope it will last. I am sure that the olive tree will honor all its commitments and I would be delighted to remain your faithful customer. Thanks.")</f>
        <v>I am very satisfied with service. Perfect!
I am very happy with my insurance. I hope it will last. I am sure that the olive tree will honor all its commitments and I would be delighted to remain your faithful customer. Thanks.</v>
      </c>
    </row>
    <row r="52" ht="15.75" customHeight="1">
      <c r="A52" s="2">
        <v>3.0</v>
      </c>
      <c r="B52" s="2" t="s">
        <v>207</v>
      </c>
      <c r="C52" s="2" t="s">
        <v>208</v>
      </c>
      <c r="D52" s="2" t="s">
        <v>168</v>
      </c>
      <c r="E52" s="2" t="s">
        <v>77</v>
      </c>
      <c r="F52" s="2" t="s">
        <v>15</v>
      </c>
      <c r="G52" s="2" t="s">
        <v>209</v>
      </c>
      <c r="H52" s="2" t="s">
        <v>65</v>
      </c>
      <c r="I52" s="2" t="str">
        <f>IFERROR(__xludf.DUMMYFUNCTION("GOOGLETRANSLATE(C52,""fr"",""en"")"),"After an infiltration type water damage by facade and external walls in two of my parts, an expert in Texa estimated the amount of the repair at 800 euros including tax. In order to respect this budget, the company mandated for the work can only repaint o"&amp;"ne wall on 4 of each room. A scandal, knowing that I have been a customer for more than 10 years, that the amount of my contributions is calculated for an F5 (4 walls), and in addition I suffer a 21% increase between 2016 and 2017.
An AR letter will be s"&amp;"ent in time to denounce the renewal of the contract 3711615204. Goodbye.")</f>
        <v>After an infiltration type water damage by facade and external walls in two of my parts, an expert in Texa estimated the amount of the repair at 800 euros including tax. In order to respect this budget, the company mandated for the work can only repaint one wall on 4 of each room. A scandal, knowing that I have been a customer for more than 10 years, that the amount of my contributions is calculated for an F5 (4 walls), and in addition I suffer a 21% increase between 2016 and 2017.
An AR letter will be sent in time to denounce the renewal of the contract 3711615204. Goodbye.</v>
      </c>
    </row>
    <row r="53" ht="15.75" customHeight="1">
      <c r="A53" s="2">
        <v>1.0</v>
      </c>
      <c r="B53" s="2" t="s">
        <v>210</v>
      </c>
      <c r="C53" s="2" t="s">
        <v>211</v>
      </c>
      <c r="D53" s="2" t="s">
        <v>13</v>
      </c>
      <c r="E53" s="2" t="s">
        <v>14</v>
      </c>
      <c r="F53" s="2" t="s">
        <v>15</v>
      </c>
      <c r="G53" s="2" t="s">
        <v>212</v>
      </c>
      <c r="H53" s="2" t="s">
        <v>213</v>
      </c>
      <c r="I53" s="2" t="str">
        <f>IFERROR(__xludf.DUMMYFUNCTION("GOOGLETRANSLATE(C53,""fr"",""en"")"),"It is unacceptable my car was vandalized more than 2 months ago and to date I have not even had the appointment with the mechanic who will repair it to me
And despite my insurance at all risk I have to pay 350 e de franchise plus 10 percent of the repair"&amp;" price knowing that I pay more than 80 euros per month to be assured thank you direct insurance")</f>
        <v>It is unacceptable my car was vandalized more than 2 months ago and to date I have not even had the appointment with the mechanic who will repair it to me
And despite my insurance at all risk I have to pay 350 e de franchise plus 10 percent of the repair price knowing that I pay more than 80 euros per month to be assured thank you direct insurance</v>
      </c>
    </row>
    <row r="54" ht="15.75" customHeight="1">
      <c r="A54" s="2">
        <v>4.0</v>
      </c>
      <c r="B54" s="2" t="s">
        <v>214</v>
      </c>
      <c r="C54" s="2" t="s">
        <v>215</v>
      </c>
      <c r="D54" s="2" t="s">
        <v>42</v>
      </c>
      <c r="E54" s="2" t="s">
        <v>43</v>
      </c>
      <c r="F54" s="2" t="s">
        <v>15</v>
      </c>
      <c r="G54" s="2" t="s">
        <v>216</v>
      </c>
      <c r="H54" s="2" t="s">
        <v>69</v>
      </c>
      <c r="I54" s="2" t="str">
        <f>IFERROR(__xludf.DUMMYFUNCTION("GOOGLETRANSLATE(C54,""fr"",""en"")"),"Simple quick and clear. Low price but serious guarantees, judicious advice and very practical website possibility of choosing the options with perfect coverage details")</f>
        <v>Simple quick and clear. Low price but serious guarantees, judicious advice and very practical website possibility of choosing the options with perfect coverage details</v>
      </c>
    </row>
    <row r="55" ht="15.75" customHeight="1">
      <c r="A55" s="2">
        <v>1.0</v>
      </c>
      <c r="B55" s="2" t="s">
        <v>217</v>
      </c>
      <c r="C55" s="2" t="s">
        <v>218</v>
      </c>
      <c r="D55" s="2" t="s">
        <v>63</v>
      </c>
      <c r="E55" s="2" t="s">
        <v>14</v>
      </c>
      <c r="F55" s="2" t="s">
        <v>15</v>
      </c>
      <c r="G55" s="2" t="s">
        <v>219</v>
      </c>
      <c r="H55" s="2" t="s">
        <v>220</v>
      </c>
      <c r="I55" s="2" t="str">
        <f>IFERROR(__xludf.DUMMYFUNCTION("GOOGLETRANSLATE(C55,""fr"",""en"")"),"The claim, a damaged car in a motorized rodeo, vandalism, no responsibility transformed by the MAIF into a traffic accident, pile up, therefore responsible accident. Impossible to have it rectified. Radié to silence me.")</f>
        <v>The claim, a damaged car in a motorized rodeo, vandalism, no responsibility transformed by the MAIF into a traffic accident, pile up, therefore responsible accident. Impossible to have it rectified. Radié to silence me.</v>
      </c>
    </row>
    <row r="56" ht="15.75" customHeight="1">
      <c r="A56" s="2">
        <v>2.0</v>
      </c>
      <c r="B56" s="2" t="s">
        <v>221</v>
      </c>
      <c r="C56" s="2" t="s">
        <v>222</v>
      </c>
      <c r="D56" s="2" t="s">
        <v>223</v>
      </c>
      <c r="E56" s="2" t="s">
        <v>14</v>
      </c>
      <c r="F56" s="2" t="s">
        <v>15</v>
      </c>
      <c r="G56" s="2" t="s">
        <v>224</v>
      </c>
      <c r="H56" s="2" t="s">
        <v>91</v>
      </c>
      <c r="I56" s="2" t="str">
        <f>IFERROR(__xludf.DUMMYFUNCTION("GOOGLETRANSLATE(C56,""fr"",""en"")"),"Ensure at home not able to remember for a nearby vehicle and make me believe to wait a taxi 2 hours when nothing was done !!! It shifts next day without looking at if people work !! ???? I think I'm going to get out of the bottom")</f>
        <v>Ensure at home not able to remember for a nearby vehicle and make me believe to wait a taxi 2 hours when nothing was done !!! It shifts next day without looking at if people work !! ???? I think I'm going to get out of the bottom</v>
      </c>
    </row>
    <row r="57" ht="15.75" customHeight="1">
      <c r="A57" s="2">
        <v>3.0</v>
      </c>
      <c r="B57" s="2" t="s">
        <v>225</v>
      </c>
      <c r="C57" s="2" t="s">
        <v>226</v>
      </c>
      <c r="D57" s="2" t="s">
        <v>13</v>
      </c>
      <c r="E57" s="2" t="s">
        <v>14</v>
      </c>
      <c r="F57" s="2" t="s">
        <v>15</v>
      </c>
      <c r="G57" s="2" t="s">
        <v>227</v>
      </c>
      <c r="H57" s="2" t="s">
        <v>28</v>
      </c>
      <c r="I57" s="2" t="str">
        <f>IFERROR(__xludf.DUMMYFUNCTION("GOOGLETRANSLATE(C57,""fr"",""en"")"),"Interesting price, it remains to be seen the quality of the service the day ... I will be insured at home in 6 days ... maybe a little early to assess my satisfaction if not the price")</f>
        <v>Interesting price, it remains to be seen the quality of the service the day ... I will be insured at home in 6 days ... maybe a little early to assess my satisfaction if not the price</v>
      </c>
    </row>
    <row r="58" ht="15.75" customHeight="1">
      <c r="A58" s="2">
        <v>2.0</v>
      </c>
      <c r="B58" s="2" t="s">
        <v>228</v>
      </c>
      <c r="C58" s="2" t="s">
        <v>229</v>
      </c>
      <c r="D58" s="2" t="s">
        <v>26</v>
      </c>
      <c r="E58" s="2" t="s">
        <v>14</v>
      </c>
      <c r="F58" s="2" t="s">
        <v>15</v>
      </c>
      <c r="G58" s="2" t="s">
        <v>230</v>
      </c>
      <c r="H58" s="2" t="s">
        <v>181</v>
      </c>
      <c r="I58" s="2" t="str">
        <f>IFERROR(__xludf.DUMMYFUNCTION("GOOGLETRANSLATE(C58,""fr"",""en"")"),"Insured for 40 years for our vehicles, those of our children and our home without having a disaster. Very unhappy with the reception of the Argentan agency. I need a copy of a contract dating over 10 years for a vehicle that we had insured for our daughte"&amp;"r for 6 years because we think that his bonus was not calculated correctly, the person answers me Unpleasantly that they have no archives beyond 10 years, that it is necessary to make a request from the management service but that it will be very long bec"&amp;"ause they are more than 5 weeks late in the treatment of files and that she does not know if they have archives. I went to my little campaign mechanic who sold me the vehicle object of my request, has had archives on his computer since 2003 !!! A big hous"&amp;"e like the Macif is unable to provide a document for an old contract more than 10 years old. There is something to laugh. I decide to make the request on the Macif site with all the details, they send me in return a certificate for my current vehicle !!. "&amp;"I answer by saying that this is not what I asked, they send me an email telling me to remind them at 0969394949, which I do. I come across a person who tells me that they have only 5 years of archives (it decreases) and that it is necessary to make a requ"&amp;"est to the management center, that they may be able to respond to my request but will have to be patient. Impossible to have someone reliable, we go around in circles permanently. When we started with the Macif in 1981, we had people listening to us and c"&amp;"ompetent but now everyone doesn't care. I do not know if I will continue with them, in any case I will find out else about the prices.")</f>
        <v>Insured for 40 years for our vehicles, those of our children and our home without having a disaster. Very unhappy with the reception of the Argentan agency. I need a copy of a contract dating over 10 years for a vehicle that we had insured for our daughter for 6 years because we think that his bonus was not calculated correctly, the person answers me Unpleasantly that they have no archives beyond 10 years, that it is necessary to make a request from the management service but that it will be very long because they are more than 5 weeks late in the treatment of files and that she does not know if they have archives. I went to my little campaign mechanic who sold me the vehicle object of my request, has had archives on his computer since 2003 !!! A big house like the Macif is unable to provide a document for an old contract more than 10 years old. There is something to laugh. I decide to make the request on the Macif site with all the details, they send me in return a certificate for my current vehicle !!. I answer by saying that this is not what I asked, they send me an email telling me to remind them at 0969394949, which I do. I come across a person who tells me that they have only 5 years of archives (it decreases) and that it is necessary to make a request to the management center, that they may be able to respond to my request but will have to be patient. Impossible to have someone reliable, we go around in circles permanently. When we started with the Macif in 1981, we had people listening to us and competent but now everyone doesn't care. I do not know if I will continue with them, in any case I will find out else about the prices.</v>
      </c>
    </row>
    <row r="59" ht="15.75" customHeight="1">
      <c r="A59" s="2">
        <v>3.0</v>
      </c>
      <c r="B59" s="2" t="s">
        <v>231</v>
      </c>
      <c r="C59" s="2" t="s">
        <v>232</v>
      </c>
      <c r="D59" s="2" t="s">
        <v>223</v>
      </c>
      <c r="E59" s="2" t="s">
        <v>14</v>
      </c>
      <c r="F59" s="2" t="s">
        <v>15</v>
      </c>
      <c r="G59" s="2" t="s">
        <v>233</v>
      </c>
      <c r="H59" s="2" t="s">
        <v>83</v>
      </c>
      <c r="I59" s="2" t="str">
        <f>IFERROR(__xludf.DUMMYFUNCTION("GOOGLETRANSLATE(C59,""fr"",""en"")"),"A catastrophic customer service ... I am called for a disaster that was linked in October 2017 (attempted break -in on my car) to get news .. so far that's normal. I decide not to make repairs because the mechanic has given me my door in place and no shoc"&amp;"k is apparent. It's my choice I assume it. The problem being that I come across a very (very) unpleasant woman .. no hello, we do not care about me because I am wrong on my insurance contract, insults (p ****, m ** **), the lady speaks to her colleagues w"&amp;"hen I try to explain something .. This person does not want to understand anything about what I explain and get upset only because she does not agree with me. I just want to understand the situation because all that is new to me but apparently it annoys p"&amp;"eople. Too bad it is the only negative point This insurance is really good but customer service is not at the level. We are told that conversations can be recorded, I hope this one has been.")</f>
        <v>A catastrophic customer service ... I am called for a disaster that was linked in October 2017 (attempted break -in on my car) to get news .. so far that's normal. I decide not to make repairs because the mechanic has given me my door in place and no shock is apparent. It's my choice I assume it. The problem being that I come across a very (very) unpleasant woman .. no hello, we do not care about me because I am wrong on my insurance contract, insults (p ****, m ** **), the lady speaks to her colleagues when I try to explain something .. This person does not want to understand anything about what I explain and get upset only because she does not agree with me. I just want to understand the situation because all that is new to me but apparently it annoys people. Too bad it is the only negative point This insurance is really good but customer service is not at the level. We are told that conversations can be recorded, I hope this one has been.</v>
      </c>
    </row>
    <row r="60" ht="15.75" customHeight="1">
      <c r="A60" s="2">
        <v>1.0</v>
      </c>
      <c r="B60" s="2" t="s">
        <v>234</v>
      </c>
      <c r="C60" s="2" t="s">
        <v>235</v>
      </c>
      <c r="D60" s="2" t="s">
        <v>223</v>
      </c>
      <c r="E60" s="2" t="s">
        <v>14</v>
      </c>
      <c r="F60" s="2" t="s">
        <v>15</v>
      </c>
      <c r="G60" s="2" t="s">
        <v>236</v>
      </c>
      <c r="H60" s="2" t="s">
        <v>201</v>
      </c>
      <c r="I60" s="2" t="str">
        <f>IFERROR(__xludf.DUMMYFUNCTION("GOOGLETRANSLATE(C60,""fr"",""en"")"),"Completely rotten customer service.
Incompetent, contemptuous and all adjectives concerning the mediocrity of this insurance!
Good advice never assure yourself in this subsidiary.")</f>
        <v>Completely rotten customer service.
Incompetent, contemptuous and all adjectives concerning the mediocrity of this insurance!
Good advice never assure yourself in this subsidiary.</v>
      </c>
    </row>
    <row r="61" ht="15.75" customHeight="1">
      <c r="A61" s="2">
        <v>5.0</v>
      </c>
      <c r="B61" s="2" t="s">
        <v>237</v>
      </c>
      <c r="C61" s="2" t="s">
        <v>238</v>
      </c>
      <c r="D61" s="2" t="s">
        <v>239</v>
      </c>
      <c r="E61" s="2" t="s">
        <v>21</v>
      </c>
      <c r="F61" s="2" t="s">
        <v>15</v>
      </c>
      <c r="G61" s="2" t="s">
        <v>240</v>
      </c>
      <c r="H61" s="2" t="s">
        <v>49</v>
      </c>
      <c r="I61" s="2" t="str">
        <f>IFERROR(__xludf.DUMMYFUNCTION("GOOGLETRANSLATE(C61,""fr"",""en"")"),"Reimbursement within 24 hours and the reasonable price, the most important for me are the teeth I hope to be covered as much as possible to avoid going out too much money during my consultations.")</f>
        <v>Reimbursement within 24 hours and the reasonable price, the most important for me are the teeth I hope to be covered as much as possible to avoid going out too much money during my consultations.</v>
      </c>
    </row>
    <row r="62" ht="15.75" customHeight="1">
      <c r="A62" s="2">
        <v>1.0</v>
      </c>
      <c r="B62" s="2" t="s">
        <v>241</v>
      </c>
      <c r="C62" s="2" t="s">
        <v>242</v>
      </c>
      <c r="D62" s="2" t="s">
        <v>243</v>
      </c>
      <c r="E62" s="2" t="s">
        <v>159</v>
      </c>
      <c r="F62" s="2" t="s">
        <v>15</v>
      </c>
      <c r="G62" s="2" t="s">
        <v>244</v>
      </c>
      <c r="H62" s="2" t="s">
        <v>245</v>
      </c>
      <c r="I62" s="2" t="str">
        <f>IFERROR(__xludf.DUMMYFUNCTION("GOOGLETRANSLATE(C62,""fr"",""en"")"),"Big disappointment, they do not take care of anything, even small consultations, let's not even talk about an impregnated, when you pay with the health card they debute you derriére. Exclusion of abusive guarantee, endless deficiency, never explanations o"&amp;"r justifications. In a year and a half I was never reimbursed, they cost me more than the veto costs themselves over the same period Hahaha !!! Run away!!!!")</f>
        <v>Big disappointment, they do not take care of anything, even small consultations, let's not even talk about an impregnated, when you pay with the health card they debute you derriére. Exclusion of abusive guarantee, endless deficiency, never explanations or justifications. In a year and a half I was never reimbursed, they cost me more than the veto costs themselves over the same period Hahaha !!! Run away!!!!</v>
      </c>
    </row>
    <row r="63" ht="15.75" customHeight="1">
      <c r="A63" s="2">
        <v>3.0</v>
      </c>
      <c r="B63" s="2" t="s">
        <v>246</v>
      </c>
      <c r="C63" s="2" t="s">
        <v>247</v>
      </c>
      <c r="D63" s="2" t="s">
        <v>248</v>
      </c>
      <c r="E63" s="2" t="s">
        <v>14</v>
      </c>
      <c r="F63" s="2" t="s">
        <v>15</v>
      </c>
      <c r="G63" s="2" t="s">
        <v>249</v>
      </c>
      <c r="H63" s="2" t="s">
        <v>250</v>
      </c>
      <c r="I63" s="2" t="str">
        <f>IFERROR(__xludf.DUMMYFUNCTION("GOOGLETRANSLATE(C63,""fr"",""en"")"),"Insurance to avoid at all costs for any new driver. Very nice once the online quote is done, but strangely more answers on their online number which does not work when you are a month from the deadline for your contract and it is automatically renewed for"&amp;" an additional year. . My client number is 135578 and I would like to do what is necessary to ensure my new vehicle if you deign to answer me or to terminate my contract as soon as possible if there again you deign to answer.")</f>
        <v>Insurance to avoid at all costs for any new driver. Very nice once the online quote is done, but strangely more answers on their online number which does not work when you are a month from the deadline for your contract and it is automatically renewed for an additional year. . My client number is 135578 and I would like to do what is necessary to ensure my new vehicle if you deign to answer me or to terminate my contract as soon as possible if there again you deign to answer.</v>
      </c>
    </row>
    <row r="64" ht="15.75" customHeight="1">
      <c r="A64" s="2">
        <v>1.0</v>
      </c>
      <c r="B64" s="2" t="s">
        <v>251</v>
      </c>
      <c r="C64" s="2" t="s">
        <v>252</v>
      </c>
      <c r="D64" s="2" t="s">
        <v>253</v>
      </c>
      <c r="E64" s="2" t="s">
        <v>21</v>
      </c>
      <c r="F64" s="2" t="s">
        <v>15</v>
      </c>
      <c r="G64" s="2" t="s">
        <v>254</v>
      </c>
      <c r="H64" s="2" t="s">
        <v>220</v>
      </c>
      <c r="I64" s="2" t="str">
        <f>IFERROR(__xludf.DUMMYFUNCTION("GOOGLETRANSLATE(C64,""fr"",""en"")"),"Impossible to terminate despite 2 recommended. Waiting for dental reimbursements since 8/11/2019. Never respond to emails. Really disappointed with this mutual. To avoid!!!!!!!!")</f>
        <v>Impossible to terminate despite 2 recommended. Waiting for dental reimbursements since 8/11/2019. Never respond to emails. Really disappointed with this mutual. To avoid!!!!!!!!</v>
      </c>
    </row>
    <row r="65" ht="15.75" customHeight="1">
      <c r="A65" s="2">
        <v>2.0</v>
      </c>
      <c r="B65" s="2" t="s">
        <v>255</v>
      </c>
      <c r="C65" s="2" t="s">
        <v>256</v>
      </c>
      <c r="D65" s="2" t="s">
        <v>257</v>
      </c>
      <c r="E65" s="2" t="s">
        <v>14</v>
      </c>
      <c r="F65" s="2" t="s">
        <v>15</v>
      </c>
      <c r="G65" s="2" t="s">
        <v>258</v>
      </c>
      <c r="H65" s="2" t="s">
        <v>259</v>
      </c>
      <c r="I65" s="2" t="str">
        <f>IFERROR(__xludf.DUMMYFUNCTION("GOOGLETRANSLATE(C65,""fr"",""en"")"),"for a long time in Eurofil attractive price at the start which systematically increases each year without claim
With not convincing supporting documents. New members pay less than the old ones?")</f>
        <v>for a long time in Eurofil attractive price at the start which systematically increases each year without claim
With not convincing supporting documents. New members pay less than the old ones?</v>
      </c>
    </row>
    <row r="66" ht="15.75" customHeight="1">
      <c r="A66" s="2">
        <v>5.0</v>
      </c>
      <c r="B66" s="2" t="s">
        <v>260</v>
      </c>
      <c r="C66" s="2" t="s">
        <v>261</v>
      </c>
      <c r="D66" s="2" t="s">
        <v>42</v>
      </c>
      <c r="E66" s="2" t="s">
        <v>43</v>
      </c>
      <c r="F66" s="2" t="s">
        <v>15</v>
      </c>
      <c r="G66" s="2" t="s">
        <v>262</v>
      </c>
      <c r="H66" s="2" t="s">
        <v>69</v>
      </c>
      <c r="I66" s="2" t="str">
        <f>IFERROR(__xludf.DUMMYFUNCTION("GOOGLETRANSLATE(C66,""fr"",""en"")"),"Top insurance, speed, efficiency, understanding, very responsive, reasonable price only black point We must advance 3 months of insurance at the start.
In short, I recommend AMV.")</f>
        <v>Top insurance, speed, efficiency, understanding, very responsive, reasonable price only black point We must advance 3 months of insurance at the start.
In short, I recommend AMV.</v>
      </c>
    </row>
    <row r="67" ht="15.75" customHeight="1">
      <c r="A67" s="2">
        <v>1.0</v>
      </c>
      <c r="B67" s="2" t="s">
        <v>263</v>
      </c>
      <c r="C67" s="2" t="s">
        <v>264</v>
      </c>
      <c r="D67" s="2" t="s">
        <v>248</v>
      </c>
      <c r="E67" s="2" t="s">
        <v>14</v>
      </c>
      <c r="F67" s="2" t="s">
        <v>15</v>
      </c>
      <c r="G67" s="2" t="s">
        <v>265</v>
      </c>
      <c r="H67" s="2" t="s">
        <v>266</v>
      </c>
      <c r="I67" s="2" t="str">
        <f>IFERROR(__xludf.DUMMYFUNCTION("GOOGLETRANSLATE(C67,""fr"",""en"")"),"This insurance shines with its negligence. I made the mistake of paying a first online quote which was refused, then when I received a new quote increased by 51.10 euros, I retracted by email and by registered letter on 03/23/2019 and This on time without"&amp;" having signed any contract. I sent a new email that remained unanswered and I always expect a refund of 146.70 euros. There are strong probabilities for me to be forced to call on the mediator. In the event that this company deigns to answer me, I specif"&amp;"y that I was briefly the client 369711 and that my first quote refused was 4060478, the second was 4080801.")</f>
        <v>This insurance shines with its negligence. I made the mistake of paying a first online quote which was refused, then when I received a new quote increased by 51.10 euros, I retracted by email and by registered letter on 03/23/2019 and This on time without having signed any contract. I sent a new email that remained unanswered and I always expect a refund of 146.70 euros. There are strong probabilities for me to be forced to call on the mediator. In the event that this company deigns to answer me, I specify that I was briefly the client 369711 and that my first quote refused was 4060478, the second was 4080801.</v>
      </c>
    </row>
    <row r="68" ht="15.75" customHeight="1">
      <c r="A68" s="2">
        <v>5.0</v>
      </c>
      <c r="B68" s="2" t="s">
        <v>267</v>
      </c>
      <c r="C68" s="2" t="s">
        <v>268</v>
      </c>
      <c r="D68" s="2" t="s">
        <v>72</v>
      </c>
      <c r="E68" s="2" t="s">
        <v>21</v>
      </c>
      <c r="F68" s="2" t="s">
        <v>15</v>
      </c>
      <c r="G68" s="2" t="s">
        <v>269</v>
      </c>
      <c r="H68" s="2" t="s">
        <v>270</v>
      </c>
      <c r="I68" s="2" t="str">
        <f>IFERROR(__xludf.DUMMYFUNCTION("GOOGLETRANSLATE(C68,""fr"",""en"")"),"Following my contact with Sabrina I was very satisfied with her explanations and the proposal she made to me")</f>
        <v>Following my contact with Sabrina I was very satisfied with her explanations and the proposal she made to me</v>
      </c>
    </row>
    <row r="69" ht="15.75" customHeight="1">
      <c r="A69" s="2">
        <v>5.0</v>
      </c>
      <c r="B69" s="2" t="s">
        <v>271</v>
      </c>
      <c r="C69" s="2" t="s">
        <v>272</v>
      </c>
      <c r="D69" s="2" t="s">
        <v>13</v>
      </c>
      <c r="E69" s="2" t="s">
        <v>14</v>
      </c>
      <c r="F69" s="2" t="s">
        <v>15</v>
      </c>
      <c r="G69" s="2" t="s">
        <v>273</v>
      </c>
      <c r="H69" s="2" t="s">
        <v>28</v>
      </c>
      <c r="I69" s="2" t="str">
        <f>IFERROR(__xludf.DUMMYFUNCTION("GOOGLETRANSLATE(C69,""fr"",""en"")"),"I am satisfied with the service. EXELLENT value for money. Available and listening customer service. I recommend Direct Assurances. have a good day !!")</f>
        <v>I am satisfied with the service. EXELLENT value for money. Available and listening customer service. I recommend Direct Assurances. have a good day !!</v>
      </c>
    </row>
    <row r="70" ht="15.75" customHeight="1">
      <c r="A70" s="2">
        <v>4.0</v>
      </c>
      <c r="B70" s="2" t="s">
        <v>274</v>
      </c>
      <c r="C70" s="2" t="s">
        <v>275</v>
      </c>
      <c r="D70" s="2" t="s">
        <v>97</v>
      </c>
      <c r="E70" s="2" t="s">
        <v>43</v>
      </c>
      <c r="F70" s="2" t="s">
        <v>15</v>
      </c>
      <c r="G70" s="2" t="s">
        <v>276</v>
      </c>
      <c r="H70" s="2" t="s">
        <v>99</v>
      </c>
      <c r="I70" s="2" t="str">
        <f>IFERROR(__xludf.DUMMYFUNCTION("GOOGLETRANSLATE(C70,""fr"",""en"")"),"Great service I am happy with their affordable and serious service
For insurance at a good price with suitable options.")</f>
        <v>Great service I am happy with their affordable and serious service
For insurance at a good price with suitable options.</v>
      </c>
    </row>
    <row r="71" ht="15.75" customHeight="1">
      <c r="A71" s="2">
        <v>5.0</v>
      </c>
      <c r="B71" s="2" t="s">
        <v>277</v>
      </c>
      <c r="C71" s="2" t="s">
        <v>278</v>
      </c>
      <c r="D71" s="2" t="s">
        <v>13</v>
      </c>
      <c r="E71" s="2" t="s">
        <v>14</v>
      </c>
      <c r="F71" s="2" t="s">
        <v>15</v>
      </c>
      <c r="G71" s="2" t="s">
        <v>279</v>
      </c>
      <c r="H71" s="2" t="s">
        <v>28</v>
      </c>
      <c r="I71" s="2" t="str">
        <f>IFERROR(__xludf.DUMMYFUNCTION("GOOGLETRANSLATE(C71,""fr"",""en"")"),"Prize for half months that my current insurance for the same services.
Ice broken franchise. Easy and clear online subscription.")</f>
        <v>Prize for half months that my current insurance for the same services.
Ice broken franchise. Easy and clear online subscription.</v>
      </c>
    </row>
    <row r="72" ht="15.75" customHeight="1">
      <c r="A72" s="2">
        <v>1.0</v>
      </c>
      <c r="B72" s="2" t="s">
        <v>280</v>
      </c>
      <c r="C72" s="2" t="s">
        <v>281</v>
      </c>
      <c r="D72" s="2" t="s">
        <v>282</v>
      </c>
      <c r="E72" s="2" t="s">
        <v>21</v>
      </c>
      <c r="F72" s="2" t="s">
        <v>15</v>
      </c>
      <c r="G72" s="2" t="s">
        <v>283</v>
      </c>
      <c r="H72" s="2" t="s">
        <v>284</v>
      </c>
      <c r="I72" s="2" t="str">
        <f>IFERROR(__xludf.DUMMYFUNCTION("GOOGLETRANSLATE(C72,""fr"",""en"")"),"I had subscribed with them. They hid on the phone to explain all the details to me in the event of termination (I had explained to them that I was going to have to hang the compulsory mutual insurance for work and that I needed them for a small period onl"&amp;"y). So today I find myself having to pay 2 mutuals for nothing !! If at least they answered the phone and the 2 letters I sent had not ""lost"" I would not be there ...")</f>
        <v>I had subscribed with them. They hid on the phone to explain all the details to me in the event of termination (I had explained to them that I was going to have to hang the compulsory mutual insurance for work and that I needed them for a small period only). So today I find myself having to pay 2 mutuals for nothing !! If at least they answered the phone and the 2 letters I sent had not "lost" I would not be there ...</v>
      </c>
    </row>
    <row r="73" ht="15.75" customHeight="1">
      <c r="A73" s="2">
        <v>4.0</v>
      </c>
      <c r="B73" s="2" t="s">
        <v>285</v>
      </c>
      <c r="C73" s="2" t="s">
        <v>286</v>
      </c>
      <c r="D73" s="2" t="s">
        <v>287</v>
      </c>
      <c r="E73" s="2" t="s">
        <v>14</v>
      </c>
      <c r="F73" s="2" t="s">
        <v>15</v>
      </c>
      <c r="G73" s="2" t="s">
        <v>99</v>
      </c>
      <c r="H73" s="2" t="s">
        <v>99</v>
      </c>
      <c r="I73" s="2" t="str">
        <f>IFERROR(__xludf.DUMMYFUNCTION("GOOGLETRANSLATE(C73,""fr"",""en"")"),"With the pandemic, there could have been gestures on the amount of contributions but on the contrary they increased.
A loyal member for over 40 years")</f>
        <v>With the pandemic, there could have been gestures on the amount of contributions but on the contrary they increased.
A loyal member for over 40 years</v>
      </c>
    </row>
    <row r="74" ht="15.75" customHeight="1">
      <c r="A74" s="2">
        <v>1.0</v>
      </c>
      <c r="B74" s="2" t="s">
        <v>288</v>
      </c>
      <c r="C74" s="2" t="s">
        <v>289</v>
      </c>
      <c r="D74" s="2" t="s">
        <v>196</v>
      </c>
      <c r="E74" s="2" t="s">
        <v>77</v>
      </c>
      <c r="F74" s="2" t="s">
        <v>15</v>
      </c>
      <c r="G74" s="2" t="s">
        <v>290</v>
      </c>
      <c r="H74" s="2" t="s">
        <v>201</v>
      </c>
      <c r="I74" s="2" t="str">
        <f>IFERROR(__xludf.DUMMYFUNCTION("GOOGLETRANSLATE(C74,""fr"",""en"")"),"I have a contract MRH and PJ Matmut
It is a disaster
They are incompetent, refuse the care of claims, their correspondences are in bad faith
They drag the compensation files for years, always unavailable and refusing to apply the guarantees of th"&amp;"e contract")</f>
        <v>I have a contract MRH and PJ Matmut
It is a disaster
They are incompetent, refuse the care of claims, their correspondences are in bad faith
They drag the compensation files for years, always unavailable and refusing to apply the guarantees of the contract</v>
      </c>
    </row>
    <row r="75" ht="15.75" customHeight="1">
      <c r="A75" s="2">
        <v>2.0</v>
      </c>
      <c r="B75" s="2" t="s">
        <v>291</v>
      </c>
      <c r="C75" s="2" t="s">
        <v>292</v>
      </c>
      <c r="D75" s="2" t="s">
        <v>63</v>
      </c>
      <c r="E75" s="2" t="s">
        <v>14</v>
      </c>
      <c r="F75" s="2" t="s">
        <v>15</v>
      </c>
      <c r="G75" s="2" t="s">
        <v>293</v>
      </c>
      <c r="H75" s="2" t="s">
        <v>294</v>
      </c>
      <c r="I75" s="2" t="str">
        <f>IFERROR(__xludf.DUMMYFUNCTION("GOOGLETRANSLATE(C75,""fr"",""en"")"),"Following a recent car accident on the Paris device. I would have appreciated that the multiple people of the maif that I had on the phone informs me that I could benefit from a taxi covered by insurance to return home at 50km. It was the convenience stor"&amp;"e that informed me. In a situation like this, after 3 hours spent on the side of the road, I would have appreciated.")</f>
        <v>Following a recent car accident on the Paris device. I would have appreciated that the multiple people of the maif that I had on the phone informs me that I could benefit from a taxi covered by insurance to return home at 50km. It was the convenience store that informed me. In a situation like this, after 3 hours spent on the side of the road, I would have appreciated.</v>
      </c>
    </row>
    <row r="76" ht="15.75" customHeight="1">
      <c r="A76" s="2">
        <v>4.0</v>
      </c>
      <c r="B76" s="2" t="s">
        <v>295</v>
      </c>
      <c r="C76" s="2" t="s">
        <v>296</v>
      </c>
      <c r="D76" s="2" t="s">
        <v>47</v>
      </c>
      <c r="E76" s="2" t="s">
        <v>14</v>
      </c>
      <c r="F76" s="2" t="s">
        <v>15</v>
      </c>
      <c r="G76" s="2" t="s">
        <v>94</v>
      </c>
      <c r="H76" s="2" t="s">
        <v>17</v>
      </c>
      <c r="I76" s="2" t="str">
        <f>IFERROR(__xludf.DUMMYFUNCTION("GOOGLETRANSLATE(C76,""fr"",""en"")"),"Telephone, competent and efficient assistance
The price seems correct to me, new contract so I cannot judge the management of claims but as I hope I don't have it ...")</f>
        <v>Telephone, competent and efficient assistance
The price seems correct to me, new contract so I cannot judge the management of claims but as I hope I don't have it ...</v>
      </c>
    </row>
    <row r="77" ht="15.75" customHeight="1">
      <c r="A77" s="2">
        <v>1.0</v>
      </c>
      <c r="B77" s="2" t="s">
        <v>297</v>
      </c>
      <c r="C77" s="2" t="s">
        <v>298</v>
      </c>
      <c r="D77" s="2" t="s">
        <v>133</v>
      </c>
      <c r="E77" s="2" t="s">
        <v>77</v>
      </c>
      <c r="F77" s="2" t="s">
        <v>15</v>
      </c>
      <c r="G77" s="2" t="s">
        <v>299</v>
      </c>
      <c r="H77" s="2" t="s">
        <v>300</v>
      </c>
      <c r="I77" s="2" t="str">
        <f>IFERROR(__xludf.DUMMYFUNCTION("GOOGLETRANSLATE(C77,""fr"",""en"")"),"Completely incompetent
It's serious at this point!
More than 10 emails sent without return from them at most. The few returns are repeated requests when I systematically send them everything they ask me! Last reply: they don't find me !!! I've been with"&amp;" them for 7 years!
Report of the assignment for October 22, 2019. I still don't know what to do!")</f>
        <v>Completely incompetent
It's serious at this point!
More than 10 emails sent without return from them at most. The few returns are repeated requests when I systematically send them everything they ask me! Last reply: they don't find me !!! I've been with them for 7 years!
Report of the assignment for October 22, 2019. I still don't know what to do!</v>
      </c>
    </row>
    <row r="78" ht="15.75" customHeight="1">
      <c r="A78" s="2">
        <v>3.0</v>
      </c>
      <c r="B78" s="2" t="s">
        <v>301</v>
      </c>
      <c r="C78" s="2" t="s">
        <v>302</v>
      </c>
      <c r="D78" s="2" t="s">
        <v>47</v>
      </c>
      <c r="E78" s="2" t="s">
        <v>14</v>
      </c>
      <c r="F78" s="2" t="s">
        <v>15</v>
      </c>
      <c r="G78" s="2" t="s">
        <v>303</v>
      </c>
      <c r="H78" s="2" t="s">
        <v>99</v>
      </c>
      <c r="I78" s="2" t="str">
        <f>IFERROR(__xludf.DUMMYFUNCTION("GOOGLETRANSLATE(C78,""fr"",""en"")"),"Hello, the team The service and simple and practical. The prices are affordable the team responds quickly and with clarity to the information requested. Satisfied with the service.")</f>
        <v>Hello, the team The service and simple and practical. The prices are affordable the team responds quickly and with clarity to the information requested. Satisfied with the service.</v>
      </c>
    </row>
    <row r="79" ht="15.75" customHeight="1">
      <c r="A79" s="2">
        <v>5.0</v>
      </c>
      <c r="B79" s="2" t="s">
        <v>304</v>
      </c>
      <c r="C79" s="2" t="s">
        <v>305</v>
      </c>
      <c r="D79" s="2" t="s">
        <v>13</v>
      </c>
      <c r="E79" s="2" t="s">
        <v>14</v>
      </c>
      <c r="F79" s="2" t="s">
        <v>15</v>
      </c>
      <c r="G79" s="2" t="s">
        <v>273</v>
      </c>
      <c r="H79" s="2" t="s">
        <v>28</v>
      </c>
      <c r="I79" s="2" t="str">
        <f>IFERROR(__xludf.DUMMYFUNCTION("GOOGLETRANSLATE(C79,""fr"",""en"")"),"Very clear and precise and courteous welcome good knowledge of the system
I recommend this insurance for my friends and family
I am very happy m. Stay listening and does not get angry
We keep control and we can change without problem")</f>
        <v>Very clear and precise and courteous welcome good knowledge of the system
I recommend this insurance for my friends and family
I am very happy m. Stay listening and does not get angry
We keep control and we can change without problem</v>
      </c>
    </row>
    <row r="80" ht="15.75" customHeight="1">
      <c r="A80" s="2">
        <v>1.0</v>
      </c>
      <c r="B80" s="2" t="s">
        <v>306</v>
      </c>
      <c r="C80" s="2" t="s">
        <v>307</v>
      </c>
      <c r="D80" s="2" t="s">
        <v>308</v>
      </c>
      <c r="E80" s="2" t="s">
        <v>43</v>
      </c>
      <c r="F80" s="2" t="s">
        <v>15</v>
      </c>
      <c r="G80" s="2" t="s">
        <v>309</v>
      </c>
      <c r="H80" s="2" t="s">
        <v>60</v>
      </c>
      <c r="I80" s="2" t="str">
        <f>IFERROR(__xludf.DUMMYFUNCTION("GOOGLETRANSLATE(C80,""fr"",""en"")"),"After 10 years of punctual insurance at the mutual biker, I would like to reward a new motorcycle.
And the amazement it does not take up my auto bonus of 0.50 but an anterior motorcycle bonus !!!
Landy advertising qd they
Say that they resume the
Auto"&amp;" bonus !!!!
After call they answer me that it is like that and will not do
 Nothing more because I did not have a motorcycle for qq months.
Super response to a Society of +
10 years .
So for them a biker with no experience we resume his auto bonus an"&amp;"d if we have already had a motorcycle it's + dear because we take his motorcycle bonus !!!
I go to competition and not bonus concerns.
Price divided by 2 !!!
Bye bye mutual biker")</f>
        <v>After 10 years of punctual insurance at the mutual biker, I would like to reward a new motorcycle.
And the amazement it does not take up my auto bonus of 0.50 but an anterior motorcycle bonus !!!
Landy advertising qd they
Say that they resume the
Auto bonus !!!!
After call they answer me that it is like that and will not do
 Nothing more because I did not have a motorcycle for qq months.
Super response to a Society of +
10 years .
So for them a biker with no experience we resume his auto bonus and if we have already had a motorcycle it's + dear because we take his motorcycle bonus !!!
I go to competition and not bonus concerns.
Price divided by 2 !!!
Bye bye mutual biker</v>
      </c>
    </row>
    <row r="81" ht="15.75" customHeight="1">
      <c r="A81" s="2">
        <v>4.0</v>
      </c>
      <c r="B81" s="2" t="s">
        <v>310</v>
      </c>
      <c r="C81" s="2" t="s">
        <v>311</v>
      </c>
      <c r="D81" s="2" t="s">
        <v>312</v>
      </c>
      <c r="E81" s="2" t="s">
        <v>43</v>
      </c>
      <c r="F81" s="2" t="s">
        <v>15</v>
      </c>
      <c r="G81" s="2" t="s">
        <v>313</v>
      </c>
      <c r="H81" s="2" t="s">
        <v>161</v>
      </c>
      <c r="I81" s="2" t="str">
        <f>IFERROR(__xludf.DUMMYFUNCTION("GOOGLETRANSLATE(C81,""fr"",""en"")"),"Advisor to a very patient pleasant understandable not all of the all of all of it or that we hear a breath or other we are good when we ask him any question thank you very much")</f>
        <v>Advisor to a very patient pleasant understandable not all of the all of all of it or that we hear a breath or other we are good when we ask him any question thank you very much</v>
      </c>
    </row>
    <row r="82" ht="15.75" customHeight="1">
      <c r="A82" s="2">
        <v>3.0</v>
      </c>
      <c r="B82" s="2" t="s">
        <v>314</v>
      </c>
      <c r="C82" s="2" t="s">
        <v>315</v>
      </c>
      <c r="D82" s="2" t="s">
        <v>42</v>
      </c>
      <c r="E82" s="2" t="s">
        <v>43</v>
      </c>
      <c r="F82" s="2" t="s">
        <v>15</v>
      </c>
      <c r="G82" s="2" t="s">
        <v>316</v>
      </c>
      <c r="H82" s="2" t="s">
        <v>23</v>
      </c>
      <c r="I82" s="2" t="str">
        <f>IFERROR(__xludf.DUMMYFUNCTION("GOOGLETRANSLATE(C82,""fr"",""en"")"),"My parking scooter was overturned by a car that is done and seeing his blunder fled ... Declaration of a claim, I am told no need to file a complaint (I had number of the plate and a witness), and After visiting the expert, an economically irreparable sco"&amp;"oter. Value of the scooter estimated 500 € and quote repairs 980 € before disassembly ... I want to keep my scooter rolling perfectly, only the body was impacted by the fall ... no news when I ask to play legal protection to obtain The total amount of the"&amp;" repair ... Graying card frozen by the prefecture and since ... Blackout ... We make fun of me and the agreement between insurers is a bit big ...")</f>
        <v>My parking scooter was overturned by a car that is done and seeing his blunder fled ... Declaration of a claim, I am told no need to file a complaint (I had number of the plate and a witness), and After visiting the expert, an economically irreparable scooter. Value of the scooter estimated 500 € and quote repairs 980 € before disassembly ... I want to keep my scooter rolling perfectly, only the body was impacted by the fall ... no news when I ask to play legal protection to obtain The total amount of the repair ... Graying card frozen by the prefecture and since ... Blackout ... We make fun of me and the agreement between insurers is a bit big ...</v>
      </c>
    </row>
    <row r="83" ht="15.75" customHeight="1">
      <c r="A83" s="2">
        <v>4.0</v>
      </c>
      <c r="B83" s="2" t="s">
        <v>317</v>
      </c>
      <c r="C83" s="2" t="s">
        <v>318</v>
      </c>
      <c r="D83" s="2" t="s">
        <v>47</v>
      </c>
      <c r="E83" s="2" t="s">
        <v>14</v>
      </c>
      <c r="F83" s="2" t="s">
        <v>15</v>
      </c>
      <c r="G83" s="2" t="s">
        <v>319</v>
      </c>
      <c r="H83" s="2" t="s">
        <v>121</v>
      </c>
      <c r="I83" s="2" t="str">
        <f>IFERROR(__xludf.DUMMYFUNCTION("GOOGLETRANSLATE(C83,""fr"",""en"")"),"I particularly thank my Lucie advisor for her efficiency her responsiveness and her patient .... she is a advisor who is very attentive to her client .... I am very happy with her service")</f>
        <v>I particularly thank my Lucie advisor for her efficiency her responsiveness and her patient .... she is a advisor who is very attentive to her client .... I am very happy with her service</v>
      </c>
    </row>
    <row r="84" ht="15.75" customHeight="1">
      <c r="A84" s="2">
        <v>1.0</v>
      </c>
      <c r="B84" s="2" t="s">
        <v>320</v>
      </c>
      <c r="C84" s="2" t="s">
        <v>321</v>
      </c>
      <c r="D84" s="2" t="s">
        <v>133</v>
      </c>
      <c r="E84" s="2" t="s">
        <v>322</v>
      </c>
      <c r="F84" s="2" t="s">
        <v>15</v>
      </c>
      <c r="G84" s="2" t="s">
        <v>323</v>
      </c>
      <c r="H84" s="2" t="s">
        <v>220</v>
      </c>
      <c r="I84" s="2" t="str">
        <f>IFERROR(__xludf.DUMMYFUNCTION("GOOGLETRANSLATE(C84,""fr"",""en"")"),"I totally decide this group. Incompetent and disrespectful advisers (not answer to emails) and in bad faith, very opaque platform (very limited historical platform not to say non -existent), elevated price. They are very strong to start customers and prom"&amp;"ise them profitability rates that have nothing to do with the real rates that you will benefit from.")</f>
        <v>I totally decide this group. Incompetent and disrespectful advisers (not answer to emails) and in bad faith, very opaque platform (very limited historical platform not to say non -existent), elevated price. They are very strong to start customers and promise them profitability rates that have nothing to do with the real rates that you will benefit from.</v>
      </c>
    </row>
    <row r="85" ht="15.75" customHeight="1">
      <c r="A85" s="2">
        <v>1.0</v>
      </c>
      <c r="B85" s="2" t="s">
        <v>324</v>
      </c>
      <c r="C85" s="2" t="s">
        <v>325</v>
      </c>
      <c r="D85" s="2" t="s">
        <v>253</v>
      </c>
      <c r="E85" s="2" t="s">
        <v>21</v>
      </c>
      <c r="F85" s="2" t="s">
        <v>15</v>
      </c>
      <c r="G85" s="2" t="s">
        <v>326</v>
      </c>
      <c r="H85" s="2" t="s">
        <v>60</v>
      </c>
      <c r="I85" s="2" t="str">
        <f>IFERROR(__xludf.DUMMYFUNCTION("GOOGLETRANSLATE(C85,""fr"",""en"")"),"Subscribed a life insurance contract with fixed monthly payment and fixed capital not revaluable over time, but since this year he has decided to increase my monthly payments by 20% but on the other hand not touching the death capital ??? And moreover no "&amp;"letter to announce this increase. Obviously compliance with the signed contract is not their workhorse.")</f>
        <v>Subscribed a life insurance contract with fixed monthly payment and fixed capital not revaluable over time, but since this year he has decided to increase my monthly payments by 20% but on the other hand not touching the death capital ??? And moreover no letter to announce this increase. Obviously compliance with the signed contract is not their workhorse.</v>
      </c>
    </row>
    <row r="86" ht="15.75" customHeight="1">
      <c r="A86" s="2">
        <v>1.0</v>
      </c>
      <c r="B86" s="2" t="s">
        <v>327</v>
      </c>
      <c r="C86" s="2" t="s">
        <v>328</v>
      </c>
      <c r="D86" s="2" t="s">
        <v>329</v>
      </c>
      <c r="E86" s="2" t="s">
        <v>138</v>
      </c>
      <c r="F86" s="2" t="s">
        <v>15</v>
      </c>
      <c r="G86" s="2" t="s">
        <v>330</v>
      </c>
      <c r="H86" s="2" t="s">
        <v>330</v>
      </c>
      <c r="I86" s="2" t="str">
        <f>IFERROR(__xludf.DUMMYFUNCTION("GOOGLETRANSLATE(C86,""fr"",""en"")"),"My wife and I are 72 years old and we have a CNP provident contract for 8 and a half years. At the start it had been told that the monthly premiums were fixed and indeed this was the case until now. However, we have just received a letter from the CNP whi"&amp;"ch announces that the demographic evolution and the increase in degenerative diseases leads them to increase the monthly contributions by 15 percent. They justify their decision on a sentence lost in the general conditions saying that the contributions ar"&amp;"e revisable. But in the same paragraph they also write that contributions are fixed over the period without defining what they hear by period. In addition under the special conditions communicated to the subscription they write that the following life con"&amp;"tributions will be for example 30 euros per month, which supposes a constant premium, and do not speak of a possible revision. At our age we will no longer be able to take out a new provident contract and therefore all that we have paid so far, around 6,4"&amp;"00 euros, in anticipation of a possible dependence when we are old, is questioned. Either we stop these CNP contracts, we will lose any pension coverage and we will have contributed for nothing, or we accept the increase but then what will prevent them fr"&amp;"om the CNP from re-increasing the monthly premiums every year and why No 20 or 30 percent. One has the impression of having been trapped. I have never seen an insurer suddenly increase the contribution of 15 percent after almost 9 years of unchanged price"&amp;"s. When I called the CNP the person I had told me that he had received many very unhappy people who are in the same situation. I sent a letter to the CNP and I warned the UFC what to choose. If many of us go up this info to the UFC an investigation will b"&amp;"e launched. I find it all lamentable.")</f>
        <v>My wife and I are 72 years old and we have a CNP provident contract for 8 and a half years. At the start it had been told that the monthly premiums were fixed and indeed this was the case until now. However, we have just received a letter from the CNP which announces that the demographic evolution and the increase in degenerative diseases leads them to increase the monthly contributions by 15 percent. They justify their decision on a sentence lost in the general conditions saying that the contributions are revisable. But in the same paragraph they also write that contributions are fixed over the period without defining what they hear by period. In addition under the special conditions communicated to the subscription they write that the following life contributions will be for example 30 euros per month, which supposes a constant premium, and do not speak of a possible revision. At our age we will no longer be able to take out a new provident contract and therefore all that we have paid so far, around 6,400 euros, in anticipation of a possible dependence when we are old, is questioned. Either we stop these CNP contracts, we will lose any pension coverage and we will have contributed for nothing, or we accept the increase but then what will prevent them from the CNP from re-increasing the monthly premiums every year and why No 20 or 30 percent. One has the impression of having been trapped. I have never seen an insurer suddenly increase the contribution of 15 percent after almost 9 years of unchanged prices. When I called the CNP the person I had told me that he had received many very unhappy people who are in the same situation. I sent a letter to the CNP and I warned the UFC what to choose. If many of us go up this info to the UFC an investigation will be launched. I find it all lamentable.</v>
      </c>
    </row>
    <row r="87" ht="15.75" customHeight="1">
      <c r="A87" s="2">
        <v>2.0</v>
      </c>
      <c r="B87" s="2" t="s">
        <v>331</v>
      </c>
      <c r="C87" s="2" t="s">
        <v>332</v>
      </c>
      <c r="D87" s="2" t="s">
        <v>72</v>
      </c>
      <c r="E87" s="2" t="s">
        <v>21</v>
      </c>
      <c r="F87" s="2" t="s">
        <v>15</v>
      </c>
      <c r="G87" s="2" t="s">
        <v>333</v>
      </c>
      <c r="H87" s="2" t="s">
        <v>334</v>
      </c>
      <c r="I87" s="2" t="str">
        <f>IFERROR(__xludf.DUMMYFUNCTION("GOOGLETRANSLATE(C87,""fr"",""en"")"),"Not at all satisfied with this mutual!")</f>
        <v>Not at all satisfied with this mutual!</v>
      </c>
    </row>
    <row r="88" ht="15.75" customHeight="1">
      <c r="A88" s="2">
        <v>3.0</v>
      </c>
      <c r="B88" s="2" t="s">
        <v>335</v>
      </c>
      <c r="C88" s="2" t="s">
        <v>336</v>
      </c>
      <c r="D88" s="2" t="s">
        <v>47</v>
      </c>
      <c r="E88" s="2" t="s">
        <v>14</v>
      </c>
      <c r="F88" s="2" t="s">
        <v>15</v>
      </c>
      <c r="G88" s="2" t="s">
        <v>337</v>
      </c>
      <c r="H88" s="2" t="s">
        <v>338</v>
      </c>
      <c r="I88" s="2" t="str">
        <f>IFERROR(__xludf.DUMMYFUNCTION("GOOGLETRANSLATE(C88,""fr"",""en"")"),"I am satisfied. Good contact, clear information, speed and efficiency. Everything is in place and I thank you. I am at your disposal if you need additional information when you have my documents.
Cordially.")</f>
        <v>I am satisfied. Good contact, clear information, speed and efficiency. Everything is in place and I thank you. I am at your disposal if you need additional information when you have my documents.
Cordially.</v>
      </c>
    </row>
    <row r="89" ht="15.75" customHeight="1">
      <c r="A89" s="2">
        <v>1.0</v>
      </c>
      <c r="B89" s="2" t="s">
        <v>339</v>
      </c>
      <c r="C89" s="2" t="s">
        <v>340</v>
      </c>
      <c r="D89" s="2" t="s">
        <v>341</v>
      </c>
      <c r="E89" s="2" t="s">
        <v>14</v>
      </c>
      <c r="F89" s="2" t="s">
        <v>15</v>
      </c>
      <c r="G89" s="2" t="s">
        <v>342</v>
      </c>
      <c r="H89" s="2" t="s">
        <v>343</v>
      </c>
      <c r="I89" s="2" t="str">
        <f>IFERROR(__xludf.DUMMYFUNCTION("GOOGLETRANSLATE(C89,""fr"",""en"")"),"I am extremely disappointed with the Maaf agency in Bethune.
Indeed after an appointment to review the pricing of my insurance I also wanted a quote to ensure a motorhome and a multi-risk housing. The advisor told me that he was not a carpet merchant and"&amp;" put me outside.
I have been a client for many years I have the screw bonus and I am a customer client. This gentleman pushes me towards the exit and disrespected me he was very aggressive. This gentleman has nothing to do in the trade. Here is the image"&amp;" of the maaf.
")</f>
        <v>I am extremely disappointed with the Maaf agency in Bethune.
Indeed after an appointment to review the pricing of my insurance I also wanted a quote to ensure a motorhome and a multi-risk housing. The advisor told me that he was not a carpet merchant and put me outside.
I have been a client for many years I have the screw bonus and I am a customer client. This gentleman pushes me towards the exit and disrespected me he was very aggressive. This gentleman has nothing to do in the trade. Here is the image of the maaf.
</v>
      </c>
    </row>
    <row r="90" ht="15.75" customHeight="1">
      <c r="A90" s="2">
        <v>1.0</v>
      </c>
      <c r="B90" s="2" t="s">
        <v>344</v>
      </c>
      <c r="C90" s="2" t="s">
        <v>345</v>
      </c>
      <c r="D90" s="2" t="s">
        <v>13</v>
      </c>
      <c r="E90" s="2" t="s">
        <v>14</v>
      </c>
      <c r="F90" s="2" t="s">
        <v>15</v>
      </c>
      <c r="G90" s="2" t="s">
        <v>79</v>
      </c>
      <c r="H90" s="2" t="s">
        <v>79</v>
      </c>
      <c r="I90" s="2" t="str">
        <f>IFERROR(__xludf.DUMMYFUNCTION("GOOGLETRANSLATE(C90,""fr"",""en"")"),"TO FLEE !!!! After the sale of the vehicle the amount of insurance has never been rambourse. With a non -responsible disaster after repair has been 4 months and I still do not regulate the invoice ... I say ""I have to wait""")</f>
        <v>TO FLEE !!!! After the sale of the vehicle the amount of insurance has never been rambourse. With a non -responsible disaster after repair has been 4 months and I still do not regulate the invoice ... I say "I have to wait"</v>
      </c>
    </row>
    <row r="91" ht="15.75" customHeight="1">
      <c r="A91" s="2">
        <v>4.0</v>
      </c>
      <c r="B91" s="2" t="s">
        <v>346</v>
      </c>
      <c r="C91" s="2" t="s">
        <v>347</v>
      </c>
      <c r="D91" s="2" t="s">
        <v>13</v>
      </c>
      <c r="E91" s="2" t="s">
        <v>14</v>
      </c>
      <c r="F91" s="2" t="s">
        <v>15</v>
      </c>
      <c r="G91" s="2" t="s">
        <v>146</v>
      </c>
      <c r="H91" s="2" t="s">
        <v>87</v>
      </c>
      <c r="I91" s="2" t="str">
        <f>IFERROR(__xludf.DUMMYFUNCTION("GOOGLETRANSLATE(C91,""fr"",""en"")"),"The prices suit me; the service is to be seen over time, especially in the event of a dispute or accident.
Registration is quick and easy
Notice following a 1st registration")</f>
        <v>The prices suit me; the service is to be seen over time, especially in the event of a dispute or accident.
Registration is quick and easy
Notice following a 1st registration</v>
      </c>
    </row>
    <row r="92" ht="15.75" customHeight="1">
      <c r="A92" s="2">
        <v>2.0</v>
      </c>
      <c r="B92" s="2" t="s">
        <v>348</v>
      </c>
      <c r="C92" s="2" t="s">
        <v>349</v>
      </c>
      <c r="D92" s="2" t="s">
        <v>13</v>
      </c>
      <c r="E92" s="2" t="s">
        <v>14</v>
      </c>
      <c r="F92" s="2" t="s">
        <v>15</v>
      </c>
      <c r="G92" s="2" t="s">
        <v>187</v>
      </c>
      <c r="H92" s="2" t="s">
        <v>28</v>
      </c>
      <c r="I92" s="2" t="str">
        <f>IFERROR(__xludf.DUMMYFUNCTION("GOOGLETRANSLATE(C92,""fr"",""en"")"),"I am not satisfied with the price ... but very good site very fast to make sure, super practical, but the price remains to be reviewed because I find it a little high.")</f>
        <v>I am not satisfied with the price ... but very good site very fast to make sure, super practical, but the price remains to be reviewed because I find it a little high.</v>
      </c>
    </row>
    <row r="93" ht="15.75" customHeight="1">
      <c r="A93" s="2">
        <v>1.0</v>
      </c>
      <c r="B93" s="2" t="s">
        <v>350</v>
      </c>
      <c r="C93" s="2" t="s">
        <v>351</v>
      </c>
      <c r="D93" s="2" t="s">
        <v>133</v>
      </c>
      <c r="E93" s="2" t="s">
        <v>14</v>
      </c>
      <c r="F93" s="2" t="s">
        <v>15</v>
      </c>
      <c r="G93" s="2" t="s">
        <v>352</v>
      </c>
      <c r="H93" s="2" t="s">
        <v>87</v>
      </c>
      <c r="I93" s="2" t="str">
        <f>IFERROR(__xludf.DUMMYFUNCTION("GOOGLETRANSLATE(C93,""fr"",""en"")"),"I took cancellation insurance with Allianz during a trip with Ouigo. When I share my request for cancellation, they tell me that you have to justify the reason for the cancellation. Apparently the confinement due to the covid and the prohibition to get ou"&amp;"t of my region is not a sufficient reason ...
Do not get fooled and do not take this insurance!")</f>
        <v>I took cancellation insurance with Allianz during a trip with Ouigo. When I share my request for cancellation, they tell me that you have to justify the reason for the cancellation. Apparently the confinement due to the covid and the prohibition to get out of my region is not a sufficient reason ...
Do not get fooled and do not take this insurance!</v>
      </c>
    </row>
    <row r="94" ht="15.75" customHeight="1">
      <c r="A94" s="2">
        <v>1.0</v>
      </c>
      <c r="B94" s="2" t="s">
        <v>353</v>
      </c>
      <c r="C94" s="2" t="s">
        <v>354</v>
      </c>
      <c r="D94" s="2" t="s">
        <v>42</v>
      </c>
      <c r="E94" s="2" t="s">
        <v>43</v>
      </c>
      <c r="F94" s="2" t="s">
        <v>15</v>
      </c>
      <c r="G94" s="2" t="s">
        <v>355</v>
      </c>
      <c r="H94" s="2" t="s">
        <v>201</v>
      </c>
      <c r="I94" s="2" t="str">
        <f>IFERROR(__xludf.DUMMYFUNCTION("GOOGLETRANSLATE(C94,""fr"",""en"")"),"Rolling in R1200R (from 2008 ABS, value € 7,000) for 12 years, insured for the said motorcycle at AMV for the same duration, I pay € 735 in all risks with 0.50 of bonuses and no claim over 12 years, I have been riding for 30 year. One of my friends who ha"&amp;"dn't been riding for 25 years, buys a 1200gs from 2016 (value € 14,000) is found with 0.64 bonuses (???) and pays € 643 !!! Find the mistake…. I left this month at the Mutuelle des Motards, their all risks was € 338 !!!! I split a letter to AMV by asking "&amp;"for accounts, my replied 10 days later (they must answer in 3 days, no answer in 10 days I terminated), the person I had on the phone n 'had nothing to say to me, just not happy because I abbreviated the conversation.
Let it be said to be at AMV !!!")</f>
        <v>Rolling in R1200R (from 2008 ABS, value € 7,000) for 12 years, insured for the said motorcycle at AMV for the same duration, I pay € 735 in all risks with 0.50 of bonuses and no claim over 12 years, I have been riding for 30 year. One of my friends who hadn't been riding for 25 years, buys a 1200gs from 2016 (value € 14,000) is found with 0.64 bonuses (???) and pays € 643 !!! Find the mistake…. I left this month at the Mutuelle des Motards, their all risks was € 338 !!!! I split a letter to AMV by asking for accounts, my replied 10 days later (they must answer in 3 days, no answer in 10 days I terminated), the person I had on the phone n 'had nothing to say to me, just not happy because I abbreviated the conversation.
Let it be said to be at AMV !!!</v>
      </c>
    </row>
    <row r="95" ht="15.75" customHeight="1">
      <c r="A95" s="2">
        <v>4.0</v>
      </c>
      <c r="B95" s="2" t="s">
        <v>356</v>
      </c>
      <c r="C95" s="2" t="s">
        <v>357</v>
      </c>
      <c r="D95" s="2" t="s">
        <v>47</v>
      </c>
      <c r="E95" s="2" t="s">
        <v>14</v>
      </c>
      <c r="F95" s="2" t="s">
        <v>15</v>
      </c>
      <c r="G95" s="2" t="s">
        <v>358</v>
      </c>
      <c r="H95" s="2" t="s">
        <v>294</v>
      </c>
      <c r="I95" s="2" t="str">
        <f>IFERROR(__xludf.DUMMYFUNCTION("GOOGLETRANSLATE(C95,""fr"",""en"")"),"Very available. Very fast response from them. Always courteous on the phone.")</f>
        <v>Very available. Very fast response from them. Always courteous on the phone.</v>
      </c>
    </row>
    <row r="96" ht="15.75" customHeight="1">
      <c r="A96" s="2">
        <v>1.0</v>
      </c>
      <c r="B96" s="2" t="s">
        <v>359</v>
      </c>
      <c r="C96" s="2" t="s">
        <v>360</v>
      </c>
      <c r="D96" s="2" t="s">
        <v>361</v>
      </c>
      <c r="E96" s="2" t="s">
        <v>159</v>
      </c>
      <c r="F96" s="2" t="s">
        <v>15</v>
      </c>
      <c r="G96" s="2" t="s">
        <v>362</v>
      </c>
      <c r="H96" s="2" t="s">
        <v>69</v>
      </c>
      <c r="I96" s="2" t="str">
        <f>IFERROR(__xludf.DUMMYFUNCTION("GOOGLETRANSLATE(C96,""fr"",""en"")"),"I assured my dog ​​in July 2021. I have not tested the reimbursements very fortunately for the moment my dog ​​is in perfect health.
However, contacting them is a real obstacle course.
By phone: an endless wait.
By email, we receive stereotypical ans"&amp;"wers.
No way to consult your account on the Internet ... I was told that it was not possible
It is therefore necessary to go through the application: ""my companion"". I have been trying since July to create my account but I receive an error message eac"&amp;"h time. The answer that I am given is always the same: standard message always sending me the same activation code.
One of the signs of madness is to always start the same errors again by believing that it will work ... so I wonder if there is someone wh"&amp;"o manages this insurance.
Without a doubt, this insurer will receive my termination letter 2 months before the anniversary date!")</f>
        <v>I assured my dog ​​in July 2021. I have not tested the reimbursements very fortunately for the moment my dog ​​is in perfect health.
However, contacting them is a real obstacle course.
By phone: an endless wait.
By email, we receive stereotypical answers.
No way to consult your account on the Internet ... I was told that it was not possible
It is therefore necessary to go through the application: "my companion". I have been trying since July to create my account but I receive an error message each time. The answer that I am given is always the same: standard message always sending me the same activation code.
One of the signs of madness is to always start the same errors again by believing that it will work ... so I wonder if there is someone who manages this insurance.
Without a doubt, this insurer will receive my termination letter 2 months before the anniversary date!</v>
      </c>
    </row>
    <row r="97" ht="15.75" customHeight="1">
      <c r="A97" s="2">
        <v>5.0</v>
      </c>
      <c r="B97" s="2" t="s">
        <v>363</v>
      </c>
      <c r="C97" s="2" t="s">
        <v>364</v>
      </c>
      <c r="D97" s="2" t="s">
        <v>13</v>
      </c>
      <c r="E97" s="2" t="s">
        <v>14</v>
      </c>
      <c r="F97" s="2" t="s">
        <v>15</v>
      </c>
      <c r="G97" s="2" t="s">
        <v>16</v>
      </c>
      <c r="H97" s="2" t="s">
        <v>17</v>
      </c>
      <c r="I97" s="2" t="str">
        <f>IFERROR(__xludf.DUMMYFUNCTION("GOOGLETRANSLATE(C97,""fr"",""en"")"),"I am satisfied with the information and the service rendered. What made me change my insurance is the price and the guarantees. I hope not to be mistaken about the follow -up.
Very good contact with the person who received me")</f>
        <v>I am satisfied with the information and the service rendered. What made me change my insurance is the price and the guarantees. I hope not to be mistaken about the follow -up.
Very good contact with the person who received me</v>
      </c>
    </row>
    <row r="98" ht="15.75" customHeight="1">
      <c r="A98" s="2">
        <v>1.0</v>
      </c>
      <c r="B98" s="2" t="s">
        <v>365</v>
      </c>
      <c r="C98" s="2" t="s">
        <v>366</v>
      </c>
      <c r="D98" s="2" t="s">
        <v>253</v>
      </c>
      <c r="E98" s="2" t="s">
        <v>21</v>
      </c>
      <c r="F98" s="2" t="s">
        <v>15</v>
      </c>
      <c r="G98" s="2" t="s">
        <v>367</v>
      </c>
      <c r="H98" s="2" t="s">
        <v>165</v>
      </c>
      <c r="I98" s="2" t="str">
        <f>IFERROR(__xludf.DUMMYFUNCTION("GOOGLETRANSLATE(C98,""fr"",""en"")"),"Following an abusive canvassing with my brother it is found with 3 contracts at Néoliane in less than a year! Monthly cost 60 euros for duplicate contracts since it is already members for the same guarantees elsewhere! I called for customer service and de"&amp;"spite having explained that my brother had been abused and that he was in a situation of weakness; He has been undergoing heavy medical treatment for over a year following a psychological shock. I also explained that he had low incomes -800 euros per mont"&amp;"h - and that the samples were going to be rejected by the bank. But all that I have been answered is that Néoliane was not responsible because he had been contacted by a broker -Assrances and mutuals from the South in Marseille -that contracts would be te"&amp;"rminated at the deadline -so in several month- and make a complaint by mail by providing a medical certificate. In the meantime if my brother finds himself in a catastrophic situation because this broker made him take insurance with other companies! I hop"&amp;"e the latter will be more understanding and more human")</f>
        <v>Following an abusive canvassing with my brother it is found with 3 contracts at Néoliane in less than a year! Monthly cost 60 euros for duplicate contracts since it is already members for the same guarantees elsewhere! I called for customer service and despite having explained that my brother had been abused and that he was in a situation of weakness; He has been undergoing heavy medical treatment for over a year following a psychological shock. I also explained that he had low incomes -800 euros per month - and that the samples were going to be rejected by the bank. But all that I have been answered is that Néoliane was not responsible because he had been contacted by a broker -Assrances and mutuals from the South in Marseille -that contracts would be terminated at the deadline -so in several month- and make a complaint by mail by providing a medical certificate. In the meantime if my brother finds himself in a catastrophic situation because this broker made him take insurance with other companies! I hope the latter will be more understanding and more human</v>
      </c>
    </row>
    <row r="99" ht="15.75" customHeight="1">
      <c r="A99" s="2">
        <v>2.0</v>
      </c>
      <c r="B99" s="2" t="s">
        <v>368</v>
      </c>
      <c r="C99" s="2" t="s">
        <v>369</v>
      </c>
      <c r="D99" s="2" t="s">
        <v>13</v>
      </c>
      <c r="E99" s="2" t="s">
        <v>14</v>
      </c>
      <c r="F99" s="2" t="s">
        <v>15</v>
      </c>
      <c r="G99" s="2" t="s">
        <v>370</v>
      </c>
      <c r="H99" s="2" t="s">
        <v>245</v>
      </c>
      <c r="I99" s="2" t="str">
        <f>IFERROR(__xludf.DUMMYFUNCTION("GOOGLETRANSLATE(C99,""fr"",""en"")"),"Company without guarantees baked franchise very very limited assistance and incompetent customer service.")</f>
        <v>Company without guarantees baked franchise very very limited assistance and incompetent customer service.</v>
      </c>
    </row>
    <row r="100" ht="15.75" customHeight="1">
      <c r="A100" s="2">
        <v>4.0</v>
      </c>
      <c r="B100" s="2" t="s">
        <v>371</v>
      </c>
      <c r="C100" s="2" t="s">
        <v>372</v>
      </c>
      <c r="D100" s="2" t="s">
        <v>287</v>
      </c>
      <c r="E100" s="2" t="s">
        <v>14</v>
      </c>
      <c r="F100" s="2" t="s">
        <v>15</v>
      </c>
      <c r="G100" s="2" t="s">
        <v>373</v>
      </c>
      <c r="H100" s="2" t="s">
        <v>28</v>
      </c>
      <c r="I100" s="2" t="str">
        <f>IFERROR(__xludf.DUMMYFUNCTION("GOOGLETRANSLATE(C100,""fr"",""en"")"),"Online services are well ""thought"", it is intuitive and fast
A single downside, a ""direct"" printing of certificates is not possible ... You have to transmit the certificate on an email box to then print it ... Too bad")</f>
        <v>Online services are well "thought", it is intuitive and fast
A single downside, a "direct" printing of certificates is not possible ... You have to transmit the certificate on an email box to then print it ... Too bad</v>
      </c>
    </row>
    <row r="101" ht="15.75" customHeight="1">
      <c r="A101" s="2">
        <v>1.0</v>
      </c>
      <c r="B101" s="2" t="s">
        <v>374</v>
      </c>
      <c r="C101" s="2" t="s">
        <v>375</v>
      </c>
      <c r="D101" s="2" t="s">
        <v>253</v>
      </c>
      <c r="E101" s="2" t="s">
        <v>21</v>
      </c>
      <c r="F101" s="2" t="s">
        <v>15</v>
      </c>
      <c r="G101" s="2" t="s">
        <v>376</v>
      </c>
      <c r="H101" s="2" t="s">
        <v>161</v>
      </c>
      <c r="I101" s="2" t="str">
        <f>IFERROR(__xludf.DUMMYFUNCTION("GOOGLETRANSLATE(C101,""fr"",""en"")"),"A mutual that takes more than 2 months to reimburse. More expensive services than the average.
No document transmission space. No number to attach them, do not respond to emails and do not process requests for web modifications.")</f>
        <v>A mutual that takes more than 2 months to reimburse. More expensive services than the average.
No document transmission space. No number to attach them, do not respond to emails and do not process requests for web modifications.</v>
      </c>
    </row>
    <row r="102" ht="15.75" customHeight="1">
      <c r="A102" s="2">
        <v>3.0</v>
      </c>
      <c r="B102" s="2" t="s">
        <v>377</v>
      </c>
      <c r="C102" s="2" t="s">
        <v>378</v>
      </c>
      <c r="D102" s="2" t="s">
        <v>13</v>
      </c>
      <c r="E102" s="2" t="s">
        <v>14</v>
      </c>
      <c r="F102" s="2" t="s">
        <v>15</v>
      </c>
      <c r="G102" s="2" t="s">
        <v>379</v>
      </c>
      <c r="H102" s="2" t="s">
        <v>99</v>
      </c>
      <c r="I102" s="2" t="str">
        <f>IFERROR(__xludf.DUMMYFUNCTION("GOOGLETRANSLATE(C102,""fr"",""en"")"),"hello
I am quite received to see that despite a drastic reduction in the use of specific vehicles in France in 2020 and 2021 (Covid pandemic), the price of insurance premiums has not dropped. It is indisputable that the French have bcp less rolled and th"&amp;"at the number of claims has decreased sharply.")</f>
        <v>hello
I am quite received to see that despite a drastic reduction in the use of specific vehicles in France in 2020 and 2021 (Covid pandemic), the price of insurance premiums has not dropped. It is indisputable that the French have bcp less rolled and that the number of claims has decreased sharply.</v>
      </c>
    </row>
    <row r="103" ht="15.75" customHeight="1">
      <c r="A103" s="2">
        <v>1.0</v>
      </c>
      <c r="B103" s="2" t="s">
        <v>380</v>
      </c>
      <c r="C103" s="2" t="s">
        <v>381</v>
      </c>
      <c r="D103" s="2" t="s">
        <v>137</v>
      </c>
      <c r="E103" s="2" t="s">
        <v>138</v>
      </c>
      <c r="F103" s="2" t="s">
        <v>15</v>
      </c>
      <c r="G103" s="2" t="s">
        <v>236</v>
      </c>
      <c r="H103" s="2" t="s">
        <v>201</v>
      </c>
      <c r="I103" s="2" t="str">
        <f>IFERROR(__xludf.DUMMYFUNCTION("GOOGLETRANSLATE(C103,""fr"",""en"")"),"To avoid. Slowness in reimbursements. As long as you have nothing everything is fine. The day you need it is where problems start. To date I have still not received my member card for the year 2020, however, the increase in my subscription and the direct "&amp;"debits is going very well. Strongly regret and strongly advise against ...")</f>
        <v>To avoid. Slowness in reimbursements. As long as you have nothing everything is fine. The day you need it is where problems start. To date I have still not received my member card for the year 2020, however, the increase in my subscription and the direct debits is going very well. Strongly regret and strongly advise against ...</v>
      </c>
    </row>
    <row r="104" ht="15.75" customHeight="1">
      <c r="A104" s="2">
        <v>1.0</v>
      </c>
      <c r="B104" s="2" t="s">
        <v>382</v>
      </c>
      <c r="C104" s="2" t="s">
        <v>383</v>
      </c>
      <c r="D104" s="2" t="s">
        <v>31</v>
      </c>
      <c r="E104" s="2" t="s">
        <v>32</v>
      </c>
      <c r="F104" s="2" t="s">
        <v>15</v>
      </c>
      <c r="G104" s="2" t="s">
        <v>384</v>
      </c>
      <c r="H104" s="2" t="s">
        <v>23</v>
      </c>
      <c r="I104" s="2" t="str">
        <f>IFERROR(__xludf.DUMMYFUNCTION("GOOGLETRANSLATE(C104,""fr"",""en"")"),"We have applied for an independence for temporary incapacity for work from my spouse since mid-February. I relaunched Cardiff a second time and I am told that a file to be completed and left yesterday. We have been waiting for three months and we will hav"&amp;"e to wait 1 month. We are in an extremely complicated financial situation but no consideration of Cardiff. They put the fault on the COVID-19 when we sent our file 1 month before.
Ashamed!!!!")</f>
        <v>We have applied for an independence for temporary incapacity for work from my spouse since mid-February. I relaunched Cardiff a second time and I am told that a file to be completed and left yesterday. We have been waiting for three months and we will have to wait 1 month. We are in an extremely complicated financial situation but no consideration of Cardiff. They put the fault on the COVID-19 when we sent our file 1 month before.
Ashamed!!!!</v>
      </c>
    </row>
    <row r="105" ht="15.75" customHeight="1">
      <c r="A105" s="2">
        <v>3.0</v>
      </c>
      <c r="B105" s="2" t="s">
        <v>385</v>
      </c>
      <c r="C105" s="2" t="s">
        <v>386</v>
      </c>
      <c r="D105" s="2" t="s">
        <v>253</v>
      </c>
      <c r="E105" s="2" t="s">
        <v>21</v>
      </c>
      <c r="F105" s="2" t="s">
        <v>15</v>
      </c>
      <c r="G105" s="2" t="s">
        <v>387</v>
      </c>
      <c r="H105" s="2" t="s">
        <v>220</v>
      </c>
      <c r="I105" s="2" t="str">
        <f>IFERROR(__xludf.DUMMYFUNCTION("GOOGLETRANSLATE(C105,""fr"",""en"")"),"I took the neoliane formula vitality there are about 3 months frankly I had a doubt for the reimbursement when I read a few comments but everything was done in order the truth I had no complications may be that I was lucky :) An advisor who helped me a lo"&amp;"t and accompany for a start! I valid")</f>
        <v>I took the neoliane formula vitality there are about 3 months frankly I had a doubt for the reimbursement when I read a few comments but everything was done in order the truth I had no complications may be that I was lucky :) An advisor who helped me a lot and accompany for a start! I valid</v>
      </c>
    </row>
    <row r="106" ht="15.75" customHeight="1">
      <c r="A106" s="2">
        <v>4.0</v>
      </c>
      <c r="B106" s="2" t="s">
        <v>388</v>
      </c>
      <c r="C106" s="2" t="s">
        <v>389</v>
      </c>
      <c r="D106" s="2" t="s">
        <v>97</v>
      </c>
      <c r="E106" s="2" t="s">
        <v>43</v>
      </c>
      <c r="F106" s="2" t="s">
        <v>15</v>
      </c>
      <c r="G106" s="2" t="s">
        <v>390</v>
      </c>
      <c r="H106" s="2" t="s">
        <v>60</v>
      </c>
      <c r="I106" s="2" t="str">
        <f>IFERROR(__xludf.DUMMYFUNCTION("GOOGLETRANSLATE(C106,""fr"",""en"")"),"I am satisfied with your very well done CITE Easy to serve good day and thank you for the good advice. Best wishes  . Mrs Dumas see you soon")</f>
        <v>I am satisfied with your very well done CITE Easy to serve good day and thank you for the good advice. Best wishes  . Mrs Dumas see you soon</v>
      </c>
    </row>
    <row r="107" ht="15.75" customHeight="1">
      <c r="A107" s="2">
        <v>2.0</v>
      </c>
      <c r="B107" s="2" t="s">
        <v>391</v>
      </c>
      <c r="C107" s="2" t="s">
        <v>392</v>
      </c>
      <c r="D107" s="2" t="s">
        <v>42</v>
      </c>
      <c r="E107" s="2" t="s">
        <v>43</v>
      </c>
      <c r="F107" s="2" t="s">
        <v>15</v>
      </c>
      <c r="G107" s="2" t="s">
        <v>393</v>
      </c>
      <c r="H107" s="2" t="s">
        <v>394</v>
      </c>
      <c r="I107" s="2" t="str">
        <f>IFERROR(__xludf.DUMMYFUNCTION("GOOGLETRANSLATE(C107,""fr"",""en"")"),"Having undergone a 2 -wheeled accident against car by going to work, I had the result of my insurer and surprise I am total responsible.
Coming from a street perpendicular to a boulevard, a double-sensitive street with a yield the passage and engaging on"&amp;" the boulevard to the right, itself with double meaning, at the end of the day at an hour of crowds, I was Surprised by a vehicle doubling a bus to stop following the passage of the tricolor fire in red by encroaching the lane of traffic at the opposite d"&amp;"irection, I hit the car from the front.
The driver of the vehicle and his passengers hastened to hear from their bumper when I finished my race on the ground against a parking vehicle, fortunately for me no boho.
Observation made on site with knowledge "&amp;"of the driver who came in number to influence him and tell him what marked on the observation.
Driver not already being frank, not knowing exactly if he was going straight despite the line of vehicles arrested in the three -color fires or if he went to t"&amp;"he street where I came, and even there, the vehicle n ' had not yet arrived at the intersection with the street.
I do not understand the decision of the totally responsible because the vehicle that doubled the bus stop could not fall back in front of sin"&amp;"ce there was a line of other vehicles which were waiting for the green fire in the tricolor fire.
In addition, photos in support it was neither a stop nor broken down. The driver who dubbed turned on the street from where I came from before I got to the "&amp;"intersection ... something revised by the driver's many friends who arrived in reinforcement. I was shocked I couldn't really defend myself.
In the end the car a slight scratch on the bumper, my scooter of almost 3 years consider as wreckage by the desig"&amp;"nated expert and no reimbursements of my insurer, who according to the elements he has, allows him to think that my responsibility is completely committed.
Obliged to take the car because working at 12 hours, leaving a woman and children on foot, 1 -hour"&amp;" trips with the circulation of Lyon, payment of parking etc ...
Totally disappointed and disappointed.
")</f>
        <v>Having undergone a 2 -wheeled accident against car by going to work, I had the result of my insurer and surprise I am total responsible.
Coming from a street perpendicular to a boulevard, a double-sensitive street with a yield the passage and engaging on the boulevard to the right, itself with double meaning, at the end of the day at an hour of crowds, I was Surprised by a vehicle doubling a bus to stop following the passage of the tricolor fire in red by encroaching the lane of traffic at the opposite direction, I hit the car from the front.
The driver of the vehicle and his passengers hastened to hear from their bumper when I finished my race on the ground against a parking vehicle, fortunately for me no boho.
Observation made on site with knowledge of the driver who came in number to influence him and tell him what marked on the observation.
Driver not already being frank, not knowing exactly if he was going straight despite the line of vehicles arrested in the three -color fires or if he went to the street where I came, and even there, the vehicle n ' had not yet arrived at the intersection with the street.
I do not understand the decision of the totally responsible because the vehicle that doubled the bus stop could not fall back in front of since there was a line of other vehicles which were waiting for the green fire in the tricolor fire.
In addition, photos in support it was neither a stop nor broken down. The driver who dubbed turned on the street from where I came from before I got to the intersection ... something revised by the driver's many friends who arrived in reinforcement. I was shocked I couldn't really defend myself.
In the end the car a slight scratch on the bumper, my scooter of almost 3 years consider as wreckage by the designated expert and no reimbursements of my insurer, who according to the elements he has, allows him to think that my responsibility is completely committed.
Obliged to take the car because working at 12 hours, leaving a woman and children on foot, 1 -hour trips with the circulation of Lyon, payment of parking etc ...
Totally disappointed and disappointed.
</v>
      </c>
    </row>
    <row r="108" ht="15.75" customHeight="1">
      <c r="A108" s="2">
        <v>1.0</v>
      </c>
      <c r="B108" s="2" t="s">
        <v>395</v>
      </c>
      <c r="C108" s="2" t="s">
        <v>396</v>
      </c>
      <c r="D108" s="2" t="s">
        <v>397</v>
      </c>
      <c r="E108" s="2" t="s">
        <v>138</v>
      </c>
      <c r="F108" s="2" t="s">
        <v>15</v>
      </c>
      <c r="G108" s="2" t="s">
        <v>398</v>
      </c>
      <c r="H108" s="2" t="s">
        <v>330</v>
      </c>
      <c r="I108" s="2" t="str">
        <f>IFERROR(__xludf.DUMMYFUNCTION("GOOGLETRANSLATE(C108,""fr"",""en"")"),"Impossible to have a person on the phone on a surcharged number, termination by Chatel law impossible and without reasons.")</f>
        <v>Impossible to have a person on the phone on a surcharged number, termination by Chatel law impossible and without reasons.</v>
      </c>
    </row>
    <row r="109" ht="15.75" customHeight="1">
      <c r="A109" s="2">
        <v>3.0</v>
      </c>
      <c r="B109" s="2" t="s">
        <v>399</v>
      </c>
      <c r="C109" s="2" t="s">
        <v>400</v>
      </c>
      <c r="D109" s="2" t="s">
        <v>97</v>
      </c>
      <c r="E109" s="2" t="s">
        <v>43</v>
      </c>
      <c r="F109" s="2" t="s">
        <v>15</v>
      </c>
      <c r="G109" s="2" t="s">
        <v>401</v>
      </c>
      <c r="H109" s="2" t="s">
        <v>60</v>
      </c>
      <c r="I109" s="2" t="str">
        <f>IFERROR(__xludf.DUMMYFUNCTION("GOOGLETRANSLATE(C109,""fr"",""en"")"),"Satisfied, more than rolling now!
Especially in complete safety !!!
Thank you very much for the more than reasonable price!
")</f>
        <v>Satisfied, more than rolling now!
Especially in complete safety !!!
Thank you very much for the more than reasonable price!
</v>
      </c>
    </row>
    <row r="110" ht="15.75" customHeight="1">
      <c r="A110" s="2">
        <v>1.0</v>
      </c>
      <c r="B110" s="2" t="s">
        <v>402</v>
      </c>
      <c r="C110" s="2" t="s">
        <v>403</v>
      </c>
      <c r="D110" s="2" t="s">
        <v>26</v>
      </c>
      <c r="E110" s="2" t="s">
        <v>77</v>
      </c>
      <c r="F110" s="2" t="s">
        <v>15</v>
      </c>
      <c r="G110" s="2" t="s">
        <v>404</v>
      </c>
      <c r="H110" s="2" t="s">
        <v>245</v>
      </c>
      <c r="I110" s="2" t="str">
        <f>IFERROR(__xludf.DUMMYFUNCTION("GOOGLETRANSLATE(C110,""fr"",""en"")"),"17 years old at the Macif and the day my water damage occurs, this company has been unreficive: error in the expert's estimate, two years of waiting. I find myself obliged to mandate another expert who has proven the factual errors of the first expertise."&amp;" And to top it all, a new factual error at the time of the settlement: in violation of the law, the Macif paid the expert that I mandated with part of the sum it owed to me. Conclusion: they were zero with me, I do not recommend them")</f>
        <v>17 years old at the Macif and the day my water damage occurs, this company has been unreficive: error in the expert's estimate, two years of waiting. I find myself obliged to mandate another expert who has proven the factual errors of the first expertise. And to top it all, a new factual error at the time of the settlement: in violation of the law, the Macif paid the expert that I mandated with part of the sum it owed to me. Conclusion: they were zero with me, I do not recommend them</v>
      </c>
    </row>
    <row r="111" ht="15.75" customHeight="1">
      <c r="A111" s="2">
        <v>4.0</v>
      </c>
      <c r="B111" s="2" t="s">
        <v>405</v>
      </c>
      <c r="C111" s="2" t="s">
        <v>406</v>
      </c>
      <c r="D111" s="2" t="s">
        <v>47</v>
      </c>
      <c r="E111" s="2" t="s">
        <v>14</v>
      </c>
      <c r="F111" s="2" t="s">
        <v>15</v>
      </c>
      <c r="G111" s="2" t="s">
        <v>407</v>
      </c>
      <c r="H111" s="2" t="s">
        <v>99</v>
      </c>
      <c r="I111" s="2" t="str">
        <f>IFERROR(__xludf.DUMMYFUNCTION("GOOGLETRANSLATE(C111,""fr"",""en"")"),"Nothing to report, everything is clear, fast and your agents are attentive. In addition I already have a first vehicle insured at home, and it is because I am satisfied that I continue to make sure to the olive tree.")</f>
        <v>Nothing to report, everything is clear, fast and your agents are attentive. In addition I already have a first vehicle insured at home, and it is because I am satisfied that I continue to make sure to the olive tree.</v>
      </c>
    </row>
    <row r="112" ht="15.75" customHeight="1">
      <c r="A112" s="2">
        <v>5.0</v>
      </c>
      <c r="B112" s="2" t="s">
        <v>408</v>
      </c>
      <c r="C112" s="2" t="s">
        <v>409</v>
      </c>
      <c r="D112" s="2" t="s">
        <v>13</v>
      </c>
      <c r="E112" s="2" t="s">
        <v>14</v>
      </c>
      <c r="F112" s="2" t="s">
        <v>15</v>
      </c>
      <c r="G112" s="2" t="s">
        <v>279</v>
      </c>
      <c r="H112" s="2" t="s">
        <v>28</v>
      </c>
      <c r="I112" s="2" t="str">
        <f>IFERROR(__xludf.DUMMYFUNCTION("GOOGLETRANSLATE(C112,""fr"",""en"")"),"I am satisfied with the price and service that Direct Insurance offers the lowest price of the Linx insurance comparator. thank you to you I recommend this insurance")</f>
        <v>I am satisfied with the price and service that Direct Insurance offers the lowest price of the Linx insurance comparator. thank you to you I recommend this insurance</v>
      </c>
    </row>
    <row r="113" ht="15.75" customHeight="1">
      <c r="A113" s="2">
        <v>5.0</v>
      </c>
      <c r="B113" s="2" t="s">
        <v>410</v>
      </c>
      <c r="C113" s="2" t="s">
        <v>411</v>
      </c>
      <c r="D113" s="2" t="s">
        <v>13</v>
      </c>
      <c r="E113" s="2" t="s">
        <v>14</v>
      </c>
      <c r="F113" s="2" t="s">
        <v>15</v>
      </c>
      <c r="G113" s="2" t="s">
        <v>412</v>
      </c>
      <c r="H113" s="2" t="s">
        <v>17</v>
      </c>
      <c r="I113" s="2" t="str">
        <f>IFERROR(__xludf.DUMMYFUNCTION("GOOGLETRANSLATE(C113,""fr"",""en"")"),"I am very satisfied with the prices that are correct I had been told about this insurance that I did not know I have other vehicles another vehicle insured elsewhere than I think to transfer to you")</f>
        <v>I am very satisfied with the prices that are correct I had been told about this insurance that I did not know I have other vehicles another vehicle insured elsewhere than I think to transfer to you</v>
      </c>
    </row>
    <row r="114" ht="15.75" customHeight="1">
      <c r="A114" s="2">
        <v>4.0</v>
      </c>
      <c r="B114" s="2" t="s">
        <v>413</v>
      </c>
      <c r="C114" s="2" t="s">
        <v>414</v>
      </c>
      <c r="D114" s="2" t="s">
        <v>13</v>
      </c>
      <c r="E114" s="2" t="s">
        <v>14</v>
      </c>
      <c r="F114" s="2" t="s">
        <v>15</v>
      </c>
      <c r="G114" s="2" t="s">
        <v>143</v>
      </c>
      <c r="H114" s="2" t="s">
        <v>28</v>
      </c>
      <c r="I114" s="2" t="str">
        <f>IFERROR(__xludf.DUMMYFUNCTION("GOOGLETRANSLATE(C114,""fr"",""en"")"),"Too bad the 0 km assistance does not start immediately! I will look for this used vehicle tomorrow 400km from my home, and it would have been reassuring for me to know that I could count on this assistance in the event of a breakdown!")</f>
        <v>Too bad the 0 km assistance does not start immediately! I will look for this used vehicle tomorrow 400km from my home, and it would have been reassuring for me to know that I could count on this assistance in the event of a breakdown!</v>
      </c>
    </row>
    <row r="115" ht="15.75" customHeight="1">
      <c r="A115" s="2">
        <v>2.0</v>
      </c>
      <c r="B115" s="2" t="s">
        <v>415</v>
      </c>
      <c r="C115" s="2" t="s">
        <v>416</v>
      </c>
      <c r="D115" s="2" t="s">
        <v>168</v>
      </c>
      <c r="E115" s="2" t="s">
        <v>14</v>
      </c>
      <c r="F115" s="2" t="s">
        <v>15</v>
      </c>
      <c r="G115" s="2" t="s">
        <v>417</v>
      </c>
      <c r="H115" s="2" t="s">
        <v>418</v>
      </c>
      <c r="I115" s="2" t="str">
        <f>IFERROR(__xludf.DUMMYFUNCTION("GOOGLETRANSLATE(C115,""fr"",""en"")"),"I am very disappointed with your insurance I did not want to have mutual insurance I wanted insurance that decreases my schedule if I do not commit an accident. This is my last year with you unless it decreases in half next year.")</f>
        <v>I am very disappointed with your insurance I did not want to have mutual insurance I wanted insurance that decreases my schedule if I do not commit an accident. This is my last year with you unless it decreases in half next year.</v>
      </c>
    </row>
    <row r="116" ht="15.75" customHeight="1">
      <c r="A116" s="2">
        <v>1.0</v>
      </c>
      <c r="B116" s="2" t="s">
        <v>419</v>
      </c>
      <c r="C116" s="2" t="s">
        <v>420</v>
      </c>
      <c r="D116" s="2" t="s">
        <v>223</v>
      </c>
      <c r="E116" s="2" t="s">
        <v>77</v>
      </c>
      <c r="F116" s="2" t="s">
        <v>15</v>
      </c>
      <c r="G116" s="2" t="s">
        <v>421</v>
      </c>
      <c r="H116" s="2" t="s">
        <v>343</v>
      </c>
      <c r="I116" s="2" t="str">
        <f>IFERROR(__xludf.DUMMYFUNCTION("GOOGLETRANSLATE(C116,""fr"",""en"")"),"Bad assurance that I do not advise anyone. I stopped my insurance at the end of August and I am still, in February 2021, taken. It's a shame...
Strongly the end of all my insurance in your home.")</f>
        <v>Bad assurance that I do not advise anyone. I stopped my insurance at the end of August and I am still, in February 2021, taken. It's a shame...
Strongly the end of all my insurance in your home.</v>
      </c>
    </row>
    <row r="117" ht="15.75" customHeight="1">
      <c r="A117" s="2">
        <v>4.0</v>
      </c>
      <c r="B117" s="2" t="s">
        <v>422</v>
      </c>
      <c r="C117" s="2" t="s">
        <v>423</v>
      </c>
      <c r="D117" s="2" t="s">
        <v>42</v>
      </c>
      <c r="E117" s="2" t="s">
        <v>43</v>
      </c>
      <c r="F117" s="2" t="s">
        <v>15</v>
      </c>
      <c r="G117" s="2" t="s">
        <v>424</v>
      </c>
      <c r="H117" s="2" t="s">
        <v>69</v>
      </c>
      <c r="I117" s="2" t="str">
        <f>IFERROR(__xludf.DUMMYFUNCTION("GOOGLETRANSLATE(C117,""fr"",""en"")"),"I am so much satisfied with the Sevice and the simplicity of the website as well as the rates which are rather attractive, I hope that the rest will be as well in case of need ...")</f>
        <v>I am so much satisfied with the Sevice and the simplicity of the website as well as the rates which are rather attractive, I hope that the rest will be as well in case of need ...</v>
      </c>
    </row>
    <row r="118" ht="15.75" customHeight="1">
      <c r="A118" s="2">
        <v>3.0</v>
      </c>
      <c r="B118" s="2" t="s">
        <v>425</v>
      </c>
      <c r="C118" s="2" t="s">
        <v>426</v>
      </c>
      <c r="D118" s="2" t="s">
        <v>243</v>
      </c>
      <c r="E118" s="2" t="s">
        <v>159</v>
      </c>
      <c r="F118" s="2" t="s">
        <v>15</v>
      </c>
      <c r="G118" s="2" t="s">
        <v>200</v>
      </c>
      <c r="H118" s="2" t="s">
        <v>201</v>
      </c>
      <c r="I118" s="2" t="str">
        <f>IFERROR(__xludf.DUMMYFUNCTION("GOOGLETRANSLATE(C118,""fr"",""en"")"),"Credit Mutuelle Animaux. I have a lot of trouble understanding the operation of this Mutual Example Veto Invoice € 600 Refund € 480 I pay don 120 € 7 days after I am taken from the total amount of the invoice Explain to me?")</f>
        <v>Credit Mutuelle Animaux. I have a lot of trouble understanding the operation of this Mutual Example Veto Invoice € 600 Refund € 480 I pay don 120 € 7 days after I am taken from the total amount of the invoice Explain to me?</v>
      </c>
    </row>
    <row r="119" ht="15.75" customHeight="1">
      <c r="A119" s="2">
        <v>4.0</v>
      </c>
      <c r="B119" s="2" t="s">
        <v>427</v>
      </c>
      <c r="C119" s="2" t="s">
        <v>428</v>
      </c>
      <c r="D119" s="2" t="s">
        <v>287</v>
      </c>
      <c r="E119" s="2" t="s">
        <v>14</v>
      </c>
      <c r="F119" s="2" t="s">
        <v>15</v>
      </c>
      <c r="G119" s="2" t="s">
        <v>69</v>
      </c>
      <c r="H119" s="2" t="s">
        <v>69</v>
      </c>
      <c r="I119" s="2" t="str">
        <f>IFERROR(__xludf.DUMMYFUNCTION("GOOGLETRANSLATE(C119,""fr"",""en"")"),"High price compared to competition but quality service.
Too bad not to be able to attach local agencies live by phone because the wait is often long on the dedicated lines")</f>
        <v>High price compared to competition but quality service.
Too bad not to be able to attach local agencies live by phone because the wait is often long on the dedicated lines</v>
      </c>
    </row>
    <row r="120" ht="15.75" customHeight="1">
      <c r="A120" s="2">
        <v>1.0</v>
      </c>
      <c r="B120" s="2" t="s">
        <v>429</v>
      </c>
      <c r="C120" s="2" t="s">
        <v>430</v>
      </c>
      <c r="D120" s="2" t="s">
        <v>168</v>
      </c>
      <c r="E120" s="2" t="s">
        <v>77</v>
      </c>
      <c r="F120" s="2" t="s">
        <v>15</v>
      </c>
      <c r="G120" s="2" t="s">
        <v>431</v>
      </c>
      <c r="H120" s="2" t="s">
        <v>161</v>
      </c>
      <c r="I120" s="2" t="str">
        <f>IFERROR(__xludf.DUMMYFUNCTION("GOOGLETRANSLATE(C120,""fr"",""en"")"),"Kindness in listening, but this is only the only positive case .......... For the rest, you will be surprised by the increase in contributions (example: 2020/2021 = + 10% ) And you are only warned when paying .......... but the AXA service has the right s"&amp;"olution all the same! To lighten this new subscription: it offers you to reduce all your guarantees accordingly, and that neither seen nor known, I kill you !!!! ............ practice more than doubtful, for The new insured, I especially advise to go on ."&amp;"...........")</f>
        <v>Kindness in listening, but this is only the only positive case .......... For the rest, you will be surprised by the increase in contributions (example: 2020/2021 = + 10% ) And you are only warned when paying .......... but the AXA service has the right solution all the same! To lighten this new subscription: it offers you to reduce all your guarantees accordingly, and that neither seen nor known, I kill you !!!! ............ practice more than doubtful, for The new insured, I especially advise to go on ............</v>
      </c>
    </row>
    <row r="121" ht="15.75" customHeight="1">
      <c r="A121" s="2">
        <v>2.0</v>
      </c>
      <c r="B121" s="2" t="s">
        <v>432</v>
      </c>
      <c r="C121" s="2" t="s">
        <v>433</v>
      </c>
      <c r="D121" s="2" t="s">
        <v>47</v>
      </c>
      <c r="E121" s="2" t="s">
        <v>14</v>
      </c>
      <c r="F121" s="2" t="s">
        <v>15</v>
      </c>
      <c r="G121" s="2" t="s">
        <v>434</v>
      </c>
      <c r="H121" s="2" t="s">
        <v>39</v>
      </c>
      <c r="I121" s="2" t="str">
        <f>IFERROR(__xludf.DUMMYFUNCTION("GOOGLETRANSLATE(C121,""fr"",""en"")"),"My partner had an accident in charge of it a month ago. The observation shows the total responsibility of the other driver. The car is in a first TEMSP so transport to a first garage in Nice. After a week always no news from an eventual expertise and no i"&amp;"nformation can be given by phone. The TMSP passes and suddenly after 2 and a half weeks we learn that our car was sent to Puget on money 1 hour from Nice in a partner garage of Olivie Assarnce.
No phone stroke nothing absolutely nothing !!!!! It is we ca"&amp;"lling the first garage that we have aprosed the displacement of our car.
We call the assistant and this one still does not want to tell us the results of the expertise.
Today a month after the help is still nothing, we have no news.
")</f>
        <v>My partner had an accident in charge of it a month ago. The observation shows the total responsibility of the other driver. The car is in a first TEMSP so transport to a first garage in Nice. After a week always no news from an eventual expertise and no information can be given by phone. The TMSP passes and suddenly after 2 and a half weeks we learn that our car was sent to Puget on money 1 hour from Nice in a partner garage of Olivie Assarnce.
No phone stroke nothing absolutely nothing !!!!! It is we calling the first garage that we have aprosed the displacement of our car.
We call the assistant and this one still does not want to tell us the results of the expertise.
Today a month after the help is still nothing, we have no news.
</v>
      </c>
    </row>
    <row r="122" ht="15.75" customHeight="1">
      <c r="A122" s="2">
        <v>1.0</v>
      </c>
      <c r="B122" s="2" t="s">
        <v>435</v>
      </c>
      <c r="C122" s="2" t="s">
        <v>436</v>
      </c>
      <c r="D122" s="2" t="s">
        <v>13</v>
      </c>
      <c r="E122" s="2" t="s">
        <v>14</v>
      </c>
      <c r="F122" s="2" t="s">
        <v>15</v>
      </c>
      <c r="G122" s="2" t="s">
        <v>437</v>
      </c>
      <c r="H122" s="2" t="s">
        <v>56</v>
      </c>
      <c r="I122" s="2" t="str">
        <f>IFERROR(__xludf.DUMMYFUNCTION("GOOGLETRANSLATE(C122,""fr"",""en"")"),"I notice an increase in the assurance price of the housing and the vehicle. Putting the conditions have not changed much and I move to a quieter city.")</f>
        <v>I notice an increase in the assurance price of the housing and the vehicle. Putting the conditions have not changed much and I move to a quieter city.</v>
      </c>
    </row>
    <row r="123" ht="15.75" customHeight="1">
      <c r="A123" s="2">
        <v>3.0</v>
      </c>
      <c r="B123" s="2" t="s">
        <v>438</v>
      </c>
      <c r="C123" s="2" t="s">
        <v>439</v>
      </c>
      <c r="D123" s="2" t="s">
        <v>287</v>
      </c>
      <c r="E123" s="2" t="s">
        <v>14</v>
      </c>
      <c r="F123" s="2" t="s">
        <v>15</v>
      </c>
      <c r="G123" s="2" t="s">
        <v>440</v>
      </c>
      <c r="H123" s="2" t="s">
        <v>99</v>
      </c>
      <c r="I123" s="2" t="str">
        <f>IFERROR(__xludf.DUMMYFUNCTION("GOOGLETRANSLATE(C123,""fr"",""en"")"),"What would be good is to be able to settle all contracts on the same date.
I paid 741.82 € for my CRV and there you write to me to adjust for this same vehicle the sum of € 684. I think you should reimburse me the difference, right?
")</f>
        <v>What would be good is to be able to settle all contracts on the same date.
I paid 741.82 € for my CRV and there you write to me to adjust for this same vehicle the sum of € 684. I think you should reimburse me the difference, right?
</v>
      </c>
    </row>
    <row r="124" ht="15.75" customHeight="1">
      <c r="A124" s="2">
        <v>3.0</v>
      </c>
      <c r="B124" s="2" t="s">
        <v>441</v>
      </c>
      <c r="C124" s="2" t="s">
        <v>442</v>
      </c>
      <c r="D124" s="2" t="s">
        <v>47</v>
      </c>
      <c r="E124" s="2" t="s">
        <v>14</v>
      </c>
      <c r="F124" s="2" t="s">
        <v>15</v>
      </c>
      <c r="G124" s="2" t="s">
        <v>443</v>
      </c>
      <c r="H124" s="2" t="s">
        <v>69</v>
      </c>
      <c r="I124" s="2" t="str">
        <f>IFERROR(__xludf.DUMMYFUNCTION("GOOGLETRANSLATE(C124,""fr"",""en"")"),"I am satisfied with the contract subscription service. Electronic signatures are a real plus. Continue like that. The management of the replacement of the old vehicle with the new one went well and very quickly.")</f>
        <v>I am satisfied with the contract subscription service. Electronic signatures are a real plus. Continue like that. The management of the replacement of the old vehicle with the new one went well and very quickly.</v>
      </c>
    </row>
    <row r="125" ht="15.75" customHeight="1">
      <c r="A125" s="2">
        <v>3.0</v>
      </c>
      <c r="B125" s="2" t="s">
        <v>444</v>
      </c>
      <c r="C125" s="2" t="s">
        <v>445</v>
      </c>
      <c r="D125" s="2" t="s">
        <v>13</v>
      </c>
      <c r="E125" s="2" t="s">
        <v>14</v>
      </c>
      <c r="F125" s="2" t="s">
        <v>15</v>
      </c>
      <c r="G125" s="2" t="s">
        <v>216</v>
      </c>
      <c r="H125" s="2" t="s">
        <v>69</v>
      </c>
      <c r="I125" s="2" t="str">
        <f>IFERROR(__xludf.DUMMYFUNCTION("GOOGLETRANSLATE(C125,""fr"",""en"")"),"Hello, the impossibility of removing by phone is not acceptable. The arguments are surprising because the subscription is possible by phone. Hoping to improve this service")</f>
        <v>Hello, the impossibility of removing by phone is not acceptable. The arguments are surprising because the subscription is possible by phone. Hoping to improve this service</v>
      </c>
    </row>
    <row r="126" ht="15.75" customHeight="1">
      <c r="A126" s="2">
        <v>5.0</v>
      </c>
      <c r="B126" s="2" t="s">
        <v>446</v>
      </c>
      <c r="C126" s="2" t="s">
        <v>447</v>
      </c>
      <c r="D126" s="2" t="s">
        <v>47</v>
      </c>
      <c r="E126" s="2" t="s">
        <v>14</v>
      </c>
      <c r="F126" s="2" t="s">
        <v>15</v>
      </c>
      <c r="G126" s="2" t="s">
        <v>448</v>
      </c>
      <c r="H126" s="2" t="s">
        <v>17</v>
      </c>
      <c r="I126" s="2" t="str">
        <f>IFERROR(__xludf.DUMMYFUNCTION("GOOGLETRANSLATE(C126,""fr"",""en"")"),"Having subscribed to the contract by phone, the customer contact was perfect, very clear. The prices are competitive. I will recommend your company without hesitation")</f>
        <v>Having subscribed to the contract by phone, the customer contact was perfect, very clear. The prices are competitive. I will recommend your company without hesitation</v>
      </c>
    </row>
    <row r="127" ht="15.75" customHeight="1">
      <c r="A127" s="2">
        <v>1.0</v>
      </c>
      <c r="B127" s="2" t="s">
        <v>449</v>
      </c>
      <c r="C127" s="2" t="s">
        <v>450</v>
      </c>
      <c r="D127" s="2" t="s">
        <v>13</v>
      </c>
      <c r="E127" s="2" t="s">
        <v>14</v>
      </c>
      <c r="F127" s="2" t="s">
        <v>15</v>
      </c>
      <c r="G127" s="2" t="s">
        <v>451</v>
      </c>
      <c r="H127" s="2" t="s">
        <v>87</v>
      </c>
      <c r="I127" s="2" t="str">
        <f>IFERROR(__xludf.DUMMYFUNCTION("GOOGLETRANSLATE(C127,""fr"",""en"")"),"Once no more response of the cuts by phone and no reminders. A horrible customer experience. We are waiting for a service that is never followed by acts. Where are the services ??")</f>
        <v>Once no more response of the cuts by phone and no reminders. A horrible customer experience. We are waiting for a service that is never followed by acts. Where are the services ??</v>
      </c>
    </row>
    <row r="128" ht="15.75" customHeight="1">
      <c r="A128" s="2">
        <v>1.0</v>
      </c>
      <c r="B128" s="2" t="s">
        <v>452</v>
      </c>
      <c r="C128" s="2" t="s">
        <v>453</v>
      </c>
      <c r="D128" s="2" t="s">
        <v>253</v>
      </c>
      <c r="E128" s="2" t="s">
        <v>21</v>
      </c>
      <c r="F128" s="2" t="s">
        <v>15</v>
      </c>
      <c r="G128" s="2" t="s">
        <v>454</v>
      </c>
      <c r="H128" s="2" t="s">
        <v>121</v>
      </c>
      <c r="I128" s="2" t="str">
        <f>IFERROR(__xludf.DUMMYFUNCTION("GOOGLETRANSLATE(C128,""fr"",""en"")"),"Abusive procedures by phone")</f>
        <v>Abusive procedures by phone</v>
      </c>
    </row>
    <row r="129" ht="15.75" customHeight="1">
      <c r="A129" s="2">
        <v>1.0</v>
      </c>
      <c r="B129" s="2" t="s">
        <v>455</v>
      </c>
      <c r="C129" s="2" t="s">
        <v>456</v>
      </c>
      <c r="D129" s="2" t="s">
        <v>168</v>
      </c>
      <c r="E129" s="2" t="s">
        <v>14</v>
      </c>
      <c r="F129" s="2" t="s">
        <v>15</v>
      </c>
      <c r="G129" s="2" t="s">
        <v>457</v>
      </c>
      <c r="H129" s="2" t="s">
        <v>56</v>
      </c>
      <c r="I129" s="2" t="str">
        <f>IFERROR(__xludf.DUMMYFUNCTION("GOOGLETRANSLATE(C129,""fr"",""en"")"),"The worst insurance companies that I have known and I am over 70 years old; shame .... Make a problem with no problem but, while they are the most important on the market, they are unable to disburse; to be avoided")</f>
        <v>The worst insurance companies that I have known and I am over 70 years old; shame .... Make a problem with no problem but, while they are the most important on the market, they are unable to disburse; to be avoided</v>
      </c>
    </row>
    <row r="130" ht="15.75" customHeight="1">
      <c r="A130" s="2">
        <v>5.0</v>
      </c>
      <c r="B130" s="2" t="s">
        <v>458</v>
      </c>
      <c r="C130" s="2" t="s">
        <v>459</v>
      </c>
      <c r="D130" s="2" t="s">
        <v>47</v>
      </c>
      <c r="E130" s="2" t="s">
        <v>14</v>
      </c>
      <c r="F130" s="2" t="s">
        <v>15</v>
      </c>
      <c r="G130" s="2" t="s">
        <v>460</v>
      </c>
      <c r="H130" s="2" t="s">
        <v>17</v>
      </c>
      <c r="I130" s="2" t="str">
        <f>IFERROR(__xludf.DUMMYFUNCTION("GOOGLETRANSLATE(C130,""fr"",""en"")"),"Very competitive price, simple and fast membership, very effective telephone assistance ...
The signing of online acts makes it possible to finalize very quickly the procedures and without hassle ...
You are undoubtedly the best ...
Thank you and well "&amp;"done!")</f>
        <v>Very competitive price, simple and fast membership, very effective telephone assistance ...
The signing of online acts makes it possible to finalize very quickly the procedures and without hassle ...
You are undoubtedly the best ...
Thank you and well done!</v>
      </c>
    </row>
    <row r="131" ht="15.75" customHeight="1">
      <c r="A131" s="2">
        <v>1.0</v>
      </c>
      <c r="B131" s="2" t="s">
        <v>461</v>
      </c>
      <c r="C131" s="2" t="s">
        <v>462</v>
      </c>
      <c r="D131" s="2" t="s">
        <v>463</v>
      </c>
      <c r="E131" s="2" t="s">
        <v>464</v>
      </c>
      <c r="F131" s="2" t="s">
        <v>15</v>
      </c>
      <c r="G131" s="2" t="s">
        <v>86</v>
      </c>
      <c r="H131" s="2" t="s">
        <v>87</v>
      </c>
      <c r="I131" s="2" t="str">
        <f>IFERROR(__xludf.DUMMYFUNCTION("GOOGLETRANSLATE(C131,""fr"",""en"")"),"I was a craftsman in the building I had a decennial at Axa I paid dear but well insured.
In 2015 I was contacted by an MMA agent who made a reasonable price offer cheaper than AXA so I changed insurance (8 vehicles, deposit and decennial).
In 2016 I hav"&amp;"e a health problem I stopped my business.
In 2019 I have a customer who has a leak problem on a roof contacts MMA with my file number and he replied that I am not insured and not sent.
They want to know nothing
")</f>
        <v>I was a craftsman in the building I had a decennial at Axa I paid dear but well insured.
In 2015 I was contacted by an MMA agent who made a reasonable price offer cheaper than AXA so I changed insurance (8 vehicles, deposit and decennial).
In 2016 I have a health problem I stopped my business.
In 2019 I have a customer who has a leak problem on a roof contacts MMA with my file number and he replied that I am not insured and not sent.
They want to know nothing
</v>
      </c>
    </row>
    <row r="132" ht="15.75" customHeight="1">
      <c r="A132" s="2">
        <v>1.0</v>
      </c>
      <c r="B132" s="2" t="s">
        <v>465</v>
      </c>
      <c r="C132" s="2" t="s">
        <v>466</v>
      </c>
      <c r="D132" s="2" t="s">
        <v>243</v>
      </c>
      <c r="E132" s="2" t="s">
        <v>77</v>
      </c>
      <c r="F132" s="2" t="s">
        <v>15</v>
      </c>
      <c r="G132" s="2" t="s">
        <v>467</v>
      </c>
      <c r="H132" s="2" t="s">
        <v>83</v>
      </c>
      <c r="I132" s="2" t="str">
        <f>IFERROR(__xludf.DUMMYFUNCTION("GOOGLETRANSLATE(C132,""fr"",""en"")"),"Impossible to reach by telephone the claim service to customer ensure in housing! It's just scandalous! We have forced my mother's cellar since January 1 and I try to reach by phone because being only to assure it impossible to do it on the internet! I ca"&amp;"lled many times by waiting most of the time 30 min without anyone responding. Maybe someone can contact us by this means!")</f>
        <v>Impossible to reach by telephone the claim service to customer ensure in housing! It's just scandalous! We have forced my mother's cellar since January 1 and I try to reach by phone because being only to assure it impossible to do it on the internet! I called many times by waiting most of the time 30 min without anyone responding. Maybe someone can contact us by this means!</v>
      </c>
    </row>
    <row r="133" ht="15.75" customHeight="1">
      <c r="A133" s="2">
        <v>1.0</v>
      </c>
      <c r="B133" s="2" t="s">
        <v>468</v>
      </c>
      <c r="C133" s="2" t="s">
        <v>469</v>
      </c>
      <c r="D133" s="2" t="s">
        <v>13</v>
      </c>
      <c r="E133" s="2" t="s">
        <v>14</v>
      </c>
      <c r="F133" s="2" t="s">
        <v>15</v>
      </c>
      <c r="G133" s="2" t="s">
        <v>470</v>
      </c>
      <c r="H133" s="2" t="s">
        <v>181</v>
      </c>
      <c r="I133" s="2" t="str">
        <f>IFERROR(__xludf.DUMMYFUNCTION("GOOGLETRANSLATE(C133,""fr"",""en"")"),"I am not satisfied at the price and service level either and on the phone you explain badly and you speak bad too ............................ .......")</f>
        <v>I am not satisfied at the price and service level either and on the phone you explain badly and you speak bad too ............................ .......</v>
      </c>
    </row>
    <row r="134" ht="15.75" customHeight="1">
      <c r="A134" s="2">
        <v>5.0</v>
      </c>
      <c r="B134" s="2" t="s">
        <v>471</v>
      </c>
      <c r="C134" s="2" t="s">
        <v>472</v>
      </c>
      <c r="D134" s="2" t="s">
        <v>97</v>
      </c>
      <c r="E134" s="2" t="s">
        <v>43</v>
      </c>
      <c r="F134" s="2" t="s">
        <v>15</v>
      </c>
      <c r="G134" s="2" t="s">
        <v>473</v>
      </c>
      <c r="H134" s="2" t="s">
        <v>87</v>
      </c>
      <c r="I134" s="2" t="str">
        <f>IFERROR(__xludf.DUMMYFUNCTION("GOOGLETRANSLATE(C134,""fr"",""en"")"),"Satisfied with the prices offered, simple, fast and efficient. I recommend this insurer. My contract was done on the Internet time between my insurance search and the subscription is done in barely 20 minutes.")</f>
        <v>Satisfied with the prices offered, simple, fast and efficient. I recommend this insurer. My contract was done on the Internet time between my insurance search and the subscription is done in barely 20 minutes.</v>
      </c>
    </row>
    <row r="135" ht="15.75" customHeight="1">
      <c r="A135" s="2">
        <v>3.0</v>
      </c>
      <c r="B135" s="2" t="s">
        <v>474</v>
      </c>
      <c r="C135" s="2" t="s">
        <v>475</v>
      </c>
      <c r="D135" s="2" t="s">
        <v>26</v>
      </c>
      <c r="E135" s="2" t="s">
        <v>14</v>
      </c>
      <c r="F135" s="2" t="s">
        <v>15</v>
      </c>
      <c r="G135" s="2" t="s">
        <v>139</v>
      </c>
      <c r="H135" s="2" t="s">
        <v>140</v>
      </c>
      <c r="I135" s="2" t="str">
        <f>IFERROR(__xludf.DUMMYFUNCTION("GOOGLETRANSLATE(C135,""fr"",""en"")"),"When you want to ensure a vehicle that makes less than 5000 km per year the subscription is significantly the same as for daily use. Ditto for a motorcycle.")</f>
        <v>When you want to ensure a vehicle that makes less than 5000 km per year the subscription is significantly the same as for daily use. Ditto for a motorcycle.</v>
      </c>
    </row>
    <row r="136" ht="15.75" customHeight="1">
      <c r="A136" s="2">
        <v>2.0</v>
      </c>
      <c r="B136" s="2" t="s">
        <v>476</v>
      </c>
      <c r="C136" s="2" t="s">
        <v>477</v>
      </c>
      <c r="D136" s="2" t="s">
        <v>239</v>
      </c>
      <c r="E136" s="2" t="s">
        <v>32</v>
      </c>
      <c r="F136" s="2" t="s">
        <v>15</v>
      </c>
      <c r="G136" s="2" t="s">
        <v>309</v>
      </c>
      <c r="H136" s="2" t="s">
        <v>60</v>
      </c>
      <c r="I136" s="2" t="str">
        <f>IFERROR(__xludf.DUMMYFUNCTION("GOOGLETRANSLATE(C136,""fr"",""en"")"),"I chose April as a borrower insurance, but I bite my fingers.
When we provide them with all the pieces that come from the banks, they claim that there is always an info that they lack, so we make a round trip with the banks that tell us that nothing is m"&amp;"issing ... and while 'Do we do? It only happened only once, I am at least in the 6th time it happens !!!! This insurance does nothing to make it easier for you. Do not take April, I am not particularly put off with administrative things, but it is worse t"&amp;"han in the film Brazil (for those who know!), It is administrative heresy !!")</f>
        <v>I chose April as a borrower insurance, but I bite my fingers.
When we provide them with all the pieces that come from the banks, they claim that there is always an info that they lack, so we make a round trip with the banks that tell us that nothing is missing ... and while 'Do we do? It only happened only once, I am at least in the 6th time it happens !!!! This insurance does nothing to make it easier for you. Do not take April, I am not particularly put off with administrative things, but it is worse than in the film Brazil (for those who know!), It is administrative heresy !!</v>
      </c>
    </row>
    <row r="137" ht="15.75" customHeight="1">
      <c r="A137" s="2">
        <v>1.0</v>
      </c>
      <c r="B137" s="2" t="s">
        <v>478</v>
      </c>
      <c r="C137" s="2" t="s">
        <v>479</v>
      </c>
      <c r="D137" s="2" t="s">
        <v>287</v>
      </c>
      <c r="E137" s="2" t="s">
        <v>77</v>
      </c>
      <c r="F137" s="2" t="s">
        <v>15</v>
      </c>
      <c r="G137" s="2" t="s">
        <v>480</v>
      </c>
      <c r="H137" s="2" t="s">
        <v>181</v>
      </c>
      <c r="I137" s="2" t="str">
        <f>IFERROR(__xludf.DUMMYFUNCTION("GOOGLETRANSLATE(C137,""fr"",""en"")"),"Scandalous the way GMF, t The specific risk services treat its customers. I suffered a claim on June 17 in my home, I had to insist with the person who was in charge of my file so that they can take the damage well and that she will pass an expert. No pho"&amp;"ne call, because no one available from 2 p.m. to 5 p.m., but if you call it, it does not answer. Only exchange via email and again you have to insist.
From the disaster I have no more heating and I do my dishes in my bathtub. The expert has passed, sent "&amp;"the report and since no news. Impossible to reach someone on the phone, and my emails are getting any response. Not even a point on the advancement of the file, that's all I ask.
Not even the politeness to answer you, the GMF can do nothing and is sorry "&amp;"but I don't care, I just want an answer, what seems to me is the least of things.
I find the attitude of specific risks, more than impolite and intolerable.
Dolores")</f>
        <v>Scandalous the way GMF, t The specific risk services treat its customers. I suffered a claim on June 17 in my home, I had to insist with the person who was in charge of my file so that they can take the damage well and that she will pass an expert. No phone call, because no one available from 2 p.m. to 5 p.m., but if you call it, it does not answer. Only exchange via email and again you have to insist.
From the disaster I have no more heating and I do my dishes in my bathtub. The expert has passed, sent the report and since no news. Impossible to reach someone on the phone, and my emails are getting any response. Not even a point on the advancement of the file, that's all I ask.
Not even the politeness to answer you, the GMF can do nothing and is sorry but I don't care, I just want an answer, what seems to me is the least of things.
I find the attitude of specific risks, more than impolite and intolerable.
Dolores</v>
      </c>
    </row>
    <row r="138" ht="15.75" customHeight="1">
      <c r="A138" s="2">
        <v>5.0</v>
      </c>
      <c r="B138" s="2" t="s">
        <v>481</v>
      </c>
      <c r="C138" s="2" t="s">
        <v>482</v>
      </c>
      <c r="D138" s="2" t="s">
        <v>483</v>
      </c>
      <c r="E138" s="2" t="s">
        <v>138</v>
      </c>
      <c r="F138" s="2" t="s">
        <v>15</v>
      </c>
      <c r="G138" s="2" t="s">
        <v>484</v>
      </c>
      <c r="H138" s="2" t="s">
        <v>485</v>
      </c>
      <c r="I138" s="2" t="str">
        <f>IFERROR(__xludf.DUMMYFUNCTION("GOOGLETRANSLATE(C138,""fr"",""en"")"),"The files are treated quickly overall. There is also competence and kindness during my calls to MGP. Likewise the prices are in my opinion at the exact price.")</f>
        <v>The files are treated quickly overall. There is also competence and kindness during my calls to MGP. Likewise the prices are in my opinion at the exact price.</v>
      </c>
    </row>
    <row r="139" ht="15.75" customHeight="1">
      <c r="A139" s="2">
        <v>1.0</v>
      </c>
      <c r="B139" s="2" t="s">
        <v>486</v>
      </c>
      <c r="C139" s="2" t="s">
        <v>487</v>
      </c>
      <c r="D139" s="2" t="s">
        <v>153</v>
      </c>
      <c r="E139" s="2" t="s">
        <v>77</v>
      </c>
      <c r="F139" s="2" t="s">
        <v>15</v>
      </c>
      <c r="G139" s="2" t="s">
        <v>488</v>
      </c>
      <c r="H139" s="2" t="s">
        <v>201</v>
      </c>
      <c r="I139" s="2" t="str">
        <f>IFERROR(__xludf.DUMMYFUNCTION("GOOGLETRANSLATE(C139,""fr"",""en"")"),"A star just because it is not possible to put less. Rigolos who do not respect the contract if you do not threaten them to initiate legal proceedings. Friendly staff but with a well -reflecting capacity below that of a gastropod")</f>
        <v>A star just because it is not possible to put less. Rigolos who do not respect the contract if you do not threaten them to initiate legal proceedings. Friendly staff but with a well -reflecting capacity below that of a gastropod</v>
      </c>
    </row>
    <row r="140" ht="15.75" customHeight="1">
      <c r="A140" s="2">
        <v>5.0</v>
      </c>
      <c r="B140" s="2" t="s">
        <v>489</v>
      </c>
      <c r="C140" s="2" t="s">
        <v>490</v>
      </c>
      <c r="D140" s="2" t="s">
        <v>483</v>
      </c>
      <c r="E140" s="2" t="s">
        <v>21</v>
      </c>
      <c r="F140" s="2" t="s">
        <v>15</v>
      </c>
      <c r="G140" s="2" t="s">
        <v>491</v>
      </c>
      <c r="H140" s="2" t="s">
        <v>99</v>
      </c>
      <c r="I140" s="2" t="str">
        <f>IFERROR(__xludf.DUMMYFUNCTION("GOOGLETRANSLATE(C140,""fr"",""en"")"),"A member for over 50 years for the mutual health of the national police, I have never regretted my chosen. Each health problem I have always been able to count on the wise advice of my correspondent.")</f>
        <v>A member for over 50 years for the mutual health of the national police, I have never regretted my chosen. Each health problem I have always been able to count on the wise advice of my correspondent.</v>
      </c>
    </row>
    <row r="141" ht="15.75" customHeight="1">
      <c r="A141" s="2">
        <v>3.0</v>
      </c>
      <c r="B141" s="2" t="s">
        <v>492</v>
      </c>
      <c r="C141" s="2" t="s">
        <v>493</v>
      </c>
      <c r="D141" s="2" t="s">
        <v>13</v>
      </c>
      <c r="E141" s="2" t="s">
        <v>14</v>
      </c>
      <c r="F141" s="2" t="s">
        <v>15</v>
      </c>
      <c r="G141" s="2" t="s">
        <v>494</v>
      </c>
      <c r="H141" s="2" t="s">
        <v>69</v>
      </c>
      <c r="I141" s="2" t="str">
        <f>IFERROR(__xludf.DUMMYFUNCTION("GOOGLETRANSLATE(C141,""fr"",""en"")"),"I am satisfied with the service the price suits me. Cheaper than my former insurer my wife is satisfied with this insurance not too expensive thank you.")</f>
        <v>I am satisfied with the service the price suits me. Cheaper than my former insurer my wife is satisfied with this insurance not too expensive thank you.</v>
      </c>
    </row>
    <row r="142" ht="15.75" customHeight="1">
      <c r="A142" s="2">
        <v>4.0</v>
      </c>
      <c r="B142" s="2" t="s">
        <v>495</v>
      </c>
      <c r="C142" s="2" t="s">
        <v>496</v>
      </c>
      <c r="D142" s="2" t="s">
        <v>287</v>
      </c>
      <c r="E142" s="2" t="s">
        <v>14</v>
      </c>
      <c r="F142" s="2" t="s">
        <v>15</v>
      </c>
      <c r="G142" s="2" t="s">
        <v>497</v>
      </c>
      <c r="H142" s="2" t="s">
        <v>69</v>
      </c>
      <c r="I142" s="2" t="str">
        <f>IFERROR(__xludf.DUMMYFUNCTION("GOOGLETRANSLATE(C142,""fr"",""en"")"),"I am satisfied with your services and prices as well as the service rendered.
Only downside, not being able to reach my agency in Lille by phone directly.")</f>
        <v>I am satisfied with your services and prices as well as the service rendered.
Only downside, not being able to reach my agency in Lille by phone directly.</v>
      </c>
    </row>
    <row r="143" ht="15.75" customHeight="1">
      <c r="A143" s="2">
        <v>5.0</v>
      </c>
      <c r="B143" s="2" t="s">
        <v>498</v>
      </c>
      <c r="C143" s="2" t="s">
        <v>499</v>
      </c>
      <c r="D143" s="2" t="s">
        <v>287</v>
      </c>
      <c r="E143" s="2" t="s">
        <v>14</v>
      </c>
      <c r="F143" s="2" t="s">
        <v>15</v>
      </c>
      <c r="G143" s="2" t="s">
        <v>111</v>
      </c>
      <c r="H143" s="2" t="s">
        <v>99</v>
      </c>
      <c r="I143" s="2" t="str">
        <f>IFERROR(__xludf.DUMMYFUNCTION("GOOGLETRANSLATE(C143,""fr"",""en"")"),"I am satisfied with the service offered. The prices offered suit me perfectly. The way of proceeding is simple and practical.
Accept my respectful greetings.")</f>
        <v>I am satisfied with the service offered. The prices offered suit me perfectly. The way of proceeding is simple and practical.
Accept my respectful greetings.</v>
      </c>
    </row>
    <row r="144" ht="15.75" customHeight="1">
      <c r="A144" s="2">
        <v>4.0</v>
      </c>
      <c r="B144" s="2" t="s">
        <v>500</v>
      </c>
      <c r="C144" s="2" t="s">
        <v>501</v>
      </c>
      <c r="D144" s="2" t="s">
        <v>97</v>
      </c>
      <c r="E144" s="2" t="s">
        <v>43</v>
      </c>
      <c r="F144" s="2" t="s">
        <v>15</v>
      </c>
      <c r="G144" s="2" t="s">
        <v>502</v>
      </c>
      <c r="H144" s="2" t="s">
        <v>49</v>
      </c>
      <c r="I144" s="2" t="str">
        <f>IFERROR(__xludf.DUMMYFUNCTION("GOOGLETRANSLATE(C144,""fr"",""en"")"),"Well as insurance thank you very much I come back to you as soon as I have my insurance certificate hoping to have it quickly I really need thank you")</f>
        <v>Well as insurance thank you very much I come back to you as soon as I have my insurance certificate hoping to have it quickly I really need thank you</v>
      </c>
    </row>
    <row r="145" ht="15.75" customHeight="1">
      <c r="A145" s="2">
        <v>1.0</v>
      </c>
      <c r="B145" s="2" t="s">
        <v>503</v>
      </c>
      <c r="C145" s="2" t="s">
        <v>504</v>
      </c>
      <c r="D145" s="2" t="s">
        <v>243</v>
      </c>
      <c r="E145" s="2" t="s">
        <v>32</v>
      </c>
      <c r="F145" s="2" t="s">
        <v>15</v>
      </c>
      <c r="G145" s="2" t="s">
        <v>505</v>
      </c>
      <c r="H145" s="2" t="s">
        <v>250</v>
      </c>
      <c r="I145" s="2" t="str">
        <f>IFERROR(__xludf.DUMMYFUNCTION("GOOGLETRANSLATE(C145,""fr"",""en"")"),"Aillant took my mortgage to Crédit Mutuel I therefore had my credit insurance with them until the whole is well.
Except that when I wanted to change my insurance during my first year for that of the cheaper Macif 3x.
Crédit Mutuel did everything to bloc"&amp;"k and prevent this change of insurance, and this even after 3 recommended from the Macif and 2 on my part, they dragged by saying that the guarantee was not equivalent when it 'was from the start.
Then once the case had dragged on more than 9 months and "&amp;"also 1 years for the change of insurance at no cost.
This tell me that ultimately guarantees them its equivalent but since it is no longer the 1st year the conditions for change are no longer the same and therefore that it is necessary to make a request,"&amp;" but in this 1st year story if I had could have had this refusal in writing as usual the Macif could have defended itself but they are clever and we only told me that by phone.
Therefore I was stuck to pay 2 insurance for nothing.
Fortunately, the secur"&amp;"imut and very easily reachable and competent Macif macif insurance therefore reimbursed me what I had paid them without blinking.
So I bought my mortgage loan from the savings bank, this one offering me a very attractive offer € 20,000 saving on my credi"&amp;"t and taking insurance from Generali.
")</f>
        <v>Aillant took my mortgage to Crédit Mutuel I therefore had my credit insurance with them until the whole is well.
Except that when I wanted to change my insurance during my first year for that of the cheaper Macif 3x.
Crédit Mutuel did everything to block and prevent this change of insurance, and this even after 3 recommended from the Macif and 2 on my part, they dragged by saying that the guarantee was not equivalent when it 'was from the start.
Then once the case had dragged on more than 9 months and also 1 years for the change of insurance at no cost.
This tell me that ultimately guarantees them its equivalent but since it is no longer the 1st year the conditions for change are no longer the same and therefore that it is necessary to make a request, but in this 1st year story if I had could have had this refusal in writing as usual the Macif could have defended itself but they are clever and we only told me that by phone.
Therefore I was stuck to pay 2 insurance for nothing.
Fortunately, the securimut and very easily reachable and competent Macif macif insurance therefore reimbursed me what I had paid them without blinking.
So I bought my mortgage loan from the savings bank, this one offering me a very attractive offer € 20,000 saving on my credit and taking insurance from Generali.
</v>
      </c>
    </row>
    <row r="146" ht="15.75" customHeight="1">
      <c r="A146" s="2">
        <v>4.0</v>
      </c>
      <c r="B146" s="2" t="s">
        <v>506</v>
      </c>
      <c r="C146" s="2" t="s">
        <v>507</v>
      </c>
      <c r="D146" s="2" t="s">
        <v>47</v>
      </c>
      <c r="E146" s="2" t="s">
        <v>14</v>
      </c>
      <c r="F146" s="2" t="s">
        <v>15</v>
      </c>
      <c r="G146" s="2" t="s">
        <v>508</v>
      </c>
      <c r="H146" s="2" t="s">
        <v>87</v>
      </c>
      <c r="I146" s="2" t="str">
        <f>IFERROR(__xludf.DUMMYFUNCTION("GOOGLETRANSLATE(C146,""fr"",""en"")"),"Fast and efficient, e -stick telephone reception, speed for postal shipments and clarity in explanations, I recommend them for auto insurance contracts")</f>
        <v>Fast and efficient, e -stick telephone reception, speed for postal shipments and clarity in explanations, I recommend them for auto insurance contracts</v>
      </c>
    </row>
    <row r="147" ht="15.75" customHeight="1">
      <c r="A147" s="2">
        <v>2.0</v>
      </c>
      <c r="B147" s="2" t="s">
        <v>509</v>
      </c>
      <c r="C147" s="2" t="s">
        <v>510</v>
      </c>
      <c r="D147" s="2" t="s">
        <v>483</v>
      </c>
      <c r="E147" s="2" t="s">
        <v>21</v>
      </c>
      <c r="F147" s="2" t="s">
        <v>15</v>
      </c>
      <c r="G147" s="2" t="s">
        <v>511</v>
      </c>
      <c r="H147" s="2" t="s">
        <v>181</v>
      </c>
      <c r="I147" s="2" t="str">
        <f>IFERROR(__xludf.DUMMYFUNCTION("GOOGLETRANSLATE(C147,""fr"",""en"")"),"Good responsiveness of the local correspondent, Madame Hélène P. which is very appreciable.
Otherwise ... Mutual Dear which drives the expenses moderately. (With the best contract, I specify).
The limitation of the number of reimbursements of osteop"&amp;"athy sessions to 3 per year is very insufficient, it would be desirable to improve this.
Problem of refusing a 100% care renewal for heart problems while I have been treated for several years for this on the pretext that my attending physician would ha"&amp;"ve failed to provide elements ... I find this shocking.
MGP client since 1987, I stopped seeing its operation decrease, it's a shame.")</f>
        <v>Good responsiveness of the local correspondent, Madame Hélène P. which is very appreciable.
Otherwise ... Mutual Dear which drives the expenses moderately. (With the best contract, I specify).
The limitation of the number of reimbursements of osteopathy sessions to 3 per year is very insufficient, it would be desirable to improve this.
Problem of refusing a 100% care renewal for heart problems while I have been treated for several years for this on the pretext that my attending physician would have failed to provide elements ... I find this shocking.
MGP client since 1987, I stopped seeing its operation decrease, it's a shame.</v>
      </c>
    </row>
    <row r="148" ht="15.75" customHeight="1">
      <c r="A148" s="2">
        <v>3.0</v>
      </c>
      <c r="B148" s="2" t="s">
        <v>512</v>
      </c>
      <c r="C148" s="2" t="s">
        <v>513</v>
      </c>
      <c r="D148" s="2" t="s">
        <v>13</v>
      </c>
      <c r="E148" s="2" t="s">
        <v>14</v>
      </c>
      <c r="F148" s="2" t="s">
        <v>15</v>
      </c>
      <c r="G148" s="2" t="s">
        <v>494</v>
      </c>
      <c r="H148" s="2" t="s">
        <v>69</v>
      </c>
      <c r="I148" s="2" t="str">
        <f>IFERROR(__xludf.DUMMYFUNCTION("GOOGLETRANSLATE(C148,""fr"",""en"")"),"I am satisfied with the service, very good telephone support.
The high resot price for the car model, hoping that the connected case actually works.
")</f>
        <v>I am satisfied with the service, very good telephone support.
The high resot price for the car model, hoping that the connected case actually works.
</v>
      </c>
    </row>
    <row r="149" ht="15.75" customHeight="1">
      <c r="A149" s="2">
        <v>3.0</v>
      </c>
      <c r="B149" s="2" t="s">
        <v>514</v>
      </c>
      <c r="C149" s="2" t="s">
        <v>515</v>
      </c>
      <c r="D149" s="2" t="s">
        <v>13</v>
      </c>
      <c r="E149" s="2" t="s">
        <v>14</v>
      </c>
      <c r="F149" s="2" t="s">
        <v>15</v>
      </c>
      <c r="G149" s="2" t="s">
        <v>516</v>
      </c>
      <c r="H149" s="2" t="s">
        <v>60</v>
      </c>
      <c r="I149" s="2" t="str">
        <f>IFERROR(__xludf.DUMMYFUNCTION("GOOGLETRANSLATE(C149,""fr"",""en"")"),"It would be appreciable and welcome to receive a maturity notice before the directory of the entire sum.
The insured can thus plan and anticipate.
Thank you for your understanding.")</f>
        <v>It would be appreciable and welcome to receive a maturity notice before the directory of the entire sum.
The insured can thus plan and anticipate.
Thank you for your understanding.</v>
      </c>
    </row>
    <row r="150" ht="15.75" customHeight="1">
      <c r="A150" s="2">
        <v>2.0</v>
      </c>
      <c r="B150" s="2" t="s">
        <v>517</v>
      </c>
      <c r="C150" s="2" t="s">
        <v>518</v>
      </c>
      <c r="D150" s="2" t="s">
        <v>168</v>
      </c>
      <c r="E150" s="2" t="s">
        <v>14</v>
      </c>
      <c r="F150" s="2" t="s">
        <v>15</v>
      </c>
      <c r="G150" s="2" t="s">
        <v>519</v>
      </c>
      <c r="H150" s="2" t="s">
        <v>23</v>
      </c>
      <c r="I150" s="2" t="str">
        <f>IFERROR(__xludf.DUMMYFUNCTION("GOOGLETRANSLATE(C150,""fr"",""en"")"),"very poorly taken care of 4 months to refuse care, I DE CONSONSEILLE AXA; My put in difficulty and let me manage.")</f>
        <v>very poorly taken care of 4 months to refuse care, I DE CONSONSEILLE AXA; My put in difficulty and let me manage.</v>
      </c>
    </row>
    <row r="151" ht="15.75" customHeight="1">
      <c r="A151" s="2">
        <v>1.0</v>
      </c>
      <c r="B151" s="2" t="s">
        <v>520</v>
      </c>
      <c r="C151" s="2" t="s">
        <v>521</v>
      </c>
      <c r="D151" s="2" t="s">
        <v>26</v>
      </c>
      <c r="E151" s="2" t="s">
        <v>14</v>
      </c>
      <c r="F151" s="2" t="s">
        <v>15</v>
      </c>
      <c r="G151" s="2" t="s">
        <v>522</v>
      </c>
      <c r="H151" s="2" t="s">
        <v>56</v>
      </c>
      <c r="I151" s="2" t="str">
        <f>IFERROR(__xludf.DUMMYFUNCTION("GOOGLETRANSLATE(C151,""fr"",""en"")"),"Contact depersonalized par excellence! No customer proximity. Woe to the members refractory to the Internet and the Tel (scandalously long waiting time) Local agencies refuse to give their tel number! Decrease in quality of service! Except to send you you"&amp;"r receipt and to sell other services")</f>
        <v>Contact depersonalized par excellence! No customer proximity. Woe to the members refractory to the Internet and the Tel (scandalously long waiting time) Local agencies refuse to give their tel number! Decrease in quality of service! Except to send you your receipt and to sell other services</v>
      </c>
    </row>
    <row r="152" ht="15.75" customHeight="1">
      <c r="A152" s="2">
        <v>1.0</v>
      </c>
      <c r="B152" s="2" t="s">
        <v>523</v>
      </c>
      <c r="C152" s="2" t="s">
        <v>524</v>
      </c>
      <c r="D152" s="2" t="s">
        <v>133</v>
      </c>
      <c r="E152" s="2" t="s">
        <v>14</v>
      </c>
      <c r="F152" s="2" t="s">
        <v>15</v>
      </c>
      <c r="G152" s="2" t="s">
        <v>525</v>
      </c>
      <c r="H152" s="2" t="s">
        <v>60</v>
      </c>
      <c r="I152" s="2" t="str">
        <f>IFERROR(__xludf.DUMMYFUNCTION("GOOGLETRANSLATE(C152,""fr"",""en"")"),"I pay my health insurance € 210 by me since January 1 I have not received any refund, I connected to my customer area they do not even know me, however they draw me the € 210 of subscriptions, it is a insurance to flee")</f>
        <v>I pay my health insurance € 210 by me since January 1 I have not received any refund, I connected to my customer area they do not even know me, however they draw me the € 210 of subscriptions, it is a insurance to flee</v>
      </c>
    </row>
    <row r="153" ht="15.75" customHeight="1">
      <c r="A153" s="2">
        <v>4.0</v>
      </c>
      <c r="B153" s="2" t="s">
        <v>526</v>
      </c>
      <c r="C153" s="2" t="s">
        <v>527</v>
      </c>
      <c r="D153" s="2" t="s">
        <v>13</v>
      </c>
      <c r="E153" s="2" t="s">
        <v>14</v>
      </c>
      <c r="F153" s="2" t="s">
        <v>15</v>
      </c>
      <c r="G153" s="2" t="s">
        <v>528</v>
      </c>
      <c r="H153" s="2" t="s">
        <v>28</v>
      </c>
      <c r="I153" s="2" t="str">
        <f>IFERROR(__xludf.DUMMYFUNCTION("GOOGLETRANSLATE(C153,""fr"",""en"")"),"Too good price for young driver, I find that the site is well accessible and understanding. The price is affordable and the options are varied. Thanks")</f>
        <v>Too good price for young driver, I find that the site is well accessible and understanding. The price is affordable and the options are varied. Thanks</v>
      </c>
    </row>
    <row r="154" ht="15.75" customHeight="1">
      <c r="A154" s="2">
        <v>5.0</v>
      </c>
      <c r="B154" s="2" t="s">
        <v>529</v>
      </c>
      <c r="C154" s="2" t="s">
        <v>530</v>
      </c>
      <c r="D154" s="2" t="s">
        <v>47</v>
      </c>
      <c r="E154" s="2" t="s">
        <v>14</v>
      </c>
      <c r="F154" s="2" t="s">
        <v>15</v>
      </c>
      <c r="G154" s="2" t="s">
        <v>531</v>
      </c>
      <c r="H154" s="2" t="s">
        <v>69</v>
      </c>
      <c r="I154" s="2" t="str">
        <f>IFERROR(__xludf.DUMMYFUNCTION("GOOGLETRANSLATE(C154,""fr"",""en"")"),"I am satisfied with the service offered, the price are simple and cheaper. Really nice. After seeing thereafter, to find out if the services offered will be respected.")</f>
        <v>I am satisfied with the service offered, the price are simple and cheaper. Really nice. After seeing thereafter, to find out if the services offered will be respected.</v>
      </c>
    </row>
    <row r="155" ht="15.75" customHeight="1">
      <c r="A155" s="2">
        <v>4.0</v>
      </c>
      <c r="B155" s="2" t="s">
        <v>532</v>
      </c>
      <c r="C155" s="2" t="s">
        <v>533</v>
      </c>
      <c r="D155" s="2" t="s">
        <v>13</v>
      </c>
      <c r="E155" s="2" t="s">
        <v>14</v>
      </c>
      <c r="F155" s="2" t="s">
        <v>15</v>
      </c>
      <c r="G155" s="2" t="s">
        <v>534</v>
      </c>
      <c r="H155" s="2" t="s">
        <v>87</v>
      </c>
      <c r="I155" s="2" t="str">
        <f>IFERROR(__xludf.DUMMYFUNCTION("GOOGLETRANSLATE(C155,""fr"",""en"")"),"I like, I do not regret having come to Direct Insurance.
I also like the internet application, and the fact of apeller on a non -surcharged number, when necessary.")</f>
        <v>I like, I do not regret having come to Direct Insurance.
I also like the internet application, and the fact of apeller on a non -surcharged number, when necessary.</v>
      </c>
    </row>
    <row r="156" ht="15.75" customHeight="1">
      <c r="A156" s="2">
        <v>3.0</v>
      </c>
      <c r="B156" s="2" t="s">
        <v>535</v>
      </c>
      <c r="C156" s="2" t="s">
        <v>536</v>
      </c>
      <c r="D156" s="2" t="s">
        <v>133</v>
      </c>
      <c r="E156" s="2" t="s">
        <v>77</v>
      </c>
      <c r="F156" s="2" t="s">
        <v>15</v>
      </c>
      <c r="G156" s="2" t="s">
        <v>537</v>
      </c>
      <c r="H156" s="2" t="s">
        <v>538</v>
      </c>
      <c r="I156" s="2" t="str">
        <f>IFERROR(__xludf.DUMMYFUNCTION("GOOGLETRANSLATE(C156,""fr"",""en"")"),"Customer for 8 years in home insurance with legal protection. I was attacked by a neighbor for 7 years who gave us 4 trials to finish in cassation. Allianz took charge of all costs knowing that we have won each time.")</f>
        <v>Customer for 8 years in home insurance with legal protection. I was attacked by a neighbor for 7 years who gave us 4 trials to finish in cassation. Allianz took charge of all costs knowing that we have won each time.</v>
      </c>
    </row>
    <row r="157" ht="15.75" customHeight="1">
      <c r="A157" s="2">
        <v>3.0</v>
      </c>
      <c r="B157" s="2" t="s">
        <v>539</v>
      </c>
      <c r="C157" s="2" t="s">
        <v>540</v>
      </c>
      <c r="D157" s="2" t="s">
        <v>483</v>
      </c>
      <c r="E157" s="2" t="s">
        <v>21</v>
      </c>
      <c r="F157" s="2" t="s">
        <v>15</v>
      </c>
      <c r="G157" s="2" t="s">
        <v>541</v>
      </c>
      <c r="H157" s="2" t="s">
        <v>343</v>
      </c>
      <c r="I157" s="2" t="str">
        <f>IFERROR(__xludf.DUMMYFUNCTION("GOOGLETRANSLATE(C157,""fr"",""en"")"),"I regret that it is no longer possible to be directly in contact with the mutualist delegates! Delegates, which we designate but that we, retired, we do not even know. It would be useful, as before to have a local connection M.G.P. in Limoges in order to "&amp;"process the files in a human and precise manner.
In the meantime !
A very old member M.G.P.
G. FARDET")</f>
        <v>I regret that it is no longer possible to be directly in contact with the mutualist delegates! Delegates, which we designate but that we, retired, we do not even know. It would be useful, as before to have a local connection M.G.P. in Limoges in order to process the files in a human and precise manner.
In the meantime !
A very old member M.G.P.
G. FARDET</v>
      </c>
    </row>
    <row r="158" ht="15.75" customHeight="1">
      <c r="A158" s="2">
        <v>3.0</v>
      </c>
      <c r="B158" s="2" t="s">
        <v>542</v>
      </c>
      <c r="C158" s="2" t="s">
        <v>543</v>
      </c>
      <c r="D158" s="2" t="s">
        <v>13</v>
      </c>
      <c r="E158" s="2" t="s">
        <v>14</v>
      </c>
      <c r="F158" s="2" t="s">
        <v>15</v>
      </c>
      <c r="G158" s="2" t="s">
        <v>373</v>
      </c>
      <c r="H158" s="2" t="s">
        <v>28</v>
      </c>
      <c r="I158" s="2" t="str">
        <f>IFERROR(__xludf.DUMMYFUNCTION("GOOGLETRANSLATE(C158,""fr"",""en"")"),"Sastisfit of the ease of obtaining the quote. Satisfied to facilitate it of subscription. Satisfied with the price. It remains to see the service rendered after subscription.")</f>
        <v>Sastisfit of the ease of obtaining the quote. Satisfied to facilitate it of subscription. Satisfied with the price. It remains to see the service rendered after subscription.</v>
      </c>
    </row>
    <row r="159" ht="15.75" customHeight="1">
      <c r="A159" s="2">
        <v>3.0</v>
      </c>
      <c r="B159" s="2" t="s">
        <v>544</v>
      </c>
      <c r="C159" s="2" t="s">
        <v>545</v>
      </c>
      <c r="D159" s="2" t="s">
        <v>47</v>
      </c>
      <c r="E159" s="2" t="s">
        <v>14</v>
      </c>
      <c r="F159" s="2" t="s">
        <v>15</v>
      </c>
      <c r="G159" s="2" t="s">
        <v>362</v>
      </c>
      <c r="H159" s="2" t="s">
        <v>49</v>
      </c>
      <c r="I159" s="2" t="str">
        <f>IFERROR(__xludf.DUMMYFUNCTION("GOOGLETRANSLATE(C159,""fr"",""en"")"),"Very well, very professional salespeople. A good listening I recommend the insurance olive tree to my entourage.
Attractive prix for optional guarantees")</f>
        <v>Very well, very professional salespeople. A good listening I recommend the insurance olive tree to my entourage.
Attractive prix for optional guarantees</v>
      </c>
    </row>
    <row r="160" ht="15.75" customHeight="1">
      <c r="A160" s="2">
        <v>3.0</v>
      </c>
      <c r="B160" s="2" t="s">
        <v>546</v>
      </c>
      <c r="C160" s="2" t="s">
        <v>547</v>
      </c>
      <c r="D160" s="2" t="s">
        <v>13</v>
      </c>
      <c r="E160" s="2" t="s">
        <v>14</v>
      </c>
      <c r="F160" s="2" t="s">
        <v>15</v>
      </c>
      <c r="G160" s="2" t="s">
        <v>548</v>
      </c>
      <c r="H160" s="2" t="s">
        <v>87</v>
      </c>
      <c r="I160" s="2" t="str">
        <f>IFERROR(__xludf.DUMMYFUNCTION("GOOGLETRANSLATE(C160,""fr"",""en"")"),"The prices suit me but the covers are ultimately disappointing ... It is not better here than elsewhere but at least it is cheaper !!!
However, I find it unfortunate not being able to download the ""green card"" insurance certificate directly to my perso"&amp;"nal space")</f>
        <v>The prices suit me but the covers are ultimately disappointing ... It is not better here than elsewhere but at least it is cheaper !!!
However, I find it unfortunate not being able to download the "green card" insurance certificate directly to my personal space</v>
      </c>
    </row>
    <row r="161" ht="15.75" customHeight="1">
      <c r="A161" s="2">
        <v>5.0</v>
      </c>
      <c r="B161" s="2" t="s">
        <v>549</v>
      </c>
      <c r="C161" s="2" t="s">
        <v>550</v>
      </c>
      <c r="D161" s="2" t="s">
        <v>13</v>
      </c>
      <c r="E161" s="2" t="s">
        <v>14</v>
      </c>
      <c r="F161" s="2" t="s">
        <v>15</v>
      </c>
      <c r="G161" s="2" t="s">
        <v>551</v>
      </c>
      <c r="H161" s="2" t="s">
        <v>17</v>
      </c>
      <c r="I161" s="2" t="str">
        <f>IFERROR(__xludf.DUMMYFUNCTION("GOOGLETRANSLATE(C161,""fr"",""en"")"),"Very satisfied with the prices of the interface guarantees to carry out the subscription of the automotive insurance contract. Too bad the Direct Sponsor does not work if we want to pay by monthly payments")</f>
        <v>Very satisfied with the prices of the interface guarantees to carry out the subscription of the automotive insurance contract. Too bad the Direct Sponsor does not work if we want to pay by monthly payments</v>
      </c>
    </row>
    <row r="162" ht="15.75" customHeight="1">
      <c r="A162" s="2">
        <v>1.0</v>
      </c>
      <c r="B162" s="2" t="s">
        <v>552</v>
      </c>
      <c r="C162" s="2" t="s">
        <v>553</v>
      </c>
      <c r="D162" s="2" t="s">
        <v>47</v>
      </c>
      <c r="E162" s="2" t="s">
        <v>14</v>
      </c>
      <c r="F162" s="2" t="s">
        <v>15</v>
      </c>
      <c r="G162" s="2" t="s">
        <v>240</v>
      </c>
      <c r="H162" s="2" t="s">
        <v>49</v>
      </c>
      <c r="I162" s="2" t="str">
        <f>IFERROR(__xludf.DUMMYFUNCTION("GOOGLETRANSLATE(C162,""fr"",""en"")"),"It is to say on a TV pub that you are the cheapest, it would be better if it was true, I asked for a quote from you today and 3 quotes in agencies in my city, you are the More expensive of the 4 and when your advisor calls and that he is told that he does"&amp;" not like it and he hangs up, it is lamentable, fled as quickly as possible")</f>
        <v>It is to say on a TV pub that you are the cheapest, it would be better if it was true, I asked for a quote from you today and 3 quotes in agencies in my city, you are the More expensive of the 4 and when your advisor calls and that he is told that he does not like it and he hangs up, it is lamentable, fled as quickly as possible</v>
      </c>
    </row>
    <row r="163" ht="15.75" customHeight="1">
      <c r="A163" s="2">
        <v>5.0</v>
      </c>
      <c r="B163" s="2" t="s">
        <v>554</v>
      </c>
      <c r="C163" s="2" t="s">
        <v>555</v>
      </c>
      <c r="D163" s="2" t="s">
        <v>47</v>
      </c>
      <c r="E163" s="2" t="s">
        <v>14</v>
      </c>
      <c r="F163" s="2" t="s">
        <v>15</v>
      </c>
      <c r="G163" s="2" t="s">
        <v>556</v>
      </c>
      <c r="H163" s="2" t="s">
        <v>69</v>
      </c>
      <c r="I163" s="2" t="str">
        <f>IFERROR(__xludf.DUMMYFUNCTION("GOOGLETRANSLATE(C163,""fr"",""en"")"),"Satisfied with speed and prices. To see on time because I have not yet had sinister so I don't really know. But they respond quickly on the phone it's a good point!")</f>
        <v>Satisfied with speed and prices. To see on time because I have not yet had sinister so I don't really know. But they respond quickly on the phone it's a good point!</v>
      </c>
    </row>
    <row r="164" ht="15.75" customHeight="1">
      <c r="A164" s="2">
        <v>4.0</v>
      </c>
      <c r="B164" s="2" t="s">
        <v>557</v>
      </c>
      <c r="C164" s="2" t="s">
        <v>558</v>
      </c>
      <c r="D164" s="2" t="s">
        <v>13</v>
      </c>
      <c r="E164" s="2" t="s">
        <v>14</v>
      </c>
      <c r="F164" s="2" t="s">
        <v>15</v>
      </c>
      <c r="G164" s="2" t="s">
        <v>559</v>
      </c>
      <c r="H164" s="2" t="s">
        <v>485</v>
      </c>
      <c r="I164" s="2" t="str">
        <f>IFERROR(__xludf.DUMMYFUNCTION("GOOGLETRANSLATE(C164,""fr"",""en"")"),"very competing staff serious company. Even for those who harm with the internet is not he will guide you not without difficutlee and price also inserting")</f>
        <v>very competing staff serious company. Even for those who harm with the internet is not he will guide you not without difficutlee and price also inserting</v>
      </c>
    </row>
    <row r="165" ht="15.75" customHeight="1">
      <c r="A165" s="2">
        <v>3.0</v>
      </c>
      <c r="B165" s="2" t="s">
        <v>560</v>
      </c>
      <c r="C165" s="2" t="s">
        <v>561</v>
      </c>
      <c r="D165" s="2" t="s">
        <v>287</v>
      </c>
      <c r="E165" s="2" t="s">
        <v>14</v>
      </c>
      <c r="F165" s="2" t="s">
        <v>15</v>
      </c>
      <c r="G165" s="2" t="s">
        <v>102</v>
      </c>
      <c r="H165" s="2" t="s">
        <v>28</v>
      </c>
      <c r="I165" s="2" t="str">
        <f>IFERROR(__xludf.DUMMYFUNCTION("GOOGLETRANSLATE(C165,""fr"",""en"")"),"We are satisfied with the prices, but we have had several claims in recent years and had to beat for more than a year for reimbursements.")</f>
        <v>We are satisfied with the prices, but we have had several claims in recent years and had to beat for more than a year for reimbursements.</v>
      </c>
    </row>
    <row r="166" ht="15.75" customHeight="1">
      <c r="A166" s="2">
        <v>1.0</v>
      </c>
      <c r="B166" s="2" t="s">
        <v>562</v>
      </c>
      <c r="C166" s="2" t="s">
        <v>563</v>
      </c>
      <c r="D166" s="2" t="s">
        <v>47</v>
      </c>
      <c r="E166" s="2" t="s">
        <v>14</v>
      </c>
      <c r="F166" s="2" t="s">
        <v>15</v>
      </c>
      <c r="G166" s="2" t="s">
        <v>564</v>
      </c>
      <c r="H166" s="2" t="s">
        <v>565</v>
      </c>
      <c r="I166" s="2" t="str">
        <f>IFERROR(__xludf.DUMMYFUNCTION("GOOGLETRANSLATE(C166,""fr"",""en"")"),"Lamentable.
In addition to all the concerns I have had with this insurance from the start, they even plan on easy things!
It has been since November 2016 since November 2016 that I informed them of a change in banking domiciliation !! And this month aga"&amp;"in they take me on the old bank !!
Never seen ! They have all the papers all emails all rib all authorizations! And they continue to take me from the other bank !!!!
This time the account is closed! And there will be an unpaid! I will go to the trial if"&amp;" necessary!
May everyone get their idea but for me flee this insurance !!
")</f>
        <v>Lamentable.
In addition to all the concerns I have had with this insurance from the start, they even plan on easy things!
It has been since November 2016 since November 2016 that I informed them of a change in banking domiciliation !! And this month again they take me on the old bank !!
Never seen ! They have all the papers all emails all rib all authorizations! And they continue to take me from the other bank !!!!
This time the account is closed! And there will be an unpaid! I will go to the trial if necessary!
May everyone get their idea but for me flee this insurance !!
</v>
      </c>
    </row>
    <row r="167" ht="15.75" customHeight="1">
      <c r="A167" s="2">
        <v>4.0</v>
      </c>
      <c r="B167" s="2" t="s">
        <v>566</v>
      </c>
      <c r="C167" s="2" t="s">
        <v>567</v>
      </c>
      <c r="D167" s="2" t="s">
        <v>47</v>
      </c>
      <c r="E167" s="2" t="s">
        <v>14</v>
      </c>
      <c r="F167" s="2" t="s">
        <v>15</v>
      </c>
      <c r="G167" s="2" t="s">
        <v>568</v>
      </c>
      <c r="H167" s="2" t="s">
        <v>56</v>
      </c>
      <c r="I167" s="2" t="str">
        <f>IFERROR(__xludf.DUMMYFUNCTION("GOOGLETRANSLATE(C167,""fr"",""en"")"),"I am satisfied with the speed and reception reserved. Correct and affordable price for a young driver. Very responsive and good advice site. Thanks")</f>
        <v>I am satisfied with the speed and reception reserved. Correct and affordable price for a young driver. Very responsive and good advice site. Thanks</v>
      </c>
    </row>
    <row r="168" ht="15.75" customHeight="1">
      <c r="A168" s="2">
        <v>1.0</v>
      </c>
      <c r="B168" s="2" t="s">
        <v>569</v>
      </c>
      <c r="C168" s="2" t="s">
        <v>570</v>
      </c>
      <c r="D168" s="2" t="s">
        <v>47</v>
      </c>
      <c r="E168" s="2" t="s">
        <v>14</v>
      </c>
      <c r="F168" s="2" t="s">
        <v>15</v>
      </c>
      <c r="G168" s="2" t="s">
        <v>571</v>
      </c>
      <c r="H168" s="2" t="s">
        <v>572</v>
      </c>
      <c r="I168" s="2" t="str">
        <f>IFERROR(__xludf.DUMMYFUNCTION("GOOGLETRANSLATE(C168,""fr"",""en"")"),"If I could put less, I will do it, I hate giving a negative opinion.
But there ... it is necessary, for the good of all users.
When you let a customer more than 6 months send you all the requested information, that you do not send them a final green car"&amp;"d to be able to drive legally, that despite reminders of each refusal we persist in sending them Automatic messages and that on the phone we don't even know find a solution ... to tell him that he will pay insurance that he never had ...
I believe that e"&amp;"ven the low price is not justified and that it is very expensive to pay incompetence!")</f>
        <v>If I could put less, I will do it, I hate giving a negative opinion.
But there ... it is necessary, for the good of all users.
When you let a customer more than 6 months send you all the requested information, that you do not send them a final green card to be able to drive legally, that despite reminders of each refusal we persist in sending them Automatic messages and that on the phone we don't even know find a solution ... to tell him that he will pay insurance that he never had ...
I believe that even the low price is not justified and that it is very expensive to pay incompetence!</v>
      </c>
    </row>
    <row r="169" ht="15.75" customHeight="1">
      <c r="A169" s="2">
        <v>4.0</v>
      </c>
      <c r="B169" s="2" t="s">
        <v>573</v>
      </c>
      <c r="C169" s="2" t="s">
        <v>574</v>
      </c>
      <c r="D169" s="2" t="s">
        <v>13</v>
      </c>
      <c r="E169" s="2" t="s">
        <v>14</v>
      </c>
      <c r="F169" s="2" t="s">
        <v>15</v>
      </c>
      <c r="G169" s="2" t="s">
        <v>187</v>
      </c>
      <c r="H169" s="2" t="s">
        <v>28</v>
      </c>
      <c r="I169" s="2" t="str">
        <f>IFERROR(__xludf.DUMMYFUNCTION("GOOGLETRANSLATE(C169,""fr"",""en"")"),"Simple and practical to subscribe, the prices are unbeatable according to insurance comparison also I did not hesitate. After for the value for money, I'm waiting to know more because I just subscribed ...")</f>
        <v>Simple and practical to subscribe, the prices are unbeatable according to insurance comparison also I did not hesitate. After for the value for money, I'm waiting to know more because I just subscribed ...</v>
      </c>
    </row>
    <row r="170" ht="15.75" customHeight="1">
      <c r="A170" s="2">
        <v>2.0</v>
      </c>
      <c r="B170" s="2" t="s">
        <v>575</v>
      </c>
      <c r="C170" s="2" t="s">
        <v>576</v>
      </c>
      <c r="D170" s="2" t="s">
        <v>329</v>
      </c>
      <c r="E170" s="2" t="s">
        <v>138</v>
      </c>
      <c r="F170" s="2" t="s">
        <v>15</v>
      </c>
      <c r="G170" s="2" t="s">
        <v>577</v>
      </c>
      <c r="H170" s="2" t="s">
        <v>578</v>
      </c>
      <c r="I170" s="2" t="str">
        <f>IFERROR(__xludf.DUMMYFUNCTION("GOOGLETRANSLATE(C170,""fr"",""en"")"),"I subscribed a few months ago a Grain 9 amplifier contract due to its performance and its good reputation.
I set up a monthly levy, and recently made an exceptional transfer of 1000 euros.
What was my surprise to note that 30 euros had been taken from t"&amp;"his amount for management fees! The general conditions which had been communicated to me at the time of the subscription mention management fees of 1 to 3 %, without details of the amounts to which these percentages apply ...
I expressed my dissatisfacti"&amp;"on in customer service, which by post, said the management fees applicable according to the amounts paid. No ""commercial gesture"" was proposed to me in return for this lack of manifest transparency ...
From now on, when I have money to place, I will ce"&amp;"rtainly not put it on my grain amplifier contract.")</f>
        <v>I subscribed a few months ago a Grain 9 amplifier contract due to its performance and its good reputation.
I set up a monthly levy, and recently made an exceptional transfer of 1000 euros.
What was my surprise to note that 30 euros had been taken from this amount for management fees! The general conditions which had been communicated to me at the time of the subscription mention management fees of 1 to 3 %, without details of the amounts to which these percentages apply ...
I expressed my dissatisfaction in customer service, which by post, said the management fees applicable according to the amounts paid. No "commercial gesture" was proposed to me in return for this lack of manifest transparency ...
From now on, when I have money to place, I will certainly not put it on my grain amplifier contract.</v>
      </c>
    </row>
    <row r="171" ht="15.75" customHeight="1">
      <c r="A171" s="2">
        <v>4.0</v>
      </c>
      <c r="B171" s="2" t="s">
        <v>579</v>
      </c>
      <c r="C171" s="2" t="s">
        <v>580</v>
      </c>
      <c r="D171" s="2" t="s">
        <v>13</v>
      </c>
      <c r="E171" s="2" t="s">
        <v>14</v>
      </c>
      <c r="F171" s="2" t="s">
        <v>15</v>
      </c>
      <c r="G171" s="2" t="s">
        <v>581</v>
      </c>
      <c r="H171" s="2" t="s">
        <v>87</v>
      </c>
      <c r="I171" s="2" t="str">
        <f>IFERROR(__xludf.DUMMYFUNCTION("GOOGLETRANSLATE(C171,""fr"",""en"")"),"Good responsiveness during requests
Interesting price - we will see on the 2nd year of insurance if there is a difference in maturity at maturity
Dommange to invoice so much to have a monthly pre -elevation
")</f>
        <v>Good responsiveness during requests
Interesting price - we will see on the 2nd year of insurance if there is a difference in maturity at maturity
Dommange to invoice so much to have a monthly pre -elevation
</v>
      </c>
    </row>
    <row r="172" ht="15.75" customHeight="1">
      <c r="A172" s="2">
        <v>1.0</v>
      </c>
      <c r="B172" s="2" t="s">
        <v>582</v>
      </c>
      <c r="C172" s="2" t="s">
        <v>583</v>
      </c>
      <c r="D172" s="2" t="s">
        <v>133</v>
      </c>
      <c r="E172" s="2" t="s">
        <v>14</v>
      </c>
      <c r="F172" s="2" t="s">
        <v>15</v>
      </c>
      <c r="G172" s="2" t="s">
        <v>584</v>
      </c>
      <c r="H172" s="2" t="s">
        <v>585</v>
      </c>
      <c r="I172" s="2" t="str">
        <f>IFERROR(__xludf.DUMMYFUNCTION("GOOGLETRANSLATE(C172,""fr"",""en"")"),"I signed an auto contract by internet, I returned all the papers necessary for the finalization of my contract but I had in return by email 4 different contracts: 4 different prices with each time a different bonus/malus coef . As I have been permit for m"&amp;"any years and no accident I have signed the last contract received (the one that seemed most logical to me) with the lowest coefficient and therefore the most advantageous price. Results? I was finally given the most expensive contract (60 euros/year of d"&amp;"ifference anyway!). I sent email to all the addresses I have found: no answer, total silence! In short, to flee! I will see elsewhere as soon as I could.
")</f>
        <v>I signed an auto contract by internet, I returned all the papers necessary for the finalization of my contract but I had in return by email 4 different contracts: 4 different prices with each time a different bonus/malus coef . As I have been permit for many years and no accident I have signed the last contract received (the one that seemed most logical to me) with the lowest coefficient and therefore the most advantageous price. Results? I was finally given the most expensive contract (60 euros/year of difference anyway!). I sent email to all the addresses I have found: no answer, total silence! In short, to flee! I will see elsewhere as soon as I could.
</v>
      </c>
    </row>
    <row r="173" ht="15.75" customHeight="1">
      <c r="A173" s="2">
        <v>4.0</v>
      </c>
      <c r="B173" s="2" t="s">
        <v>586</v>
      </c>
      <c r="C173" s="2" t="s">
        <v>587</v>
      </c>
      <c r="D173" s="2" t="s">
        <v>239</v>
      </c>
      <c r="E173" s="2" t="s">
        <v>21</v>
      </c>
      <c r="F173" s="2" t="s">
        <v>15</v>
      </c>
      <c r="G173" s="2" t="s">
        <v>588</v>
      </c>
      <c r="H173" s="2" t="s">
        <v>589</v>
      </c>
      <c r="I173" s="2" t="str">
        <f>IFERROR(__xludf.DUMMYFUNCTION("GOOGLETRANSLATE(C173,""fr"",""en"")"),"I chose April, because this organization proposed interesting care for hearing aids. Today I am satisfied with April's services, but it is true that this complementary only intervened for hearing aids, being in ALD 100% for other care. I have no other com"&amp;"ments to make about ""plus"" and ""less"". I only put 3 stars for the price level, because, it seems to me, the monthly payments are a bit high. Complementary is a heavy load for older retirees!")</f>
        <v>I chose April, because this organization proposed interesting care for hearing aids. Today I am satisfied with April's services, but it is true that this complementary only intervened for hearing aids, being in ALD 100% for other care. I have no other comments to make about "plus" and "less". I only put 3 stars for the price level, because, it seems to me, the monthly payments are a bit high. Complementary is a heavy load for older retirees!</v>
      </c>
    </row>
    <row r="174" ht="15.75" customHeight="1">
      <c r="A174" s="2">
        <v>5.0</v>
      </c>
      <c r="B174" s="2" t="s">
        <v>590</v>
      </c>
      <c r="C174" s="2" t="s">
        <v>591</v>
      </c>
      <c r="D174" s="2" t="s">
        <v>97</v>
      </c>
      <c r="E174" s="2" t="s">
        <v>43</v>
      </c>
      <c r="F174" s="2" t="s">
        <v>15</v>
      </c>
      <c r="G174" s="2" t="s">
        <v>592</v>
      </c>
      <c r="H174" s="2" t="s">
        <v>338</v>
      </c>
      <c r="I174" s="2" t="str">
        <f>IFERROR(__xludf.DUMMYFUNCTION("GOOGLETRANSLATE(C174,""fr"",""en"")"),"The proposed price is completely interesting for a 2 50 cm2 wheels driven by a young driver. Online subscription is easy, simple and easy. I recommend April Moto.")</f>
        <v>The proposed price is completely interesting for a 2 50 cm2 wheels driven by a young driver. Online subscription is easy, simple and easy. I recommend April Moto.</v>
      </c>
    </row>
    <row r="175" ht="15.75" customHeight="1">
      <c r="A175" s="2">
        <v>5.0</v>
      </c>
      <c r="B175" s="2" t="s">
        <v>593</v>
      </c>
      <c r="C175" s="2" t="s">
        <v>594</v>
      </c>
      <c r="D175" s="2" t="s">
        <v>13</v>
      </c>
      <c r="E175" s="2" t="s">
        <v>14</v>
      </c>
      <c r="F175" s="2" t="s">
        <v>15</v>
      </c>
      <c r="G175" s="2" t="s">
        <v>595</v>
      </c>
      <c r="H175" s="2" t="s">
        <v>17</v>
      </c>
      <c r="I175" s="2" t="str">
        <f>IFERROR(__xludf.DUMMYFUNCTION("GOOGLETRANSLATE(C175,""fr"",""en"")"),"Simple e practical and the price is suitable. I hope everything is fine. And we hope not to have a problem in the future. All my greetings
 Cordially")</f>
        <v>Simple e practical and the price is suitable. I hope everything is fine. And we hope not to have a problem in the future. All my greetings
 Cordially</v>
      </c>
    </row>
    <row r="176" ht="15.75" customHeight="1">
      <c r="A176" s="2">
        <v>3.0</v>
      </c>
      <c r="B176" s="2" t="s">
        <v>596</v>
      </c>
      <c r="C176" s="2" t="s">
        <v>597</v>
      </c>
      <c r="D176" s="2" t="s">
        <v>133</v>
      </c>
      <c r="E176" s="2" t="s">
        <v>14</v>
      </c>
      <c r="F176" s="2" t="s">
        <v>15</v>
      </c>
      <c r="G176" s="2" t="s">
        <v>326</v>
      </c>
      <c r="H176" s="2" t="s">
        <v>60</v>
      </c>
      <c r="I176" s="2" t="str">
        <f>IFERROR(__xludf.DUMMYFUNCTION("GOOGLETRANSLATE(C176,""fr"",""en"")"),"Listening advised, quick and simple administrative procedures but it is expensive for an old touran like mine, I recommend it, but you have to review the price")</f>
        <v>Listening advised, quick and simple administrative procedures but it is expensive for an old touran like mine, I recommend it, but you have to review the price</v>
      </c>
    </row>
    <row r="177" ht="15.75" customHeight="1">
      <c r="A177" s="2">
        <v>1.0</v>
      </c>
      <c r="B177" s="2" t="s">
        <v>598</v>
      </c>
      <c r="C177" s="2" t="s">
        <v>599</v>
      </c>
      <c r="D177" s="2" t="s">
        <v>257</v>
      </c>
      <c r="E177" s="2" t="s">
        <v>14</v>
      </c>
      <c r="F177" s="2" t="s">
        <v>15</v>
      </c>
      <c r="G177" s="2" t="s">
        <v>485</v>
      </c>
      <c r="H177" s="2" t="s">
        <v>485</v>
      </c>
      <c r="I177" s="2" t="str">
        <f>IFERROR(__xludf.DUMMYFUNCTION("GOOGLETRANSLATE(C177,""fr"",""en"")"),"TO FLEE!!
Not expensive to subscribe, but read well between the lines because in case of worries, jakpot for them! I was hit from the back, as the driver made a flight offense, it's for me and 100% responsible! As I had a hanging 3 years ago, a direct te"&amp;"rminated and registered in the ""spam"" file !! Great to find another insurance!
To flee!")</f>
        <v>TO FLEE!!
Not expensive to subscribe, but read well between the lines because in case of worries, jakpot for them! I was hit from the back, as the driver made a flight offense, it's for me and 100% responsible! As I had a hanging 3 years ago, a direct terminated and registered in the "spam" file !! Great to find another insurance!
To flee!</v>
      </c>
    </row>
    <row r="178" ht="15.75" customHeight="1">
      <c r="A178" s="2">
        <v>5.0</v>
      </c>
      <c r="B178" s="2" t="s">
        <v>600</v>
      </c>
      <c r="C178" s="2" t="s">
        <v>601</v>
      </c>
      <c r="D178" s="2" t="s">
        <v>47</v>
      </c>
      <c r="E178" s="2" t="s">
        <v>14</v>
      </c>
      <c r="F178" s="2" t="s">
        <v>15</v>
      </c>
      <c r="G178" s="2" t="s">
        <v>602</v>
      </c>
      <c r="H178" s="2" t="s">
        <v>17</v>
      </c>
      <c r="I178" s="2" t="str">
        <f>IFERROR(__xludf.DUMMYFUNCTION("GOOGLETRANSLATE(C178,""fr"",""en"")"),"Perfect I am satisfied, I was advised, very friendly, thank you in advance for your reliability, the prices are correct, for young drivers is great!")</f>
        <v>Perfect I am satisfied, I was advised, very friendly, thank you in advance for your reliability, the prices are correct, for young drivers is great!</v>
      </c>
    </row>
    <row r="179" ht="15.75" customHeight="1">
      <c r="A179" s="2">
        <v>4.0</v>
      </c>
      <c r="B179" s="2" t="s">
        <v>603</v>
      </c>
      <c r="C179" s="2" t="s">
        <v>604</v>
      </c>
      <c r="D179" s="2" t="s">
        <v>97</v>
      </c>
      <c r="E179" s="2" t="s">
        <v>43</v>
      </c>
      <c r="F179" s="2" t="s">
        <v>15</v>
      </c>
      <c r="G179" s="2" t="s">
        <v>605</v>
      </c>
      <c r="H179" s="2" t="s">
        <v>28</v>
      </c>
      <c r="I179" s="2" t="str">
        <f>IFERROR(__xludf.DUMMYFUNCTION("GOOGLETRANSLATE(C179,""fr"",""en"")"),"I am satisfied with the prices you offer (-200 € compared to the competition for the same guarantees), the simplicity of your site is also to be emphasized! Cheer!")</f>
        <v>I am satisfied with the prices you offer (-200 € compared to the competition for the same guarantees), the simplicity of your site is also to be emphasized! Cheer!</v>
      </c>
    </row>
    <row r="180" ht="15.75" customHeight="1">
      <c r="A180" s="2">
        <v>3.0</v>
      </c>
      <c r="B180" s="2" t="s">
        <v>606</v>
      </c>
      <c r="C180" s="2" t="s">
        <v>607</v>
      </c>
      <c r="D180" s="2" t="s">
        <v>196</v>
      </c>
      <c r="E180" s="2" t="s">
        <v>14</v>
      </c>
      <c r="F180" s="2" t="s">
        <v>15</v>
      </c>
      <c r="G180" s="2" t="s">
        <v>608</v>
      </c>
      <c r="H180" s="2" t="s">
        <v>609</v>
      </c>
      <c r="I180" s="2" t="str">
        <f>IFERROR(__xludf.DUMMYFUNCTION("GOOGLETRANSLATE(C180,""fr"",""en"")"),"Hello,
About the commercial gesture concerning confinement since March 2020, here is the choice that the Matmut makes:
- € 75 discount on annual 2020 AUTO subscription for those who are or have lost their jobs.
- Particular attention to liberal nurses "&amp;"and retired doctors mobilized on temporary missions in connection with the COVID-19, resulting in the management of half of their medical liability contribution.
The physiotherapists and osteopaths whose medical office has been requisitioned will be offe"&amp;"red a quarter of contributions on the insurance contract guaranteeing their dedicated premises.
In total, these measures represent a financial effort of approximately € 50,000,000 according to the Matmut.
If you are not one of these cases, it is not pla"&amp;"nned to reimburse around fifty euros for the two months of March and April as it was demanded publicly by ""Que Choisir"".
The others will therefore have to be satisfied with a promise of freezing of auto/motorcycle prices until the end of 2021.")</f>
        <v>Hello,
About the commercial gesture concerning confinement since March 2020, here is the choice that the Matmut makes:
- € 75 discount on annual 2020 AUTO subscription for those who are or have lost their jobs.
- Particular attention to liberal nurses and retired doctors mobilized on temporary missions in connection with the COVID-19, resulting in the management of half of their medical liability contribution.
The physiotherapists and osteopaths whose medical office has been requisitioned will be offered a quarter of contributions on the insurance contract guaranteeing their dedicated premises.
In total, these measures represent a financial effort of approximately € 50,000,000 according to the Matmut.
If you are not one of these cases, it is not planned to reimburse around fifty euros for the two months of March and April as it was demanded publicly by "Que Choisir".
The others will therefore have to be satisfied with a promise of freezing of auto/motorcycle prices until the end of 2021.</v>
      </c>
    </row>
    <row r="181" ht="15.75" customHeight="1">
      <c r="A181" s="2">
        <v>5.0</v>
      </c>
      <c r="B181" s="2" t="s">
        <v>610</v>
      </c>
      <c r="C181" s="2" t="s">
        <v>611</v>
      </c>
      <c r="D181" s="2" t="s">
        <v>47</v>
      </c>
      <c r="E181" s="2" t="s">
        <v>14</v>
      </c>
      <c r="F181" s="2" t="s">
        <v>15</v>
      </c>
      <c r="G181" s="2" t="s">
        <v>612</v>
      </c>
      <c r="H181" s="2" t="s">
        <v>17</v>
      </c>
      <c r="I181" s="2" t="str">
        <f>IFERROR(__xludf.DUMMYFUNCTION("GOOGLETRANSLATE(C181,""fr"",""en"")"),"Satisfied with the service, internet demand and very easy and easy to use.
I recommend the olive assurance to all without exception, with good prices adapt to your insurance request.")</f>
        <v>Satisfied with the service, internet demand and very easy and easy to use.
I recommend the olive assurance to all without exception, with good prices adapt to your insurance request.</v>
      </c>
    </row>
    <row r="182" ht="15.75" customHeight="1">
      <c r="A182" s="2">
        <v>4.0</v>
      </c>
      <c r="B182" s="2" t="s">
        <v>613</v>
      </c>
      <c r="C182" s="2" t="s">
        <v>614</v>
      </c>
      <c r="D182" s="2" t="s">
        <v>47</v>
      </c>
      <c r="E182" s="2" t="s">
        <v>14</v>
      </c>
      <c r="F182" s="2" t="s">
        <v>15</v>
      </c>
      <c r="G182" s="2" t="s">
        <v>615</v>
      </c>
      <c r="H182" s="2" t="s">
        <v>87</v>
      </c>
      <c r="I182" s="2" t="str">
        <f>IFERROR(__xludf.DUMMYFUNCTION("GOOGLETRANSLATE(C182,""fr"",""en"")"),"Hello, very interesting price, simple and effective approach, all you have to do is see in the event of an accident / incident, how it reacts. I hope not to be in a hassle at the slightest problem.")</f>
        <v>Hello, very interesting price, simple and effective approach, all you have to do is see in the event of an accident / incident, how it reacts. I hope not to be in a hassle at the slightest problem.</v>
      </c>
    </row>
    <row r="183" ht="15.75" customHeight="1">
      <c r="A183" s="2">
        <v>5.0</v>
      </c>
      <c r="B183" s="2" t="s">
        <v>616</v>
      </c>
      <c r="C183" s="2" t="s">
        <v>617</v>
      </c>
      <c r="D183" s="2" t="s">
        <v>253</v>
      </c>
      <c r="E183" s="2" t="s">
        <v>21</v>
      </c>
      <c r="F183" s="2" t="s">
        <v>15</v>
      </c>
      <c r="G183" s="2" t="s">
        <v>69</v>
      </c>
      <c r="H183" s="2" t="s">
        <v>69</v>
      </c>
      <c r="I183" s="2" t="str">
        <f>IFERROR(__xludf.DUMMYFUNCTION("GOOGLETRANSLATE(C183,""fr"",""en"")"),"It is a mutual that has a good value for money. With a very kind, helpful nisrine advisor, listening to my expectations and above all very effective.")</f>
        <v>It is a mutual that has a good value for money. With a very kind, helpful nisrine advisor, listening to my expectations and above all very effective.</v>
      </c>
    </row>
    <row r="184" ht="15.75" customHeight="1">
      <c r="A184" s="2">
        <v>4.0</v>
      </c>
      <c r="B184" s="2" t="s">
        <v>618</v>
      </c>
      <c r="C184" s="2" t="s">
        <v>619</v>
      </c>
      <c r="D184" s="2" t="s">
        <v>483</v>
      </c>
      <c r="E184" s="2" t="s">
        <v>21</v>
      </c>
      <c r="F184" s="2" t="s">
        <v>15</v>
      </c>
      <c r="G184" s="2" t="s">
        <v>620</v>
      </c>
      <c r="H184" s="2" t="s">
        <v>343</v>
      </c>
      <c r="I184" s="2" t="str">
        <f>IFERROR(__xludf.DUMMYFUNCTION("GOOGLETRANSLATE(C184,""fr"",""en"")"),"Fast and efficient service!
Too bad there were concerns at the start of the implementation of this mutual health insurance….
Otherwise available and efficient customer service.")</f>
        <v>Fast and efficient service!
Too bad there were concerns at the start of the implementation of this mutual health insurance….
Otherwise available and efficient customer service.</v>
      </c>
    </row>
    <row r="185" ht="15.75" customHeight="1">
      <c r="A185" s="2">
        <v>1.0</v>
      </c>
      <c r="B185" s="2" t="s">
        <v>621</v>
      </c>
      <c r="C185" s="2" t="s">
        <v>622</v>
      </c>
      <c r="D185" s="2" t="s">
        <v>13</v>
      </c>
      <c r="E185" s="2" t="s">
        <v>14</v>
      </c>
      <c r="F185" s="2" t="s">
        <v>15</v>
      </c>
      <c r="G185" s="2" t="s">
        <v>451</v>
      </c>
      <c r="H185" s="2" t="s">
        <v>87</v>
      </c>
      <c r="I185" s="2" t="str">
        <f>IFERROR(__xludf.DUMMYFUNCTION("GOOGLETRANSLATE(C185,""fr"",""en"")"),"Complicated to join, no personalization of the service, different person each time, expeditious, standardization of treatments in the chain.
I have nothing else direct we pay a minimum service, before ensures at AXA I recognize their way of doing things")</f>
        <v>Complicated to join, no personalization of the service, different person each time, expeditious, standardization of treatments in the chain.
I have nothing else direct we pay a minimum service, before ensures at AXA I recognize their way of doing things</v>
      </c>
    </row>
    <row r="186" ht="15.75" customHeight="1">
      <c r="A186" s="2">
        <v>2.0</v>
      </c>
      <c r="B186" s="2" t="s">
        <v>623</v>
      </c>
      <c r="C186" s="2" t="s">
        <v>624</v>
      </c>
      <c r="D186" s="2" t="s">
        <v>625</v>
      </c>
      <c r="E186" s="2" t="s">
        <v>43</v>
      </c>
      <c r="F186" s="2" t="s">
        <v>15</v>
      </c>
      <c r="G186" s="2" t="s">
        <v>290</v>
      </c>
      <c r="H186" s="2" t="s">
        <v>201</v>
      </c>
      <c r="I186" s="2" t="str">
        <f>IFERROR(__xludf.DUMMYFUNCTION("GOOGLETRANSLATE(C186,""fr"",""en"")"),"Insurance to flee !!!
Online quote made and one month's insurance received but in fact we were not entitled to this insurance because to ensure a 125 it takes 2 years of permit. We did not know. However, the information transmitted during the subscriptio"&amp;"n is correct and the permit was sent at the same time as the other documents.
The deposit of 119th is not reimbursed to us while it is an error on their part of having allowed us to subscribe.
Finally, the promises to recall and send email remains utopi"&amp;"an and now the management service is unreachable!
Inadmissible !!!")</f>
        <v>Insurance to flee !!!
Online quote made and one month's insurance received but in fact we were not entitled to this insurance because to ensure a 125 it takes 2 years of permit. We did not know. However, the information transmitted during the subscription is correct and the permit was sent at the same time as the other documents.
The deposit of 119th is not reimbursed to us while it is an error on their part of having allowed us to subscribe.
Finally, the promises to recall and send email remains utopian and now the management service is unreachable!
Inadmissible !!!</v>
      </c>
    </row>
    <row r="187" ht="15.75" customHeight="1">
      <c r="A187" s="2">
        <v>1.0</v>
      </c>
      <c r="B187" s="2" t="s">
        <v>626</v>
      </c>
      <c r="C187" s="2" t="s">
        <v>627</v>
      </c>
      <c r="D187" s="2" t="s">
        <v>397</v>
      </c>
      <c r="E187" s="2" t="s">
        <v>138</v>
      </c>
      <c r="F187" s="2" t="s">
        <v>15</v>
      </c>
      <c r="G187" s="2" t="s">
        <v>628</v>
      </c>
      <c r="H187" s="2" t="s">
        <v>284</v>
      </c>
      <c r="I187" s="2" t="str">
        <f>IFERROR(__xludf.DUMMYFUNCTION("GOOGLETRANSLATE(C187,""fr"",""en"")"),"Retirement contract Madelin I find myself at the RSA and homeless I need the repurchase of my contract in view of my situation and Swiss Life refuses me despite the supporting documents provided it is now that I do not need my retirement I I need it to fi"&amp;"nd me an apartment")</f>
        <v>Retirement contract Madelin I find myself at the RSA and homeless I need the repurchase of my contract in view of my situation and Swiss Life refuses me despite the supporting documents provided it is now that I do not need my retirement I I need it to find me an apartment</v>
      </c>
    </row>
    <row r="188" ht="15.75" customHeight="1">
      <c r="A188" s="2">
        <v>4.0</v>
      </c>
      <c r="B188" s="2" t="s">
        <v>629</v>
      </c>
      <c r="C188" s="2" t="s">
        <v>630</v>
      </c>
      <c r="D188" s="2" t="s">
        <v>13</v>
      </c>
      <c r="E188" s="2" t="s">
        <v>14</v>
      </c>
      <c r="F188" s="2" t="s">
        <v>15</v>
      </c>
      <c r="G188" s="2" t="s">
        <v>605</v>
      </c>
      <c r="H188" s="2" t="s">
        <v>28</v>
      </c>
      <c r="I188" s="2" t="str">
        <f>IFERROR(__xludf.DUMMYFUNCTION("GOOGLETRANSLATE(C188,""fr"",""en"")"),"I am satisfied with direct insurance best quality price nothing to say I will recommend you to my loved ones without very fast and simple hesitation of understanding")</f>
        <v>I am satisfied with direct insurance best quality price nothing to say I will recommend you to my loved ones without very fast and simple hesitation of understanding</v>
      </c>
    </row>
    <row r="189" ht="15.75" customHeight="1">
      <c r="A189" s="2">
        <v>3.0</v>
      </c>
      <c r="B189" s="2" t="s">
        <v>631</v>
      </c>
      <c r="C189" s="2" t="s">
        <v>632</v>
      </c>
      <c r="D189" s="2" t="s">
        <v>47</v>
      </c>
      <c r="E189" s="2" t="s">
        <v>14</v>
      </c>
      <c r="F189" s="2" t="s">
        <v>15</v>
      </c>
      <c r="G189" s="2" t="s">
        <v>16</v>
      </c>
      <c r="H189" s="2" t="s">
        <v>17</v>
      </c>
      <c r="I189" s="2" t="str">
        <f>IFERROR(__xludf.DUMMYFUNCTION("GOOGLETRANSLATE(C189,""fr"",""en"")"),"During our telephone conversation I specified that I had a sponsorship code, but it did not work because I went through a comparator it would be necessary to specify it before subscribing because you attract the customer for offers and as Help once subscr"&amp;"ibed we are not entitled to it.")</f>
        <v>During our telephone conversation I specified that I had a sponsorship code, but it did not work because I went through a comparator it would be necessary to specify it before subscribing because you attract the customer for offers and as Help once subscribed we are not entitled to it.</v>
      </c>
    </row>
    <row r="190" ht="15.75" customHeight="1">
      <c r="A190" s="2">
        <v>4.0</v>
      </c>
      <c r="B190" s="2" t="s">
        <v>633</v>
      </c>
      <c r="C190" s="2" t="s">
        <v>634</v>
      </c>
      <c r="D190" s="2" t="s">
        <v>483</v>
      </c>
      <c r="E190" s="2" t="s">
        <v>21</v>
      </c>
      <c r="F190" s="2" t="s">
        <v>15</v>
      </c>
      <c r="G190" s="2" t="s">
        <v>635</v>
      </c>
      <c r="H190" s="2" t="s">
        <v>74</v>
      </c>
      <c r="I190" s="2" t="str">
        <f>IFERROR(__xludf.DUMMYFUNCTION("GOOGLETRANSLATE(C190,""fr"",""en"")"),"A member for a long time at the MGP I have always been satisfied with the services, no reimbursement problem, immediate support during hospitalization the only reserve that I would make would be the very partial care of the fees that A strong tendency to "&amp;"generalize. But it is undoubtedly the authorities to avoid these overflowing overflows at the ""customer's head"" or the mutual.
 Continue to fight for us, for our protection; We all need it these days.
Thank you for your daily investment.
")</f>
        <v>A member for a long time at the MGP I have always been satisfied with the services, no reimbursement problem, immediate support during hospitalization the only reserve that I would make would be the very partial care of the fees that A strong tendency to generalize. But it is undoubtedly the authorities to avoid these overflowing overflows at the "customer's head" or the mutual.
 Continue to fight for us, for our protection; We all need it these days.
Thank you for your daily investment.
</v>
      </c>
    </row>
    <row r="191" ht="15.75" customHeight="1">
      <c r="A191" s="2">
        <v>4.0</v>
      </c>
      <c r="B191" s="2" t="s">
        <v>636</v>
      </c>
      <c r="C191" s="2" t="s">
        <v>637</v>
      </c>
      <c r="D191" s="2" t="s">
        <v>47</v>
      </c>
      <c r="E191" s="2" t="s">
        <v>14</v>
      </c>
      <c r="F191" s="2" t="s">
        <v>15</v>
      </c>
      <c r="G191" s="2" t="s">
        <v>638</v>
      </c>
      <c r="H191" s="2" t="s">
        <v>60</v>
      </c>
      <c r="I191" s="2" t="str">
        <f>IFERROR(__xludf.DUMMYFUNCTION("GOOGLETRANSLATE(C191,""fr"",""en"")"),"I am very satisfied with the service offered. The prices are attractive and the procedures simple and fast.
I would highly recommend my loved ones to make sure to you")</f>
        <v>I am very satisfied with the service offered. The prices are attractive and the procedures simple and fast.
I would highly recommend my loved ones to make sure to you</v>
      </c>
    </row>
    <row r="192" ht="15.75" customHeight="1">
      <c r="A192" s="2">
        <v>3.0</v>
      </c>
      <c r="B192" s="2" t="s">
        <v>639</v>
      </c>
      <c r="C192" s="2" t="s">
        <v>640</v>
      </c>
      <c r="D192" s="2" t="s">
        <v>287</v>
      </c>
      <c r="E192" s="2" t="s">
        <v>14</v>
      </c>
      <c r="F192" s="2" t="s">
        <v>15</v>
      </c>
      <c r="G192" s="2" t="s">
        <v>568</v>
      </c>
      <c r="H192" s="2" t="s">
        <v>56</v>
      </c>
      <c r="I192" s="2" t="str">
        <f>IFERROR(__xludf.DUMMYFUNCTION("GOOGLETRANSLATE(C192,""fr"",""en"")"),"Correct but I find that there is a lack of loyalty bonuses because I have been at home for so long. a significant commercial gesture would be appreciated cordially")</f>
        <v>Correct but I find that there is a lack of loyalty bonuses because I have been at home for so long. a significant commercial gesture would be appreciated cordially</v>
      </c>
    </row>
    <row r="193" ht="15.75" customHeight="1">
      <c r="A193" s="2">
        <v>3.0</v>
      </c>
      <c r="B193" s="2" t="s">
        <v>641</v>
      </c>
      <c r="C193" s="2" t="s">
        <v>642</v>
      </c>
      <c r="D193" s="2" t="s">
        <v>287</v>
      </c>
      <c r="E193" s="2" t="s">
        <v>14</v>
      </c>
      <c r="F193" s="2" t="s">
        <v>15</v>
      </c>
      <c r="G193" s="2" t="s">
        <v>643</v>
      </c>
      <c r="H193" s="2" t="s">
        <v>155</v>
      </c>
      <c r="I193" s="2" t="str">
        <f>IFERROR(__xludf.DUMMYFUNCTION("GOOGLETRANSLATE(C193,""fr"",""en"")"),"Despite a 50% bonus I just had an accident considered responsible and the GMF turns me as a malpropre and sends me back to another ""joker"" insurer.")</f>
        <v>Despite a 50% bonus I just had an accident considered responsible and the GMF turns me as a malpropre and sends me back to another "joker" insurer.</v>
      </c>
    </row>
    <row r="194" ht="15.75" customHeight="1">
      <c r="A194" s="2">
        <v>4.0</v>
      </c>
      <c r="B194" s="2" t="s">
        <v>644</v>
      </c>
      <c r="C194" s="2" t="s">
        <v>645</v>
      </c>
      <c r="D194" s="2" t="s">
        <v>483</v>
      </c>
      <c r="E194" s="2" t="s">
        <v>138</v>
      </c>
      <c r="F194" s="2" t="s">
        <v>15</v>
      </c>
      <c r="G194" s="2" t="s">
        <v>646</v>
      </c>
      <c r="H194" s="2" t="s">
        <v>338</v>
      </c>
      <c r="I194" s="2" t="str">
        <f>IFERROR(__xludf.DUMMYFUNCTION("GOOGLETRANSLATE(C194,""fr"",""en"")"),"Very attentive service, always accommodating as far as possible. It's nice. We always have an answer to our questions. Despite ENSAP delays.")</f>
        <v>Very attentive service, always accommodating as far as possible. It's nice. We always have an answer to our questions. Despite ENSAP delays.</v>
      </c>
    </row>
    <row r="195" ht="15.75" customHeight="1">
      <c r="A195" s="2">
        <v>2.0</v>
      </c>
      <c r="B195" s="2" t="s">
        <v>647</v>
      </c>
      <c r="C195" s="2" t="s">
        <v>648</v>
      </c>
      <c r="D195" s="2" t="s">
        <v>341</v>
      </c>
      <c r="E195" s="2" t="s">
        <v>14</v>
      </c>
      <c r="F195" s="2" t="s">
        <v>15</v>
      </c>
      <c r="G195" s="2" t="s">
        <v>649</v>
      </c>
      <c r="H195" s="2" t="s">
        <v>650</v>
      </c>
      <c r="I195" s="2" t="str">
        <f>IFERROR(__xludf.DUMMYFUNCTION("GOOGLETRANSLATE(C195,""fr"",""en"")"),"Car insurance contract, motorcycle terminated for this end of the year because despite the payment of troubleshooting insurance, they are not happy with my two breakdowns+ two non -responsible claims. Incredible ...... at the maaf, what they prefer are th"&amp;"e customers who have no claim but then none. FYI, they advise you to leave before termination so that it does not appear on your file. They make you a culprit when they are obviously only in the search for financial gain.")</f>
        <v>Car insurance contract, motorcycle terminated for this end of the year because despite the payment of troubleshooting insurance, they are not happy with my two breakdowns+ two non -responsible claims. Incredible ...... at the maaf, what they prefer are the customers who have no claim but then none. FYI, they advise you to leave before termination so that it does not appear on your file. They make you a culprit when they are obviously only in the search for financial gain.</v>
      </c>
    </row>
    <row r="196" ht="15.75" customHeight="1">
      <c r="A196" s="2">
        <v>1.0</v>
      </c>
      <c r="B196" s="2" t="s">
        <v>651</v>
      </c>
      <c r="C196" s="2" t="s">
        <v>652</v>
      </c>
      <c r="D196" s="2" t="s">
        <v>653</v>
      </c>
      <c r="E196" s="2" t="s">
        <v>322</v>
      </c>
      <c r="F196" s="2" t="s">
        <v>15</v>
      </c>
      <c r="G196" s="2" t="s">
        <v>654</v>
      </c>
      <c r="H196" s="2" t="s">
        <v>245</v>
      </c>
      <c r="I196" s="2" t="str">
        <f>IFERROR(__xludf.DUMMYFUNCTION("GOOGLETRANSLATE(C196,""fr"",""en"")"),"I am in the middle of a settlement process following the death of my spouse occurring in January 2017. I started the first steps as early as January, and to date my file is still not settled. Like the different people who expressed themselves, I have know"&amp;"n the losses of documents, the double requests, the supporting documents endlessly, the postponements of weeks in weeks ... communications by postal letters, while I Communicate by email with the agency etc ... Impossible to reach the slightest manager an"&amp;"d the person who answers the phone can do nothing! In short, I feel a real desire to slow down the processing of the file as much as possible so as not to pay what comes back by right. I am extremely disappointed and will never recommend this institution "&amp;"to a loved one. I live in Quebec and I can tell you that customers have a completely different importance and a completely different consideration.")</f>
        <v>I am in the middle of a settlement process following the death of my spouse occurring in January 2017. I started the first steps as early as January, and to date my file is still not settled. Like the different people who expressed themselves, I have known the losses of documents, the double requests, the supporting documents endlessly, the postponements of weeks in weeks ... communications by postal letters, while I Communicate by email with the agency etc ... Impossible to reach the slightest manager and the person who answers the phone can do nothing! In short, I feel a real desire to slow down the processing of the file as much as possible so as not to pay what comes back by right. I am extremely disappointed and will never recommend this institution to a loved one. I live in Quebec and I can tell you that customers have a completely different importance and a completely different consideration.</v>
      </c>
    </row>
    <row r="197" ht="15.75" customHeight="1">
      <c r="A197" s="2">
        <v>3.0</v>
      </c>
      <c r="B197" s="2" t="s">
        <v>655</v>
      </c>
      <c r="C197" s="2" t="s">
        <v>656</v>
      </c>
      <c r="D197" s="2" t="s">
        <v>248</v>
      </c>
      <c r="E197" s="2" t="s">
        <v>14</v>
      </c>
      <c r="F197" s="2" t="s">
        <v>15</v>
      </c>
      <c r="G197" s="2" t="s">
        <v>571</v>
      </c>
      <c r="H197" s="2" t="s">
        <v>572</v>
      </c>
      <c r="I197" s="2" t="str">
        <f>IFERROR(__xludf.DUMMYFUNCTION("GOOGLETRANSLATE(C197,""fr"",""en"")"),"To flee ! I subscribed an auto insurance contract on 14/12/2018. I sent all the documents requested by the insurer (in a fairly impressive proportion elsewhere, unheard of). Last week, I am contacted to inform me that my file is complete and that I would "&amp;"receive my green card after verifying my information statement from my former insurer. And the next day, Ho Surprise, I receive a call telling me that the gray card of the vehicle I had already sent. Since then, after multiple shipments from my customer a"&amp;"rea via mobile, computer, by email ... (a good twenty shipping in all); No one in customer service is able to tell me if my document was received and my provisional insurance certificate expired on 14/01. Result I end up with a vehicle that I can no longe"&amp;"r use since I do not have a green card. Incompetent, disrespectful customer service. When I see how it goes for a simple contract finalization, I hardly dare imagine the course of the resolution of a dispute. A word of advice: Flee !!!")</f>
        <v>To flee ! I subscribed an auto insurance contract on 14/12/2018. I sent all the documents requested by the insurer (in a fairly impressive proportion elsewhere, unheard of). Last week, I am contacted to inform me that my file is complete and that I would receive my green card after verifying my information statement from my former insurer. And the next day, Ho Surprise, I receive a call telling me that the gray card of the vehicle I had already sent. Since then, after multiple shipments from my customer area via mobile, computer, by email ... (a good twenty shipping in all); No one in customer service is able to tell me if my document was received and my provisional insurance certificate expired on 14/01. Result I end up with a vehicle that I can no longer use since I do not have a green card. Incompetent, disrespectful customer service. When I see how it goes for a simple contract finalization, I hardly dare imagine the course of the resolution of a dispute. A word of advice: Flee !!!</v>
      </c>
    </row>
    <row r="198" ht="15.75" customHeight="1">
      <c r="A198" s="2">
        <v>1.0</v>
      </c>
      <c r="B198" s="2" t="s">
        <v>657</v>
      </c>
      <c r="C198" s="2" t="s">
        <v>658</v>
      </c>
      <c r="D198" s="2" t="s">
        <v>253</v>
      </c>
      <c r="E198" s="2" t="s">
        <v>21</v>
      </c>
      <c r="F198" s="2" t="s">
        <v>15</v>
      </c>
      <c r="G198" s="2" t="s">
        <v>659</v>
      </c>
      <c r="H198" s="2" t="s">
        <v>99</v>
      </c>
      <c r="I198" s="2" t="str">
        <f>IFERROR(__xludf.DUMMYFUNCTION("GOOGLETRANSLATE(C198,""fr"",""en"")"),"insurance to avoid absolutely. I was contacted by phone to take out two health provident contracts in 2016 for me and my concubine, I asked for the termination of the two contracts and today I am still claimed contributions for the contract of my concubin"&amp;"e. We paid by check the sum of 150 euros for the contributions and the recommended fees. A big abuse for insured customers hang more than six years and that this insurance has served us nothing hanging from all these years. Despite my phone number and my "&amp;"email address that this insurance company had, we have never been contacted.")</f>
        <v>insurance to avoid absolutely. I was contacted by phone to take out two health provident contracts in 2016 for me and my concubine, I asked for the termination of the two contracts and today I am still claimed contributions for the contract of my concubine. We paid by check the sum of 150 euros for the contributions and the recommended fees. A big abuse for insured customers hang more than six years and that this insurance has served us nothing hanging from all these years. Despite my phone number and my email address that this insurance company had, we have never been contacted.</v>
      </c>
    </row>
    <row r="199" ht="15.75" customHeight="1">
      <c r="A199" s="2">
        <v>3.0</v>
      </c>
      <c r="B199" s="2" t="s">
        <v>660</v>
      </c>
      <c r="C199" s="2" t="s">
        <v>661</v>
      </c>
      <c r="D199" s="2" t="s">
        <v>13</v>
      </c>
      <c r="E199" s="2" t="s">
        <v>14</v>
      </c>
      <c r="F199" s="2" t="s">
        <v>15</v>
      </c>
      <c r="G199" s="2" t="s">
        <v>662</v>
      </c>
      <c r="H199" s="2" t="s">
        <v>99</v>
      </c>
      <c r="I199" s="2" t="str">
        <f>IFERROR(__xludf.DUMMYFUNCTION("GOOGLETRANSLATE(C199,""fr"",""en"")"),"I am generally satisfied, I never needed to use your services
But the amount is not the cheapest on the market
Very good day")</f>
        <v>I am generally satisfied, I never needed to use your services
But the amount is not the cheapest on the market
Very good day</v>
      </c>
    </row>
    <row r="200" ht="15.75" customHeight="1">
      <c r="A200" s="2">
        <v>1.0</v>
      </c>
      <c r="B200" s="2" t="s">
        <v>663</v>
      </c>
      <c r="C200" s="2" t="s">
        <v>664</v>
      </c>
      <c r="D200" s="2" t="s">
        <v>26</v>
      </c>
      <c r="E200" s="2" t="s">
        <v>77</v>
      </c>
      <c r="F200" s="2" t="s">
        <v>15</v>
      </c>
      <c r="G200" s="2" t="s">
        <v>98</v>
      </c>
      <c r="H200" s="2" t="s">
        <v>99</v>
      </c>
      <c r="I200" s="2" t="str">
        <f>IFERROR(__xludf.DUMMYFUNCTION("GOOGLETRANSLATE(C200,""fr"",""en"")"),"Hello I am very unhappy with the Macif which commits an EXLE expert firm for different claims and disputes. Indeed I currently have a dispute with my neighbor for a tree story. Also the 1st expertise was canceled by the Elex Cabin cause not available. The"&amp;" opposing expert fixes a new expertise for which I inform all parts of my unavailability. I offer several new dates which are not retained by the opposing expert who informs me that the summons will be maintained. My lawyer and I even inform and insist th"&amp;"at it is impossible for us to be present on this date, that our presence is essential, in addition not clearly knowing what it is going on. Despite my written prohibition in the Elex cabinet not to present themselves to the summons, they still attended th"&amp;"e expertise putting us in a unfortunate situation that will have to be explained. So I specify that the expert has no knowledge of my file since he never contacted me to exchange. This practice must be usual in this ELEX expert firm to attend contradictor"&amp;"y expertise without even hearing their client. Elex never defended my date of date from the opposing firm. One wonders what such an expertise is for if not to make the slaughter of expertise collection. By ricochet I am therefore very disappointed and ver"&amp;"y unhappy with the Macif, knowing that I recently discovered that my protective formula contract does not understand the legal protection which has never been proposed to me. So I just subscribed before a new inconvenience occurred.")</f>
        <v>Hello I am very unhappy with the Macif which commits an EXLE expert firm for different claims and disputes. Indeed I currently have a dispute with my neighbor for a tree story. Also the 1st expertise was canceled by the Elex Cabin cause not available. The opposing expert fixes a new expertise for which I inform all parts of my unavailability. I offer several new dates which are not retained by the opposing expert who informs me that the summons will be maintained. My lawyer and I even inform and insist that it is impossible for us to be present on this date, that our presence is essential, in addition not clearly knowing what it is going on. Despite my written prohibition in the Elex cabinet not to present themselves to the summons, they still attended the expertise putting us in a unfortunate situation that will have to be explained. So I specify that the expert has no knowledge of my file since he never contacted me to exchange. This practice must be usual in this ELEX expert firm to attend contradictory expertise without even hearing their client. Elex never defended my date of date from the opposing firm. One wonders what such an expertise is for if not to make the slaughter of expertise collection. By ricochet I am therefore very disappointed and very unhappy with the Macif, knowing that I recently discovered that my protective formula contract does not understand the legal protection which has never been proposed to me. So I just subscribed before a new inconvenience occurred.</v>
      </c>
    </row>
    <row r="201" ht="15.75" customHeight="1">
      <c r="A201" s="2">
        <v>5.0</v>
      </c>
      <c r="B201" s="2" t="s">
        <v>665</v>
      </c>
      <c r="C201" s="2" t="s">
        <v>666</v>
      </c>
      <c r="D201" s="2" t="s">
        <v>13</v>
      </c>
      <c r="E201" s="2" t="s">
        <v>14</v>
      </c>
      <c r="F201" s="2" t="s">
        <v>15</v>
      </c>
      <c r="G201" s="2" t="s">
        <v>111</v>
      </c>
      <c r="H201" s="2" t="s">
        <v>99</v>
      </c>
      <c r="I201" s="2" t="str">
        <f>IFERROR(__xludf.DUMMYFUNCTION("GOOGLETRANSLATE(C201,""fr"",""en"")"),"hello I am very satisfied with you service and advise them are very listening and the management of files nothing to say thank you and good day")</f>
        <v>hello I am very satisfied with you service and advise them are very listening and the management of files nothing to say thank you and good day</v>
      </c>
    </row>
    <row r="202" ht="15.75" customHeight="1">
      <c r="A202" s="2">
        <v>5.0</v>
      </c>
      <c r="B202" s="2" t="s">
        <v>667</v>
      </c>
      <c r="C202" s="2" t="s">
        <v>668</v>
      </c>
      <c r="D202" s="2" t="s">
        <v>47</v>
      </c>
      <c r="E202" s="2" t="s">
        <v>14</v>
      </c>
      <c r="F202" s="2" t="s">
        <v>15</v>
      </c>
      <c r="G202" s="2" t="s">
        <v>669</v>
      </c>
      <c r="H202" s="2" t="s">
        <v>670</v>
      </c>
      <c r="I202" s="2" t="str">
        <f>IFERROR(__xludf.DUMMYFUNCTION("GOOGLETRANSLATE(C202,""fr"",""en"")"),"I just changed insurance for the benefit of the Olivier Assurances and I must admit that everything went very well. The termination with my old insurance has not encountered any difficulty. I received my new green card very quickly. For the moment, I have"&amp;" nothing to complain about and I recommend the Olivier Insurance to my entourage.")</f>
        <v>I just changed insurance for the benefit of the Olivier Assurances and I must admit that everything went very well. The termination with my old insurance has not encountered any difficulty. I received my new green card very quickly. For the moment, I have nothing to complain about and I recommend the Olivier Insurance to my entourage.</v>
      </c>
    </row>
    <row r="203" ht="15.75" customHeight="1">
      <c r="A203" s="2">
        <v>2.0</v>
      </c>
      <c r="B203" s="2" t="s">
        <v>671</v>
      </c>
      <c r="C203" s="2" t="s">
        <v>672</v>
      </c>
      <c r="D203" s="2" t="s">
        <v>196</v>
      </c>
      <c r="E203" s="2" t="s">
        <v>77</v>
      </c>
      <c r="F203" s="2" t="s">
        <v>15</v>
      </c>
      <c r="G203" s="2" t="s">
        <v>673</v>
      </c>
      <c r="H203" s="2" t="s">
        <v>140</v>
      </c>
      <c r="I203" s="2" t="str">
        <f>IFERROR(__xludf.DUMMYFUNCTION("GOOGLETRANSLATE(C203,""fr"",""en"")"),"Matmut legal insurance is only used to make it pretty. On the merits, the legal advisers just have to limit the expenditure of the company and make fun of their subscribers. But this is the big defect of all insurance in general. It may be time for users "&amp;"of this country to invent something else such as regrouping within an association which would offer real protection.")</f>
        <v>Matmut legal insurance is only used to make it pretty. On the merits, the legal advisers just have to limit the expenditure of the company and make fun of their subscribers. But this is the big defect of all insurance in general. It may be time for users of this country to invent something else such as regrouping within an association which would offer real protection.</v>
      </c>
    </row>
    <row r="204" ht="15.75" customHeight="1">
      <c r="A204" s="2">
        <v>5.0</v>
      </c>
      <c r="B204" s="2" t="s">
        <v>674</v>
      </c>
      <c r="C204" s="2" t="s">
        <v>675</v>
      </c>
      <c r="D204" s="2" t="s">
        <v>13</v>
      </c>
      <c r="E204" s="2" t="s">
        <v>14</v>
      </c>
      <c r="F204" s="2" t="s">
        <v>15</v>
      </c>
      <c r="G204" s="2" t="s">
        <v>17</v>
      </c>
      <c r="H204" s="2" t="s">
        <v>17</v>
      </c>
      <c r="I204" s="2" t="str">
        <f>IFERROR(__xludf.DUMMYFUNCTION("GOOGLETRANSLATE(C204,""fr"",""en"")"),"I am satisfied with the service and the prices.
I highly recommend this insurance.
Simple and quick to subscribe, everything is well explained and the prices are affordable.")</f>
        <v>I am satisfied with the service and the prices.
I highly recommend this insurance.
Simple and quick to subscribe, everything is well explained and the prices are affordable.</v>
      </c>
    </row>
    <row r="205" ht="15.75" customHeight="1">
      <c r="A205" s="2">
        <v>3.0</v>
      </c>
      <c r="B205" s="2" t="s">
        <v>676</v>
      </c>
      <c r="C205" s="2" t="s">
        <v>677</v>
      </c>
      <c r="D205" s="2" t="s">
        <v>72</v>
      </c>
      <c r="E205" s="2" t="s">
        <v>21</v>
      </c>
      <c r="F205" s="2" t="s">
        <v>15</v>
      </c>
      <c r="G205" s="2" t="s">
        <v>678</v>
      </c>
      <c r="H205" s="2" t="s">
        <v>56</v>
      </c>
      <c r="I205" s="2" t="str">
        <f>IFERROR(__xludf.DUMMYFUNCTION("GOOGLETRANSLATE(C205,""fr"",""en"")"),"I called after sending a quote that had been treated by the Internet platform. I was received by Lamia who was very patient when I explained my problem. I even had more explanations. Very appreciable exchange with someone very polite.")</f>
        <v>I called after sending a quote that had been treated by the Internet platform. I was received by Lamia who was very patient when I explained my problem. I even had more explanations. Very appreciable exchange with someone very polite.</v>
      </c>
    </row>
    <row r="206" ht="15.75" customHeight="1">
      <c r="A206" s="2">
        <v>5.0</v>
      </c>
      <c r="B206" s="2" t="s">
        <v>679</v>
      </c>
      <c r="C206" s="2" t="s">
        <v>680</v>
      </c>
      <c r="D206" s="2" t="s">
        <v>47</v>
      </c>
      <c r="E206" s="2" t="s">
        <v>14</v>
      </c>
      <c r="F206" s="2" t="s">
        <v>15</v>
      </c>
      <c r="G206" s="2" t="s">
        <v>592</v>
      </c>
      <c r="H206" s="2" t="s">
        <v>338</v>
      </c>
      <c r="I206" s="2" t="str">
        <f>IFERROR(__xludf.DUMMYFUNCTION("GOOGLETRANSLATE(C206,""fr"",""en"")"),"Simple and practical, prices are advantageous and challenges any competition. The olive tree insurance reassures us and guide us effectively and keeps us informed of all the procedures and the explanation are provided with. A great pleasure to make sure o"&amp;"f the Olivier Insurance")</f>
        <v>Simple and practical, prices are advantageous and challenges any competition. The olive tree insurance reassures us and guide us effectively and keeps us informed of all the procedures and the explanation are provided with. A great pleasure to make sure of the Olivier Insurance</v>
      </c>
    </row>
    <row r="207" ht="15.75" customHeight="1">
      <c r="A207" s="2">
        <v>2.0</v>
      </c>
      <c r="B207" s="2" t="s">
        <v>681</v>
      </c>
      <c r="C207" s="2" t="s">
        <v>682</v>
      </c>
      <c r="D207" s="2" t="s">
        <v>47</v>
      </c>
      <c r="E207" s="2" t="s">
        <v>14</v>
      </c>
      <c r="F207" s="2" t="s">
        <v>15</v>
      </c>
      <c r="G207" s="2" t="s">
        <v>245</v>
      </c>
      <c r="H207" s="2" t="s">
        <v>245</v>
      </c>
      <c r="I207" s="2" t="str">
        <f>IFERROR(__xludf.DUMMYFUNCTION("GOOGLETRANSLATE(C207,""fr"",""en"")"),"Accident that occurred today 15 days and still no repaired vehicle ... The olive tree asks us to make the declaration by phone and 10 days after us asks us to send them a declaration by email, why not ask us from the start ? I called 4 days ago to get new"&amp;"s, the advisor who takes care of my file is on phone I am told he reminds you, I am still waiting for his call. On the other hand to tidy up they are very fast, registered letter received 1 week later.")</f>
        <v>Accident that occurred today 15 days and still no repaired vehicle ... The olive tree asks us to make the declaration by phone and 10 days after us asks us to send them a declaration by email, why not ask us from the start ? I called 4 days ago to get news, the advisor who takes care of my file is on phone I am told he reminds you, I am still waiting for his call. On the other hand to tidy up they are very fast, registered letter received 1 week later.</v>
      </c>
    </row>
    <row r="208" ht="15.75" customHeight="1">
      <c r="A208" s="2">
        <v>3.0</v>
      </c>
      <c r="B208" s="2" t="s">
        <v>683</v>
      </c>
      <c r="C208" s="2" t="s">
        <v>684</v>
      </c>
      <c r="D208" s="2" t="s">
        <v>13</v>
      </c>
      <c r="E208" s="2" t="s">
        <v>14</v>
      </c>
      <c r="F208" s="2" t="s">
        <v>15</v>
      </c>
      <c r="G208" s="2" t="s">
        <v>685</v>
      </c>
      <c r="H208" s="2" t="s">
        <v>87</v>
      </c>
      <c r="I208" s="2" t="str">
        <f>IFERROR(__xludf.DUMMYFUNCTION("GOOGLETRANSLATE(C208,""fr"",""en"")"),"Competitive price but validation after laborious payment because request for termination authorization despite option Hamon law. and scan gray card announced illegible yet HD")</f>
        <v>Competitive price but validation after laborious payment because request for termination authorization despite option Hamon law. and scan gray card announced illegible yet HD</v>
      </c>
    </row>
    <row r="209" ht="15.75" customHeight="1">
      <c r="A209" s="2">
        <v>3.0</v>
      </c>
      <c r="B209" s="2" t="s">
        <v>686</v>
      </c>
      <c r="C209" s="2" t="s">
        <v>687</v>
      </c>
      <c r="D209" s="2" t="s">
        <v>47</v>
      </c>
      <c r="E209" s="2" t="s">
        <v>14</v>
      </c>
      <c r="F209" s="2" t="s">
        <v>15</v>
      </c>
      <c r="G209" s="2" t="s">
        <v>688</v>
      </c>
      <c r="H209" s="2" t="s">
        <v>60</v>
      </c>
      <c r="I209" s="2" t="str">
        <f>IFERROR(__xludf.DUMMYFUNCTION("GOOGLETRANSLATE(C209,""fr"",""en"")"),"I am satisfied with the price but I have not yet tried the service. To see with time but price level I find that it is correct for a 3rd year of insurance")</f>
        <v>I am satisfied with the price but I have not yet tried the service. To see with time but price level I find that it is correct for a 3rd year of insurance</v>
      </c>
    </row>
    <row r="210" ht="15.75" customHeight="1">
      <c r="A210" s="2">
        <v>5.0</v>
      </c>
      <c r="B210" s="2" t="s">
        <v>689</v>
      </c>
      <c r="C210" s="2" t="s">
        <v>690</v>
      </c>
      <c r="D210" s="2" t="s">
        <v>47</v>
      </c>
      <c r="E210" s="2" t="s">
        <v>14</v>
      </c>
      <c r="F210" s="2" t="s">
        <v>15</v>
      </c>
      <c r="G210" s="2" t="s">
        <v>691</v>
      </c>
      <c r="H210" s="2" t="s">
        <v>99</v>
      </c>
      <c r="I210" s="2" t="str">
        <f>IFERROR(__xludf.DUMMYFUNCTION("GOOGLETRANSLATE(C210,""fr"",""en"")"),"I am really satisfied. Clear and simple and fast exchanges.
Power of power between quotes and subscription.
Good value for money.
Cordially.")</f>
        <v>I am really satisfied. Clear and simple and fast exchanges.
Power of power between quotes and subscription.
Good value for money.
Cordially.</v>
      </c>
    </row>
    <row r="211" ht="15.75" customHeight="1">
      <c r="A211" s="2">
        <v>4.0</v>
      </c>
      <c r="B211" s="2" t="s">
        <v>692</v>
      </c>
      <c r="C211" s="2" t="s">
        <v>693</v>
      </c>
      <c r="D211" s="2" t="s">
        <v>47</v>
      </c>
      <c r="E211" s="2" t="s">
        <v>14</v>
      </c>
      <c r="F211" s="2" t="s">
        <v>15</v>
      </c>
      <c r="G211" s="2" t="s">
        <v>694</v>
      </c>
      <c r="H211" s="2" t="s">
        <v>87</v>
      </c>
      <c r="I211" s="2" t="str">
        <f>IFERROR(__xludf.DUMMYFUNCTION("GOOGLETRANSLATE(C211,""fr"",""en"")"),"Very satisfied ! I recommend the insurance olive tree to my entourage.
Staff meeting the customer's expectations, listening to the customer.
Very polite, speaks with respect.")</f>
        <v>Very satisfied ! I recommend the insurance olive tree to my entourage.
Staff meeting the customer's expectations, listening to the customer.
Very polite, speaks with respect.</v>
      </c>
    </row>
    <row r="212" ht="15.75" customHeight="1">
      <c r="A212" s="2">
        <v>1.0</v>
      </c>
      <c r="B212" s="2" t="s">
        <v>695</v>
      </c>
      <c r="C212" s="2" t="s">
        <v>696</v>
      </c>
      <c r="D212" s="2" t="s">
        <v>26</v>
      </c>
      <c r="E212" s="2" t="s">
        <v>77</v>
      </c>
      <c r="F212" s="2" t="s">
        <v>15</v>
      </c>
      <c r="G212" s="2" t="s">
        <v>697</v>
      </c>
      <c r="H212" s="2" t="s">
        <v>161</v>
      </c>
      <c r="I212" s="2" t="str">
        <f>IFERROR(__xludf.DUMMYFUNCTION("GOOGLETRANSLATE(C212,""fr"",""en"")"),"Really catastrophic insurance, does not respect the commitments, it is 2 weeks since I call and I send emails to terminate my contract, no response from them, I ask for a termination when they have just made a change address and I have my request was clea"&amp;"r to terminate the simple contract and every time I call they ""we can do nothing"", therefore, a bad experience I absolutely do not recommend this insurance, and I am not Unfortunately more satisfied.")</f>
        <v>Really catastrophic insurance, does not respect the commitments, it is 2 weeks since I call and I send emails to terminate my contract, no response from them, I ask for a termination when they have just made a change address and I have my request was clear to terminate the simple contract and every time I call they "we can do nothing", therefore, a bad experience I absolutely do not recommend this insurance, and I am not Unfortunately more satisfied.</v>
      </c>
    </row>
    <row r="213" ht="15.75" customHeight="1">
      <c r="A213" s="2">
        <v>1.0</v>
      </c>
      <c r="B213" s="2" t="s">
        <v>698</v>
      </c>
      <c r="C213" s="2" t="s">
        <v>699</v>
      </c>
      <c r="D213" s="2" t="s">
        <v>13</v>
      </c>
      <c r="E213" s="2" t="s">
        <v>14</v>
      </c>
      <c r="F213" s="2" t="s">
        <v>15</v>
      </c>
      <c r="G213" s="2" t="s">
        <v>700</v>
      </c>
      <c r="H213" s="2" t="s">
        <v>161</v>
      </c>
      <c r="I213" s="2" t="str">
        <f>IFERROR(__xludf.DUMMYFUNCTION("GOOGLETRANSLATE(C213,""fr"",""en"")"),"Flee this insurer, attractive price at the start and then exorbitant increase in the following years and without claims !!!! Ex: € 600 goes to 1100 € in three years. Very complicated and poorly advised for termination ?? The worst insurer I have been able"&amp;" to know in 30 years of car insurance. Go through")</f>
        <v>Flee this insurer, attractive price at the start and then exorbitant increase in the following years and without claims !!!! Ex: € 600 goes to 1100 € in three years. Very complicated and poorly advised for termination ?? The worst insurer I have been able to know in 30 years of car insurance. Go through</v>
      </c>
    </row>
    <row r="214" ht="15.75" customHeight="1">
      <c r="A214" s="2">
        <v>2.0</v>
      </c>
      <c r="B214" s="2" t="s">
        <v>701</v>
      </c>
      <c r="C214" s="2" t="s">
        <v>702</v>
      </c>
      <c r="D214" s="2" t="s">
        <v>47</v>
      </c>
      <c r="E214" s="2" t="s">
        <v>14</v>
      </c>
      <c r="F214" s="2" t="s">
        <v>15</v>
      </c>
      <c r="G214" s="2" t="s">
        <v>703</v>
      </c>
      <c r="H214" s="2" t="s">
        <v>56</v>
      </c>
      <c r="I214" s="2" t="str">
        <f>IFERROR(__xludf.DUMMYFUNCTION("GOOGLETRANSLATE(C214,""fr"",""en"")"),"Insurance conditions in the event of a really unclear vehicle replacement and litigious limits. Former vehicle supposedly insured 30 days but no document which specifies it and then obligation to resume a new contract (former vehicle not yet sold) with lo"&amp;"ts of file fees and taxes, just to extend the guarantees for an additional month.")</f>
        <v>Insurance conditions in the event of a really unclear vehicle replacement and litigious limits. Former vehicle supposedly insured 30 days but no document which specifies it and then obligation to resume a new contract (former vehicle not yet sold) with lots of file fees and taxes, just to extend the guarantees for an additional month.</v>
      </c>
    </row>
    <row r="215" ht="15.75" customHeight="1">
      <c r="A215" s="2">
        <v>1.0</v>
      </c>
      <c r="B215" s="2" t="s">
        <v>704</v>
      </c>
      <c r="C215" s="2" t="s">
        <v>705</v>
      </c>
      <c r="D215" s="2" t="s">
        <v>47</v>
      </c>
      <c r="E215" s="2" t="s">
        <v>14</v>
      </c>
      <c r="F215" s="2" t="s">
        <v>15</v>
      </c>
      <c r="G215" s="2" t="s">
        <v>706</v>
      </c>
      <c r="H215" s="2" t="s">
        <v>418</v>
      </c>
      <c r="I215" s="2" t="str">
        <f>IFERROR(__xludf.DUMMYFUNCTION("GOOGLETRANSLATE(C215,""fr"",""en"")"),"Online subscription a month ago. I am asked for my card codes before giving me the conditions and the price. In the result, the conditions and the price do not suit me but according to the advisor I would still be debited and forced to terminate if I want"&amp;" to recover my money. Indeed the next day I am taken. I launch the termination the next day by recommended and receive confirmation one week after I was reimbursed within two weeks. A month has always passed no refund ..... I strongly advise against this "&amp;"insurance and will talk to all work colleagues so that they pass the information around them on these practices.")</f>
        <v>Online subscription a month ago. I am asked for my card codes before giving me the conditions and the price. In the result, the conditions and the price do not suit me but according to the advisor I would still be debited and forced to terminate if I want to recover my money. Indeed the next day I am taken. I launch the termination the next day by recommended and receive confirmation one week after I was reimbursed within two weeks. A month has always passed no refund ..... I strongly advise against this insurance and will talk to all work colleagues so that they pass the information around them on these practices.</v>
      </c>
    </row>
    <row r="216" ht="15.75" customHeight="1">
      <c r="A216" s="2">
        <v>4.0</v>
      </c>
      <c r="B216" s="2" t="s">
        <v>707</v>
      </c>
      <c r="C216" s="2" t="s">
        <v>708</v>
      </c>
      <c r="D216" s="2" t="s">
        <v>47</v>
      </c>
      <c r="E216" s="2" t="s">
        <v>14</v>
      </c>
      <c r="F216" s="2" t="s">
        <v>15</v>
      </c>
      <c r="G216" s="2" t="s">
        <v>709</v>
      </c>
      <c r="H216" s="2" t="s">
        <v>49</v>
      </c>
      <c r="I216" s="2" t="str">
        <f>IFERROR(__xludf.DUMMYFUNCTION("GOOGLETRANSLATE(C216,""fr"",""en"")"),"Simple and practical, effective television, formula adapted to requests from insured.
Very efficient online system to simply secure")</f>
        <v>Simple and practical, effective television, formula adapted to requests from insured.
Very efficient online system to simply secure</v>
      </c>
    </row>
    <row r="217" ht="15.75" customHeight="1">
      <c r="A217" s="2">
        <v>4.0</v>
      </c>
      <c r="B217" s="2" t="s">
        <v>710</v>
      </c>
      <c r="C217" s="2" t="s">
        <v>711</v>
      </c>
      <c r="D217" s="2" t="s">
        <v>13</v>
      </c>
      <c r="E217" s="2" t="s">
        <v>14</v>
      </c>
      <c r="F217" s="2" t="s">
        <v>15</v>
      </c>
      <c r="G217" s="2" t="s">
        <v>528</v>
      </c>
      <c r="H217" s="2" t="s">
        <v>28</v>
      </c>
      <c r="I217" s="2" t="str">
        <f>IFERROR(__xludf.DUMMYFUNCTION("GOOGLETRANSLATE(C217,""fr"",""en"")"),"I am satisfied with the service, the prices suit me, great thank you very much
I highly recommend direct quality and fast service insurance all and easy to include")</f>
        <v>I am satisfied with the service, the prices suit me, great thank you very much
I highly recommend direct quality and fast service insurance all and easy to include</v>
      </c>
    </row>
    <row r="218" ht="15.75" customHeight="1">
      <c r="A218" s="2">
        <v>5.0</v>
      </c>
      <c r="B218" s="2" t="s">
        <v>712</v>
      </c>
      <c r="C218" s="2" t="s">
        <v>713</v>
      </c>
      <c r="D218" s="2" t="s">
        <v>42</v>
      </c>
      <c r="E218" s="2" t="s">
        <v>43</v>
      </c>
      <c r="F218" s="2" t="s">
        <v>15</v>
      </c>
      <c r="G218" s="2" t="s">
        <v>714</v>
      </c>
      <c r="H218" s="2" t="s">
        <v>65</v>
      </c>
      <c r="I218" s="2" t="str">
        <f>IFERROR(__xludf.DUMMYFUNCTION("GOOGLETRANSLATE(C218,""fr"",""en"")"),"Overall very satisfied with AMV. Following a ""bodily"" sinister, my passenger was well compensated (despite the absence of injuries / consequences, she was about 4 times better compensated than a knowledge having had real injuries). In addition, I kept m"&amp;"y bonus identically the following year (when a friend lost 25% bonuses for a backlit broken in lines, at another insurer).
Finally, the disaster file has been well treated and the advisers have always been reachable.
Overall, I highly recommend.")</f>
        <v>Overall very satisfied with AMV. Following a "bodily" sinister, my passenger was well compensated (despite the absence of injuries / consequences, she was about 4 times better compensated than a knowledge having had real injuries). In addition, I kept my bonus identically the following year (when a friend lost 25% bonuses for a backlit broken in lines, at another insurer).
Finally, the disaster file has been well treated and the advisers have always been reachable.
Overall, I highly recommend.</v>
      </c>
    </row>
    <row r="219" ht="15.75" customHeight="1">
      <c r="A219" s="2">
        <v>4.0</v>
      </c>
      <c r="B219" s="2" t="s">
        <v>715</v>
      </c>
      <c r="C219" s="2" t="s">
        <v>716</v>
      </c>
      <c r="D219" s="2" t="s">
        <v>72</v>
      </c>
      <c r="E219" s="2" t="s">
        <v>21</v>
      </c>
      <c r="F219" s="2" t="s">
        <v>15</v>
      </c>
      <c r="G219" s="2" t="s">
        <v>717</v>
      </c>
      <c r="H219" s="2" t="s">
        <v>69</v>
      </c>
      <c r="I219" s="2" t="str">
        <f>IFERROR(__xludf.DUMMYFUNCTION("GOOGLETRANSLATE(C219,""fr"",""en"")"),"Thank you to Lamia for its efficiency and patience for the creation of my member space as well as for the information I needed. Thanks")</f>
        <v>Thank you to Lamia for its efficiency and patience for the creation of my member space as well as for the information I needed. Thanks</v>
      </c>
    </row>
    <row r="220" ht="15.75" customHeight="1">
      <c r="A220" s="2">
        <v>5.0</v>
      </c>
      <c r="B220" s="2" t="s">
        <v>718</v>
      </c>
      <c r="C220" s="2" t="s">
        <v>719</v>
      </c>
      <c r="D220" s="2" t="s">
        <v>13</v>
      </c>
      <c r="E220" s="2" t="s">
        <v>14</v>
      </c>
      <c r="F220" s="2" t="s">
        <v>15</v>
      </c>
      <c r="G220" s="2" t="s">
        <v>407</v>
      </c>
      <c r="H220" s="2" t="s">
        <v>99</v>
      </c>
      <c r="I220" s="2" t="str">
        <f>IFERROR(__xludf.DUMMYFUNCTION("GOOGLETRANSLATE(C220,""fr"",""en"")"),"Speed, efficiency, affordable price, that's why I am at Direct Assurance.
The site is intuitive and there are several proposals has various prices.")</f>
        <v>Speed, efficiency, affordable price, that's why I am at Direct Assurance.
The site is intuitive and there are several proposals has various prices.</v>
      </c>
    </row>
    <row r="221" ht="15.75" customHeight="1">
      <c r="A221" s="2">
        <v>3.0</v>
      </c>
      <c r="B221" s="2" t="s">
        <v>720</v>
      </c>
      <c r="C221" s="2" t="s">
        <v>721</v>
      </c>
      <c r="D221" s="2" t="s">
        <v>47</v>
      </c>
      <c r="E221" s="2" t="s">
        <v>14</v>
      </c>
      <c r="F221" s="2" t="s">
        <v>15</v>
      </c>
      <c r="G221" s="2" t="s">
        <v>722</v>
      </c>
      <c r="H221" s="2" t="s">
        <v>99</v>
      </c>
      <c r="I221" s="2" t="str">
        <f>IFERROR(__xludf.DUMMYFUNCTION("GOOGLETRANSLATE(C221,""fr"",""en"")"),"I am happy with the interlocutor and the proposal he made me
The price is suitable and attractive
I will recommend it to other person around me")</f>
        <v>I am happy with the interlocutor and the proposal he made me
The price is suitable and attractive
I will recommend it to other person around me</v>
      </c>
    </row>
    <row r="222" ht="15.75" customHeight="1">
      <c r="A222" s="2">
        <v>1.0</v>
      </c>
      <c r="B222" s="2" t="s">
        <v>723</v>
      </c>
      <c r="C222" s="2" t="s">
        <v>724</v>
      </c>
      <c r="D222" s="2" t="s">
        <v>47</v>
      </c>
      <c r="E222" s="2" t="s">
        <v>14</v>
      </c>
      <c r="F222" s="2" t="s">
        <v>15</v>
      </c>
      <c r="G222" s="2" t="s">
        <v>725</v>
      </c>
      <c r="H222" s="2" t="s">
        <v>284</v>
      </c>
      <c r="I222" s="2" t="str">
        <f>IFERROR(__xludf.DUMMYFUNCTION("GOOGLETRANSLATE(C222,""fr"",""en"")"),"Attracted by a very low rate to ensure my old 307sw, I turned to this insurance.
Not long ago I had to change my vehicle, so I made a quote to see what to expect price level. This one indicated to me € 381 per year in thirds comfort. Not bad, I say! I "&amp;"was even ready to take the risk ...
Only here, the transfer of warranty finally returns to me at € 544 in third parties, with exactly the same information as on the quote. The reason according to customer service:
Basically, the calculation is based"&amp;" on my customer file, my ""past"" of insured, which is not the case for a new subscription of a new customer (quote).
It still makes a sacred difference, especially considering that I have never declared any claim, neither at home, nor in my old insura"&amp;"nce.
So yes, I could have terminated with my change of car, but voila ... I said yes by phone and, even if I had not signed the amendment, it apparently worth it. Then, I am also told that if I had terminated, I will have lost my bonus over the year .."&amp;".
So, I sent all the documents necessary to receive my final green card. Today, I receive an email telling me a new amendment, priced obviously € 15 (like all modifications, as much to be abusive until the end) indicating an increase of € 84.99 a year "&amp;"...
The reason:
- The date of 1st registration communicated to the base was 03/18/2013 but, on the CG, it is indicated 18/06/2013 ... I did not yet have the CG and that is the concession Who had indicated to me on 03/18/2013 ...
- A sinister seco"&amp;"ndary driver was not declared ... This is a rear view mirror that was broken by another vehicle on my wife's car in 2015. I didn't even know that she 'had reported to his insurance and, even if, 89 € more for that ??? !!!
This insurance really takes it"&amp;"s customers for pigeons. I feel taken hostage, and customer service cannot even give me a reduction because I have not been with them for a year. It is very good to display the lowest prices on the market at the subscription, but behind we are well entitl"&amp;"ed for the slightest change to the contract.
I'm not going to deprive myself of advertising them on the net ... very bad ad!")</f>
        <v>Attracted by a very low rate to ensure my old 307sw, I turned to this insurance.
Not long ago I had to change my vehicle, so I made a quote to see what to expect price level. This one indicated to me € 381 per year in thirds comfort. Not bad, I say! I was even ready to take the risk ...
Only here, the transfer of warranty finally returns to me at € 544 in third parties, with exactly the same information as on the quote. The reason according to customer service:
Basically, the calculation is based on my customer file, my "past" of insured, which is not the case for a new subscription of a new customer (quote).
It still makes a sacred difference, especially considering that I have never declared any claim, neither at home, nor in my old insurance.
So yes, I could have terminated with my change of car, but voila ... I said yes by phone and, even if I had not signed the amendment, it apparently worth it. Then, I am also told that if I had terminated, I will have lost my bonus over the year ...
So, I sent all the documents necessary to receive my final green card. Today, I receive an email telling me a new amendment, priced obviously € 15 (like all modifications, as much to be abusive until the end) indicating an increase of € 84.99 a year ...
The reason:
- The date of 1st registration communicated to the base was 03/18/2013 but, on the CG, it is indicated 18/06/2013 ... I did not yet have the CG and that is the concession Who had indicated to me on 03/18/2013 ...
- A sinister secondary driver was not declared ... This is a rear view mirror that was broken by another vehicle on my wife's car in 2015. I didn't even know that she 'had reported to his insurance and, even if, 89 € more for that ??? !!!
This insurance really takes its customers for pigeons. I feel taken hostage, and customer service cannot even give me a reduction because I have not been with them for a year. It is very good to display the lowest prices on the market at the subscription, but behind we are well entitled for the slightest change to the contract.
I'm not going to deprive myself of advertising them on the net ... very bad ad!</v>
      </c>
    </row>
    <row r="223" ht="15.75" customHeight="1">
      <c r="A223" s="2">
        <v>3.0</v>
      </c>
      <c r="B223" s="2" t="s">
        <v>726</v>
      </c>
      <c r="C223" s="2" t="s">
        <v>727</v>
      </c>
      <c r="D223" s="2" t="s">
        <v>47</v>
      </c>
      <c r="E223" s="2" t="s">
        <v>14</v>
      </c>
      <c r="F223" s="2" t="s">
        <v>15</v>
      </c>
      <c r="G223" s="2" t="s">
        <v>728</v>
      </c>
      <c r="H223" s="2" t="s">
        <v>49</v>
      </c>
      <c r="I223" s="2" t="str">
        <f>IFERROR(__xludf.DUMMYFUNCTION("GOOGLETRANSLATE(C223,""fr"",""en"")"),"I am quite satisfied with the price, however, it's been several times that I send my documents and sign and still not my final card. I hope this time if it's the right one")</f>
        <v>I am quite satisfied with the price, however, it's been several times that I send my documents and sign and still not my final card. I hope this time if it's the right one</v>
      </c>
    </row>
    <row r="224" ht="15.75" customHeight="1">
      <c r="A224" s="2">
        <v>3.0</v>
      </c>
      <c r="B224" s="2" t="s">
        <v>729</v>
      </c>
      <c r="C224" s="2" t="s">
        <v>730</v>
      </c>
      <c r="D224" s="2" t="s">
        <v>13</v>
      </c>
      <c r="E224" s="2" t="s">
        <v>14</v>
      </c>
      <c r="F224" s="2" t="s">
        <v>15</v>
      </c>
      <c r="G224" s="2" t="s">
        <v>731</v>
      </c>
      <c r="H224" s="2" t="s">
        <v>125</v>
      </c>
      <c r="I224" s="2" t="str">
        <f>IFERROR(__xludf.DUMMYFUNCTION("GOOGLETRANSLATE(C224,""fr"",""en"")"),"I am amazed at the price. What explains this difference from competition?
Assistance 0 € to validate?
In the event of claims, a destroyed vehicle, at what height is the vehicle reimbursed?
Franchise?
")</f>
        <v>I am amazed at the price. What explains this difference from competition?
Assistance 0 € to validate?
In the event of claims, a destroyed vehicle, at what height is the vehicle reimbursed?
Franchise?
</v>
      </c>
    </row>
    <row r="225" ht="15.75" customHeight="1">
      <c r="A225" s="2">
        <v>2.0</v>
      </c>
      <c r="B225" s="2" t="s">
        <v>732</v>
      </c>
      <c r="C225" s="2" t="s">
        <v>733</v>
      </c>
      <c r="D225" s="2" t="s">
        <v>287</v>
      </c>
      <c r="E225" s="2" t="s">
        <v>14</v>
      </c>
      <c r="F225" s="2" t="s">
        <v>15</v>
      </c>
      <c r="G225" s="2" t="s">
        <v>734</v>
      </c>
      <c r="H225" s="2" t="s">
        <v>220</v>
      </c>
      <c r="I225" s="2" t="str">
        <f>IFERROR(__xludf.DUMMYFUNCTION("GOOGLETRANSLATE(C225,""fr"",""en"")"),"Inadmissible !!!! Fired because of 1 car responsible car accident and two accidents not responsible car! Really human !!!! it's funny he turns the car and not the bike !!! In short, I remove both and hello ad !!!")</f>
        <v>Inadmissible !!!! Fired because of 1 car responsible car accident and two accidents not responsible car! Really human !!!! it's funny he turns the car and not the bike !!! In short, I remove both and hello ad !!!</v>
      </c>
    </row>
    <row r="226" ht="15.75" customHeight="1">
      <c r="A226" s="2">
        <v>2.0</v>
      </c>
      <c r="B226" s="2" t="s">
        <v>735</v>
      </c>
      <c r="C226" s="2" t="s">
        <v>736</v>
      </c>
      <c r="D226" s="2" t="s">
        <v>26</v>
      </c>
      <c r="E226" s="2" t="s">
        <v>77</v>
      </c>
      <c r="F226" s="2" t="s">
        <v>15</v>
      </c>
      <c r="G226" s="2" t="s">
        <v>737</v>
      </c>
      <c r="H226" s="2" t="s">
        <v>65</v>
      </c>
      <c r="I226" s="2" t="str">
        <f>IFERROR(__xludf.DUMMYFUNCTION("GOOGLETRANSLATE(C226,""fr"",""en"")"),"I was robbed between 3 p.m. and 9 a.m. and the Macif refuses to consider my file because it is necessary to close the shutters between 10 p.m. and 6 a.m. It is unthinkable to apply such conditions and I am not even talking about their service. I only rece"&amp;"ived a scan by email indicating that they rejected my request. No official communication, no mail, no telephone call. The general conditions they apply do not cover the insured at all.")</f>
        <v>I was robbed between 3 p.m. and 9 a.m. and the Macif refuses to consider my file because it is necessary to close the shutters between 10 p.m. and 6 a.m. It is unthinkable to apply such conditions and I am not even talking about their service. I only received a scan by email indicating that they rejected my request. No official communication, no mail, no telephone call. The general conditions they apply do not cover the insured at all.</v>
      </c>
    </row>
    <row r="227" ht="15.75" customHeight="1">
      <c r="A227" s="2">
        <v>3.0</v>
      </c>
      <c r="B227" s="2" t="s">
        <v>738</v>
      </c>
      <c r="C227" s="2" t="s">
        <v>739</v>
      </c>
      <c r="D227" s="2" t="s">
        <v>196</v>
      </c>
      <c r="E227" s="2" t="s">
        <v>14</v>
      </c>
      <c r="F227" s="2" t="s">
        <v>15</v>
      </c>
      <c r="G227" s="2" t="s">
        <v>740</v>
      </c>
      <c r="H227" s="2" t="s">
        <v>741</v>
      </c>
      <c r="I227" s="2" t="str">
        <f>IFERROR(__xludf.DUMMYFUNCTION("GOOGLETRANSLATE(C227,""fr"",""en"")"),"Good evening, my experience with the Matmut has been very interesting at the level of the civil liability file perfectly followed.
The prices for me are a little too much raised with 60 for a hundred bonus at home with important deductibles.")</f>
        <v>Good evening, my experience with the Matmut has been very interesting at the level of the civil liability file perfectly followed.
The prices for me are a little too much raised with 60 for a hundred bonus at home with important deductibles.</v>
      </c>
    </row>
    <row r="228" ht="15.75" customHeight="1">
      <c r="A228" s="2">
        <v>5.0</v>
      </c>
      <c r="B228" s="2" t="s">
        <v>742</v>
      </c>
      <c r="C228" s="2" t="s">
        <v>743</v>
      </c>
      <c r="D228" s="2" t="s">
        <v>13</v>
      </c>
      <c r="E228" s="2" t="s">
        <v>14</v>
      </c>
      <c r="F228" s="2" t="s">
        <v>15</v>
      </c>
      <c r="G228" s="2" t="s">
        <v>744</v>
      </c>
      <c r="H228" s="2" t="s">
        <v>87</v>
      </c>
      <c r="I228" s="2" t="str">
        <f>IFERROR(__xludf.DUMMYFUNCTION("GOOGLETRANSLATE(C228,""fr"",""en"")"),"I am satisfied, simplicity and clarity. Intuitive and fast ... it is rare to have a simplified and fast service, attractive and logical price, its pleasure to have the choice of insurance too ...")</f>
        <v>I am satisfied, simplicity and clarity. Intuitive and fast ... it is rare to have a simplified and fast service, attractive and logical price, its pleasure to have the choice of insurance too ...</v>
      </c>
    </row>
    <row r="229" ht="15.75" customHeight="1">
      <c r="A229" s="2">
        <v>4.0</v>
      </c>
      <c r="B229" s="2" t="s">
        <v>745</v>
      </c>
      <c r="C229" s="2" t="s">
        <v>746</v>
      </c>
      <c r="D229" s="2" t="s">
        <v>72</v>
      </c>
      <c r="E229" s="2" t="s">
        <v>21</v>
      </c>
      <c r="F229" s="2" t="s">
        <v>15</v>
      </c>
      <c r="G229" s="2" t="s">
        <v>747</v>
      </c>
      <c r="H229" s="2" t="s">
        <v>87</v>
      </c>
      <c r="I229" s="2" t="str">
        <f>IFERROR(__xludf.DUMMYFUNCTION("GOOGLETRANSLATE(C229,""fr"",""en"")"),"I am very satisfied with the response and the efficiency of Emeline who was able to unlock my file with my optician who did not know how to finalize the control file of my lenses.
A big thank you to Emeline.")</f>
        <v>I am very satisfied with the response and the efficiency of Emeline who was able to unlock my file with my optician who did not know how to finalize the control file of my lenses.
A big thank you to Emeline.</v>
      </c>
    </row>
    <row r="230" ht="15.75" customHeight="1">
      <c r="A230" s="2">
        <v>3.0</v>
      </c>
      <c r="B230" s="2" t="s">
        <v>748</v>
      </c>
      <c r="C230" s="2" t="s">
        <v>749</v>
      </c>
      <c r="D230" s="2" t="s">
        <v>13</v>
      </c>
      <c r="E230" s="2" t="s">
        <v>14</v>
      </c>
      <c r="F230" s="2" t="s">
        <v>15</v>
      </c>
      <c r="G230" s="2" t="s">
        <v>750</v>
      </c>
      <c r="H230" s="2" t="s">
        <v>83</v>
      </c>
      <c r="I230" s="2" t="str">
        <f>IFERROR(__xludf.DUMMYFUNCTION("GOOGLETRANSLATE(C230,""fr"",""en"")"),"It is an insurance to avoid for subscription are present but in the event of an accident everyone is moving away from you in addition customer service counting no direct response You have to wait 4 to 6 weeks to tell you that are unable to resolve your co"&amp;"ncerns month I regret having a contract with them when I pay BC that planned in addition all the complaints are going back to the chiefs without frankly answers if you like peace and security better to avoid this insurance")</f>
        <v>It is an insurance to avoid for subscription are present but in the event of an accident everyone is moving away from you in addition customer service counting no direct response You have to wait 4 to 6 weeks to tell you that are unable to resolve your concerns month I regret having a contract with them when I pay BC that planned in addition all the complaints are going back to the chiefs without frankly answers if you like peace and security better to avoid this insurance</v>
      </c>
    </row>
    <row r="231" ht="15.75" customHeight="1">
      <c r="A231" s="2">
        <v>1.0</v>
      </c>
      <c r="B231" s="2" t="s">
        <v>751</v>
      </c>
      <c r="C231" s="2" t="s">
        <v>752</v>
      </c>
      <c r="D231" s="2" t="s">
        <v>13</v>
      </c>
      <c r="E231" s="2" t="s">
        <v>14</v>
      </c>
      <c r="F231" s="2" t="s">
        <v>15</v>
      </c>
      <c r="G231" s="2" t="s">
        <v>753</v>
      </c>
      <c r="H231" s="2" t="s">
        <v>87</v>
      </c>
      <c r="I231" s="2" t="str">
        <f>IFERROR(__xludf.DUMMYFUNCTION("GOOGLETRANSLATE(C231,""fr"",""en"")"),"The prices increase each year while the value of the insured vehicle decreases ... It is incomprehensible .... This does not value old customers and pushes to change insurer ...")</f>
        <v>The prices increase each year while the value of the insured vehicle decreases ... It is incomprehensible .... This does not value old customers and pushes to change insurer ...</v>
      </c>
    </row>
    <row r="232" ht="15.75" customHeight="1">
      <c r="A232" s="2">
        <v>2.0</v>
      </c>
      <c r="B232" s="2" t="s">
        <v>754</v>
      </c>
      <c r="C232" s="2" t="s">
        <v>755</v>
      </c>
      <c r="D232" s="2" t="s">
        <v>248</v>
      </c>
      <c r="E232" s="2" t="s">
        <v>14</v>
      </c>
      <c r="F232" s="2" t="s">
        <v>15</v>
      </c>
      <c r="G232" s="2" t="s">
        <v>756</v>
      </c>
      <c r="H232" s="2" t="s">
        <v>284</v>
      </c>
      <c r="I232" s="2" t="str">
        <f>IFERROR(__xludf.DUMMYFUNCTION("GOOGLETRANSLATE(C232,""fr"",""en"")"),"Termination of the contract because we no longer meet their criteria? Without mail just an email never received !! Inadmissible! Do not break down 1 times with this insurer or you will be terminated! Here is their criterion !!")</f>
        <v>Termination of the contract because we no longer meet their criteria? Without mail just an email never received !! Inadmissible! Do not break down 1 times with this insurer or you will be terminated! Here is their criterion !!</v>
      </c>
    </row>
    <row r="233" ht="15.75" customHeight="1">
      <c r="A233" s="2">
        <v>1.0</v>
      </c>
      <c r="B233" s="2" t="s">
        <v>757</v>
      </c>
      <c r="C233" s="2" t="s">
        <v>758</v>
      </c>
      <c r="D233" s="2" t="s">
        <v>196</v>
      </c>
      <c r="E233" s="2" t="s">
        <v>77</v>
      </c>
      <c r="F233" s="2" t="s">
        <v>15</v>
      </c>
      <c r="G233" s="2" t="s">
        <v>759</v>
      </c>
      <c r="H233" s="2" t="s">
        <v>760</v>
      </c>
      <c r="I233" s="2" t="str">
        <f>IFERROR(__xludf.DUMMYFUNCTION("GOOGLETRANSLATE(C233,""fr"",""en"")"),"Good evening,
On December 17, 2018, I was the victim of a burglary. I take on time all the necessary steps so that my Matmut home insurance compensates me. I provide all purchasing invoices. End of January visit the expert. He notes that the stolen goods"&amp;" largely belonged to my daughter (student and appearing on the contract) and from that nothing goes. The Matmut tries to find a reason by claiming me documents not in the contract clauses (bank statements .....)
I find it scandalous and very depressing t"&amp;"o know that as soon as we are faced with a dispute La Matmut no longer responds.
7 months of waiting while the file was transmitted 48 hours after burglary with all the invoices of stolen goods (in accordance with the contract) as well as my daughter's s"&amp;"chooling certificate.
I have repeatedly contacted the manager who tells me that she has a lot of pending files that is the answer after all these months that pass.")</f>
        <v>Good evening,
On December 17, 2018, I was the victim of a burglary. I take on time all the necessary steps so that my Matmut home insurance compensates me. I provide all purchasing invoices. End of January visit the expert. He notes that the stolen goods largely belonged to my daughter (student and appearing on the contract) and from that nothing goes. The Matmut tries to find a reason by claiming me documents not in the contract clauses (bank statements .....)
I find it scandalous and very depressing to know that as soon as we are faced with a dispute La Matmut no longer responds.
7 months of waiting while the file was transmitted 48 hours after burglary with all the invoices of stolen goods (in accordance with the contract) as well as my daughter's schooling certificate.
I have repeatedly contacted the manager who tells me that she has a lot of pending files that is the answer after all these months that pass.</v>
      </c>
    </row>
    <row r="234" ht="15.75" customHeight="1">
      <c r="A234" s="2">
        <v>1.0</v>
      </c>
      <c r="B234" s="2" t="s">
        <v>761</v>
      </c>
      <c r="C234" s="2" t="s">
        <v>762</v>
      </c>
      <c r="D234" s="2" t="s">
        <v>13</v>
      </c>
      <c r="E234" s="2" t="s">
        <v>14</v>
      </c>
      <c r="F234" s="2" t="s">
        <v>15</v>
      </c>
      <c r="G234" s="2" t="s">
        <v>249</v>
      </c>
      <c r="H234" s="2" t="s">
        <v>250</v>
      </c>
      <c r="I234" s="2" t="str">
        <f>IFERROR(__xludf.DUMMYFUNCTION("GOOGLETRANSLATE(C234,""fr"",""en"")"),"Impossible to contact customer service.
price increase . Although I am a good driver")</f>
        <v>Impossible to contact customer service.
price increase . Although I am a good driver</v>
      </c>
    </row>
    <row r="235" ht="15.75" customHeight="1">
      <c r="A235" s="2">
        <v>5.0</v>
      </c>
      <c r="B235" s="2" t="s">
        <v>763</v>
      </c>
      <c r="C235" s="2" t="s">
        <v>764</v>
      </c>
      <c r="D235" s="2" t="s">
        <v>47</v>
      </c>
      <c r="E235" s="2" t="s">
        <v>14</v>
      </c>
      <c r="F235" s="2" t="s">
        <v>15</v>
      </c>
      <c r="G235" s="2" t="s">
        <v>638</v>
      </c>
      <c r="H235" s="2" t="s">
        <v>60</v>
      </c>
      <c r="I235" s="2" t="str">
        <f>IFERROR(__xludf.DUMMYFUNCTION("GOOGLETRANSLATE(C235,""fr"",""en"")"),"I am really satisfied
Calit SERVICES ES PRICES BRAVO
I will even do my home insurance because I have more benefits of the better report to my ENCIENNE.")</f>
        <v>I am really satisfied
Calit SERVICES ES PRICES BRAVO
I will even do my home insurance because I have more benefits of the better report to my ENCIENNE.</v>
      </c>
    </row>
    <row r="236" ht="15.75" customHeight="1">
      <c r="A236" s="2">
        <v>2.0</v>
      </c>
      <c r="B236" s="2" t="s">
        <v>765</v>
      </c>
      <c r="C236" s="2" t="s">
        <v>766</v>
      </c>
      <c r="D236" s="2" t="s">
        <v>31</v>
      </c>
      <c r="E236" s="2" t="s">
        <v>32</v>
      </c>
      <c r="F236" s="2" t="s">
        <v>15</v>
      </c>
      <c r="G236" s="2" t="s">
        <v>767</v>
      </c>
      <c r="H236" s="2" t="s">
        <v>39</v>
      </c>
      <c r="I236" s="2" t="str">
        <f>IFERROR(__xludf.DUMMYFUNCTION("GOOGLETRANSLATE(C236,""fr"",""en"")"),"Hello I often read the comments but I never needed to bring mine until today. For a week, I have been calling Cardif every day to see twice a day. It is never the same person who answers you and no one tells you the same thing about your file. It's fright"&amp;"ening but I'm not going to let go of them I will continue to call. It is not for pleasure if we are obliged to assert our rights to cardif")</f>
        <v>Hello I often read the comments but I never needed to bring mine until today. For a week, I have been calling Cardif every day to see twice a day. It is never the same person who answers you and no one tells you the same thing about your file. It's frightening but I'm not going to let go of them I will continue to call. It is not for pleasure if we are obliged to assert our rights to cardif</v>
      </c>
    </row>
    <row r="237" ht="15.75" customHeight="1">
      <c r="A237" s="2">
        <v>5.0</v>
      </c>
      <c r="B237" s="2" t="s">
        <v>768</v>
      </c>
      <c r="C237" s="2" t="s">
        <v>769</v>
      </c>
      <c r="D237" s="2" t="s">
        <v>13</v>
      </c>
      <c r="E237" s="2" t="s">
        <v>14</v>
      </c>
      <c r="F237" s="2" t="s">
        <v>15</v>
      </c>
      <c r="G237" s="2" t="s">
        <v>770</v>
      </c>
      <c r="H237" s="2" t="s">
        <v>17</v>
      </c>
      <c r="I237" s="2" t="str">
        <f>IFERROR(__xludf.DUMMYFUNCTION("GOOGLETRANSLATE(C237,""fr"",""en"")"),"Prix ​​not bad and my friends they advised to do online insurance it's cheaper it's my first experience I hope everything is going well")</f>
        <v>Prix ​​not bad and my friends they advised to do online insurance it's cheaper it's my first experience I hope everything is going well</v>
      </c>
    </row>
    <row r="238" ht="15.75" customHeight="1">
      <c r="A238" s="2">
        <v>4.0</v>
      </c>
      <c r="B238" s="2" t="s">
        <v>771</v>
      </c>
      <c r="C238" s="2" t="s">
        <v>772</v>
      </c>
      <c r="D238" s="2" t="s">
        <v>253</v>
      </c>
      <c r="E238" s="2" t="s">
        <v>21</v>
      </c>
      <c r="F238" s="2" t="s">
        <v>15</v>
      </c>
      <c r="G238" s="2" t="s">
        <v>773</v>
      </c>
      <c r="H238" s="2" t="s">
        <v>181</v>
      </c>
      <c r="I238" s="2" t="str">
        <f>IFERROR(__xludf.DUMMYFUNCTION("GOOGLETRANSLATE(C238,""fr"",""en"")"),"Very satisfied with this Mutual Neoliane in Doullens 80 whether on the reimbursement side or contact always listening to us and especially the price. Insured before at ""family"" at € 150 monthly for 1 person and € 100 at home. To recommend")</f>
        <v>Very satisfied with this Mutual Neoliane in Doullens 80 whether on the reimbursement side or contact always listening to us and especially the price. Insured before at "family" at € 150 monthly for 1 person and € 100 at home. To recommend</v>
      </c>
    </row>
    <row r="239" ht="15.75" customHeight="1">
      <c r="A239" s="2">
        <v>5.0</v>
      </c>
      <c r="B239" s="2" t="s">
        <v>774</v>
      </c>
      <c r="C239" s="2" t="s">
        <v>775</v>
      </c>
      <c r="D239" s="2" t="s">
        <v>47</v>
      </c>
      <c r="E239" s="2" t="s">
        <v>14</v>
      </c>
      <c r="F239" s="2" t="s">
        <v>15</v>
      </c>
      <c r="G239" s="2" t="s">
        <v>143</v>
      </c>
      <c r="H239" s="2" t="s">
        <v>28</v>
      </c>
      <c r="I239" s="2" t="str">
        <f>IFERROR(__xludf.DUMMYFUNCTION("GOOGLETRANSLATE(C239,""fr"",""en"")"),"Really very clear and efficient! The study is clear and concise and the advisers are polite, patients, and attentive
So I will recommend my eyes closed!")</f>
        <v>Really very clear and efficient! The study is clear and concise and the advisers are polite, patients, and attentive
So I will recommend my eyes closed!</v>
      </c>
    </row>
    <row r="240" ht="15.75" customHeight="1">
      <c r="A240" s="2">
        <v>3.0</v>
      </c>
      <c r="B240" s="2" t="s">
        <v>776</v>
      </c>
      <c r="C240" s="2" t="s">
        <v>777</v>
      </c>
      <c r="D240" s="2" t="s">
        <v>37</v>
      </c>
      <c r="E240" s="2" t="s">
        <v>21</v>
      </c>
      <c r="F240" s="2" t="s">
        <v>15</v>
      </c>
      <c r="G240" s="2" t="s">
        <v>778</v>
      </c>
      <c r="H240" s="2" t="s">
        <v>300</v>
      </c>
      <c r="I240" s="2" t="str">
        <f>IFERROR(__xludf.DUMMYFUNCTION("GOOGLETRANSLATE(C240,""fr"",""en"")"),"I always had a good service, the local office is practical because we are talking to humans ""in real life"", I may find a little expensive, so now I compare the prices ...")</f>
        <v>I always had a good service, the local office is practical because we are talking to humans "in real life", I may find a little expensive, so now I compare the prices ...</v>
      </c>
    </row>
    <row r="241" ht="15.75" customHeight="1">
      <c r="A241" s="2">
        <v>1.0</v>
      </c>
      <c r="B241" s="2" t="s">
        <v>779</v>
      </c>
      <c r="C241" s="2" t="s">
        <v>780</v>
      </c>
      <c r="D241" s="2" t="s">
        <v>781</v>
      </c>
      <c r="E241" s="2" t="s">
        <v>21</v>
      </c>
      <c r="F241" s="2" t="s">
        <v>15</v>
      </c>
      <c r="G241" s="2" t="s">
        <v>782</v>
      </c>
      <c r="H241" s="2" t="s">
        <v>343</v>
      </c>
      <c r="I241" s="2" t="str">
        <f>IFERROR(__xludf.DUMMYFUNCTION("GOOGLETRANSLATE(C241,""fr"",""en"")"),"It is not possible to join this mutual by phone, and moreover does not respond to the emails addressed to it, example: email addresses the 4 Feb")</f>
        <v>It is not possible to join this mutual by phone, and moreover does not respond to the emails addressed to it, example: email addresses the 4 Feb</v>
      </c>
    </row>
    <row r="242" ht="15.75" customHeight="1">
      <c r="A242" s="2">
        <v>1.0</v>
      </c>
      <c r="B242" s="2" t="s">
        <v>783</v>
      </c>
      <c r="C242" s="2" t="s">
        <v>784</v>
      </c>
      <c r="D242" s="2" t="s">
        <v>26</v>
      </c>
      <c r="E242" s="2" t="s">
        <v>14</v>
      </c>
      <c r="F242" s="2" t="s">
        <v>15</v>
      </c>
      <c r="G242" s="2" t="s">
        <v>785</v>
      </c>
      <c r="H242" s="2" t="s">
        <v>83</v>
      </c>
      <c r="I242" s="2" t="str">
        <f>IFERROR(__xludf.DUMMYFUNCTION("GOOGLETRANSLATE(C242,""fr"",""en"")"),"Following my termination, the Macif refuses to reimburse me for the overpayment of contributions and evokes a 64-day time to pay me, excluding according to article L113-15-2 of the insurance code the insurer must reimburse within 30 Days following termina"&amp;"tion, the telephone service does not want to know anything, you do not want to respect the rules I tell you soon at the tribunal de grande instance for your conviction!")</f>
        <v>Following my termination, the Macif refuses to reimburse me for the overpayment of contributions and evokes a 64-day time to pay me, excluding according to article L113-15-2 of the insurance code the insurer must reimburse within 30 Days following termination, the telephone service does not want to know anything, you do not want to respect the rules I tell you soon at the tribunal de grande instance for your conviction!</v>
      </c>
    </row>
    <row r="243" ht="15.75" customHeight="1">
      <c r="A243" s="2">
        <v>4.0</v>
      </c>
      <c r="B243" s="2" t="s">
        <v>786</v>
      </c>
      <c r="C243" s="2" t="s">
        <v>787</v>
      </c>
      <c r="D243" s="2" t="s">
        <v>13</v>
      </c>
      <c r="E243" s="2" t="s">
        <v>14</v>
      </c>
      <c r="F243" s="2" t="s">
        <v>15</v>
      </c>
      <c r="G243" s="2" t="s">
        <v>788</v>
      </c>
      <c r="H243" s="2" t="s">
        <v>165</v>
      </c>
      <c r="I243" s="2" t="str">
        <f>IFERROR(__xludf.DUMMYFUNCTION("GOOGLETRANSLATE(C243,""fr"",""en"")"),"Sinister-Vandalism Customer Service at the top of rapid solution to any type of problem to recommend")</f>
        <v>Sinister-Vandalism Customer Service at the top of rapid solution to any type of problem to recommend</v>
      </c>
    </row>
    <row r="244" ht="15.75" customHeight="1">
      <c r="A244" s="2">
        <v>4.0</v>
      </c>
      <c r="B244" s="2" t="s">
        <v>789</v>
      </c>
      <c r="C244" s="2" t="s">
        <v>790</v>
      </c>
      <c r="D244" s="2" t="s">
        <v>42</v>
      </c>
      <c r="E244" s="2" t="s">
        <v>43</v>
      </c>
      <c r="F244" s="2" t="s">
        <v>15</v>
      </c>
      <c r="G244" s="2" t="s">
        <v>791</v>
      </c>
      <c r="H244" s="2" t="s">
        <v>99</v>
      </c>
      <c r="I244" s="2" t="str">
        <f>IFERROR(__xludf.DUMMYFUNCTION("GOOGLETRANSLATE(C244,""fr"",""en"")"),"No particular concerns with AMV insofar as I did not have an accident, or theft or other. COMPETETIVE PRICE. AMV responds fairly quickly by internet.")</f>
        <v>No particular concerns with AMV insofar as I did not have an accident, or theft or other. COMPETETIVE PRICE. AMV responds fairly quickly by internet.</v>
      </c>
    </row>
    <row r="245" ht="15.75" customHeight="1">
      <c r="A245" s="2">
        <v>1.0</v>
      </c>
      <c r="B245" s="2" t="s">
        <v>792</v>
      </c>
      <c r="C245" s="2" t="s">
        <v>793</v>
      </c>
      <c r="D245" s="2" t="s">
        <v>223</v>
      </c>
      <c r="E245" s="2" t="s">
        <v>77</v>
      </c>
      <c r="F245" s="2" t="s">
        <v>15</v>
      </c>
      <c r="G245" s="2" t="s">
        <v>794</v>
      </c>
      <c r="H245" s="2" t="s">
        <v>330</v>
      </c>
      <c r="I245" s="2" t="str">
        <f>IFERROR(__xludf.DUMMYFUNCTION("GOOGLETRANSLATE(C245,""fr"",""en"")"),"I have been on vacation for 3 weeks and I fight with the assurance of the syndic Nexity of the condominium and Pacifica for rainwater damage by infiltration and capillary raising by the floor causing halos on the coconut carpet of my room.
I have the imp"&amp;"ression of being a ping pong ball between the syndic Nexity of the condominium and Pacifica .....
We drag the business to the maximum by not responding to emails or such the person who takes care of the file is not where my request has not yet been proce"&amp;"ssed: I constantly relaunch such and by email ......
I am discouraged from this behavior.")</f>
        <v>I have been on vacation for 3 weeks and I fight with the assurance of the syndic Nexity of the condominium and Pacifica for rainwater damage by infiltration and capillary raising by the floor causing halos on the coconut carpet of my room.
I have the impression of being a ping pong ball between the syndic Nexity of the condominium and Pacifica .....
We drag the business to the maximum by not responding to emails or such the person who takes care of the file is not where my request has not yet been processed: I constantly relaunch such and by email ......
I am discouraged from this behavior.</v>
      </c>
    </row>
    <row r="246" ht="15.75" customHeight="1">
      <c r="A246" s="2">
        <v>3.0</v>
      </c>
      <c r="B246" s="2" t="s">
        <v>795</v>
      </c>
      <c r="C246" s="2" t="s">
        <v>796</v>
      </c>
      <c r="D246" s="2" t="s">
        <v>47</v>
      </c>
      <c r="E246" s="2" t="s">
        <v>14</v>
      </c>
      <c r="F246" s="2" t="s">
        <v>15</v>
      </c>
      <c r="G246" s="2" t="s">
        <v>797</v>
      </c>
      <c r="H246" s="2" t="s">
        <v>60</v>
      </c>
      <c r="I246" s="2" t="str">
        <f>IFERROR(__xludf.DUMMYFUNCTION("GOOGLETRANSLATE(C246,""fr"",""en"")")," I am satisfied but remain a little expensive. Super nice staff at the phone thank you for the services. What to offer you. Distinguished greetings. Mne Sabet")</f>
        <v> I am satisfied but remain a little expensive. Super nice staff at the phone thank you for the services. What to offer you. Distinguished greetings. Mne Sabet</v>
      </c>
    </row>
    <row r="247" ht="15.75" customHeight="1">
      <c r="A247" s="2">
        <v>1.0</v>
      </c>
      <c r="B247" s="2" t="s">
        <v>798</v>
      </c>
      <c r="C247" s="2" t="s">
        <v>799</v>
      </c>
      <c r="D247" s="2" t="s">
        <v>248</v>
      </c>
      <c r="E247" s="2" t="s">
        <v>14</v>
      </c>
      <c r="F247" s="2" t="s">
        <v>15</v>
      </c>
      <c r="G247" s="2" t="s">
        <v>800</v>
      </c>
      <c r="H247" s="2" t="s">
        <v>585</v>
      </c>
      <c r="I247" s="2" t="str">
        <f>IFERROR(__xludf.DUMMYFUNCTION("GOOGLETRANSLATE(C247,""fr"",""en"")"),"Be careful beware of danger ??
Hello,
I send you this email to claim my insurance certificate as well as the green card.
The provisional certificate of one month and expires on 12/10/2017, and since that date my car parked in my garage for lack of insu"&amp;"rance !!!.
Today I am not even assured despite everything the email and reminders with your insurance.
? If I am not insured with you reimburse me, for I can insure my car with another insurance!?
")</f>
        <v>Be careful beware of danger ??
Hello,
I send you this email to claim my insurance certificate as well as the green card.
The provisional certificate of one month and expires on 12/10/2017, and since that date my car parked in my garage for lack of insurance !!!.
Today I am not even assured despite everything the email and reminders with your insurance.
? If I am not insured with you reimburse me, for I can insure my car with another insurance!?
</v>
      </c>
    </row>
    <row r="248" ht="15.75" customHeight="1">
      <c r="A248" s="2">
        <v>1.0</v>
      </c>
      <c r="B248" s="2" t="s">
        <v>801</v>
      </c>
      <c r="C248" s="2" t="s">
        <v>802</v>
      </c>
      <c r="D248" s="2" t="s">
        <v>803</v>
      </c>
      <c r="E248" s="2" t="s">
        <v>21</v>
      </c>
      <c r="F248" s="2" t="s">
        <v>15</v>
      </c>
      <c r="G248" s="2" t="s">
        <v>804</v>
      </c>
      <c r="H248" s="2" t="s">
        <v>805</v>
      </c>
      <c r="I248" s="2" t="str">
        <f>IFERROR(__xludf.DUMMYFUNCTION("GOOGLETRANSLATE(C248,""fr"",""en"")"),"Affiliated for only two months through my employer, this insurer leaves me speechless. Totally unnecessary website. Telephone contact is a feat. To date I still expect a refund that does not come, they have my RIB provided by my employer. No interlocutor."&amp;" Above all, do not advise AG2R to anyone.")</f>
        <v>Affiliated for only two months through my employer, this insurer leaves me speechless. Totally unnecessary website. Telephone contact is a feat. To date I still expect a refund that does not come, they have my RIB provided by my employer. No interlocutor. Above all, do not advise AG2R to anyone.</v>
      </c>
    </row>
    <row r="249" ht="15.75" customHeight="1">
      <c r="A249" s="2">
        <v>1.0</v>
      </c>
      <c r="B249" s="2" t="s">
        <v>806</v>
      </c>
      <c r="C249" s="2" t="s">
        <v>807</v>
      </c>
      <c r="D249" s="2" t="s">
        <v>223</v>
      </c>
      <c r="E249" s="2" t="s">
        <v>77</v>
      </c>
      <c r="F249" s="2" t="s">
        <v>15</v>
      </c>
      <c r="G249" s="2" t="s">
        <v>808</v>
      </c>
      <c r="H249" s="2" t="s">
        <v>418</v>
      </c>
      <c r="I249" s="2" t="str">
        <f>IFERROR(__xludf.DUMMYFUNCTION("GOOGLETRANSLATE(C249,""fr"",""en"")"),"Very unhappy, customer service: 0! We have just bought a house at the end of November and since then the request to terminate our home insurance contract because we have taken out in our new bank, the PB is that we are in June and we always pay insurance "&amp;"for a house In which we have not lived since November! Telephone contact + mail with acknowledgment of receipt and always the same bp our request is still not taken into account! And the same for our death guarantees! In addition my banker also does what "&amp;"is necessary by sending recommended but nothing to do !!!! They are really incompetent! We strongly advise them !!!")</f>
        <v>Very unhappy, customer service: 0! We have just bought a house at the end of November and since then the request to terminate our home insurance contract because we have taken out in our new bank, the PB is that we are in June and we always pay insurance for a house In which we have not lived since November! Telephone contact + mail with acknowledgment of receipt and always the same bp our request is still not taken into account! And the same for our death guarantees! In addition my banker also does what is necessary by sending recommended but nothing to do !!!! They are really incompetent! We strongly advise them !!!</v>
      </c>
    </row>
    <row r="250" ht="15.75" customHeight="1">
      <c r="A250" s="2">
        <v>4.0</v>
      </c>
      <c r="B250" s="2" t="s">
        <v>809</v>
      </c>
      <c r="C250" s="2" t="s">
        <v>810</v>
      </c>
      <c r="D250" s="2" t="s">
        <v>47</v>
      </c>
      <c r="E250" s="2" t="s">
        <v>14</v>
      </c>
      <c r="F250" s="2" t="s">
        <v>15</v>
      </c>
      <c r="G250" s="2" t="s">
        <v>811</v>
      </c>
      <c r="H250" s="2" t="s">
        <v>338</v>
      </c>
      <c r="I250" s="2" t="str">
        <f>IFERROR(__xludf.DUMMYFUNCTION("GOOGLETRANSLATE(C250,""fr"",""en"")"),"I am satisfied with the service for subscription to the contract.
The quality of insurance is judged mainly on its effectiveness during a disaster.
For the moment I cannot comment on this point.")</f>
        <v>I am satisfied with the service for subscription to the contract.
The quality of insurance is judged mainly on its effectiveness during a disaster.
For the moment I cannot comment on this point.</v>
      </c>
    </row>
    <row r="251" ht="15.75" customHeight="1">
      <c r="A251" s="2">
        <v>1.0</v>
      </c>
      <c r="B251" s="2" t="s">
        <v>812</v>
      </c>
      <c r="C251" s="2" t="s">
        <v>813</v>
      </c>
      <c r="D251" s="2" t="s">
        <v>781</v>
      </c>
      <c r="E251" s="2" t="s">
        <v>21</v>
      </c>
      <c r="F251" s="2" t="s">
        <v>15</v>
      </c>
      <c r="G251" s="2" t="s">
        <v>814</v>
      </c>
      <c r="H251" s="2" t="s">
        <v>815</v>
      </c>
      <c r="I251" s="2" t="str">
        <f>IFERROR(__xludf.DUMMYFUNCTION("GOOGLETRANSLATE(C251,""fr"",""en"")"),"I had this mandatory mutual as an employee, but at the end of my contract, I wanted to continue to join as an individual, but the price of the monthly contribution was unaffordable.")</f>
        <v>I had this mandatory mutual as an employee, but at the end of my contract, I wanted to continue to join as an individual, but the price of the monthly contribution was unaffordable.</v>
      </c>
    </row>
    <row r="252" ht="15.75" customHeight="1">
      <c r="A252" s="2">
        <v>3.0</v>
      </c>
      <c r="B252" s="2" t="s">
        <v>816</v>
      </c>
      <c r="C252" s="2" t="s">
        <v>817</v>
      </c>
      <c r="D252" s="2" t="s">
        <v>47</v>
      </c>
      <c r="E252" s="2" t="s">
        <v>14</v>
      </c>
      <c r="F252" s="2" t="s">
        <v>15</v>
      </c>
      <c r="G252" s="2" t="s">
        <v>502</v>
      </c>
      <c r="H252" s="2" t="s">
        <v>49</v>
      </c>
      <c r="I252" s="2" t="str">
        <f>IFERROR(__xludf.DUMMYFUNCTION("GOOGLETRANSLATE(C252,""fr"",""en"")"),"I am satisfied with the product and its attractive price my vehicle is well guaranteed and I am also extremely happy with customer service which is easily reachable")</f>
        <v>I am satisfied with the product and its attractive price my vehicle is well guaranteed and I am also extremely happy with customer service which is easily reachable</v>
      </c>
    </row>
    <row r="253" ht="15.75" customHeight="1">
      <c r="A253" s="2">
        <v>4.0</v>
      </c>
      <c r="B253" s="2" t="s">
        <v>818</v>
      </c>
      <c r="C253" s="2" t="s">
        <v>819</v>
      </c>
      <c r="D253" s="2" t="s">
        <v>47</v>
      </c>
      <c r="E253" s="2" t="s">
        <v>14</v>
      </c>
      <c r="F253" s="2" t="s">
        <v>15</v>
      </c>
      <c r="G253" s="2" t="s">
        <v>27</v>
      </c>
      <c r="H253" s="2" t="s">
        <v>28</v>
      </c>
      <c r="I253" s="2" t="str">
        <f>IFERROR(__xludf.DUMMYFUNCTION("GOOGLETRANSLATE(C253,""fr"",""en"")"),"Very welcome and skills of agents on the phone. Thank you all. Very welcome and skills of agents on the phone. Thank you all. Very welcome and skills of agents on the phone. Thank you all.")</f>
        <v>Very welcome and skills of agents on the phone. Thank you all. Very welcome and skills of agents on the phone. Thank you all. Very welcome and skills of agents on the phone. Thank you all.</v>
      </c>
    </row>
    <row r="254" ht="15.75" customHeight="1">
      <c r="A254" s="2">
        <v>1.0</v>
      </c>
      <c r="B254" s="2" t="s">
        <v>820</v>
      </c>
      <c r="C254" s="2" t="s">
        <v>821</v>
      </c>
      <c r="D254" s="2" t="s">
        <v>803</v>
      </c>
      <c r="E254" s="2" t="s">
        <v>21</v>
      </c>
      <c r="F254" s="2" t="s">
        <v>15</v>
      </c>
      <c r="G254" s="2" t="s">
        <v>822</v>
      </c>
      <c r="H254" s="2" t="s">
        <v>585</v>
      </c>
      <c r="I254" s="2" t="str">
        <f>IFERROR(__xludf.DUMMYFUNCTION("GOOGLETRANSLATE(C254,""fr"",""en"")"),"I sent a letter to AG2R in September 2017 to denounce my health contract at 31 Dec. I receive a letter in October informing me that my contract ends in Oct. 1 My bank account was debited for Oct.NOV.Dec .
Customer service is zero and does not bring me an"&amp;"y support. I wanted my contract to end at 31 Dec.")</f>
        <v>I sent a letter to AG2R in September 2017 to denounce my health contract at 31 Dec. I receive a letter in October informing me that my contract ends in Oct. 1 My bank account was debited for Oct.NOV.Dec .
Customer service is zero and does not bring me any support. I wanted my contract to end at 31 Dec.</v>
      </c>
    </row>
    <row r="255" ht="15.75" customHeight="1">
      <c r="A255" s="2">
        <v>2.0</v>
      </c>
      <c r="B255" s="2" t="s">
        <v>823</v>
      </c>
      <c r="C255" s="2" t="s">
        <v>824</v>
      </c>
      <c r="D255" s="2" t="s">
        <v>287</v>
      </c>
      <c r="E255" s="2" t="s">
        <v>14</v>
      </c>
      <c r="F255" s="2" t="s">
        <v>15</v>
      </c>
      <c r="G255" s="2" t="s">
        <v>825</v>
      </c>
      <c r="H255" s="2" t="s">
        <v>270</v>
      </c>
      <c r="I255" s="2" t="str">
        <f>IFERROR(__xludf.DUMMYFUNCTION("GOOGLETRANSLATE(C255,""fr"",""en"")"),"Customer for many years, I was the first to rent this insurance but when my first disaster arrived, I saw the other face of the GMF ... Insurance that advocates good values ​​but when you need 'She (defending you, being reactive) is absent!
In short, I"&amp;" no longer trust ...")</f>
        <v>Customer for many years, I was the first to rent this insurance but when my first disaster arrived, I saw the other face of the GMF ... Insurance that advocates good values ​​but when you need 'She (defending you, being reactive) is absent!
In short, I no longer trust ...</v>
      </c>
    </row>
    <row r="256" ht="15.75" customHeight="1">
      <c r="A256" s="2">
        <v>5.0</v>
      </c>
      <c r="B256" s="2" t="s">
        <v>826</v>
      </c>
      <c r="C256" s="2" t="s">
        <v>827</v>
      </c>
      <c r="D256" s="2" t="s">
        <v>47</v>
      </c>
      <c r="E256" s="2" t="s">
        <v>14</v>
      </c>
      <c r="F256" s="2" t="s">
        <v>15</v>
      </c>
      <c r="G256" s="2" t="s">
        <v>828</v>
      </c>
      <c r="H256" s="2" t="s">
        <v>87</v>
      </c>
      <c r="I256" s="2" t="str">
        <f>IFERROR(__xludf.DUMMYFUNCTION("GOOGLETRANSLATE(C256,""fr"",""en"")"),"Prices and services suit me. I also find that the ergonomics of the website is very pleasant. I did not encounter any problems during my online procedures.")</f>
        <v>Prices and services suit me. I also find that the ergonomics of the website is very pleasant. I did not encounter any problems during my online procedures.</v>
      </c>
    </row>
    <row r="257" ht="15.75" customHeight="1">
      <c r="A257" s="2">
        <v>2.0</v>
      </c>
      <c r="B257" s="2" t="s">
        <v>829</v>
      </c>
      <c r="C257" s="2" t="s">
        <v>830</v>
      </c>
      <c r="D257" s="2" t="s">
        <v>781</v>
      </c>
      <c r="E257" s="2" t="s">
        <v>21</v>
      </c>
      <c r="F257" s="2" t="s">
        <v>15</v>
      </c>
      <c r="G257" s="2" t="s">
        <v>55</v>
      </c>
      <c r="H257" s="2" t="s">
        <v>56</v>
      </c>
      <c r="I257" s="2" t="str">
        <f>IFERROR(__xludf.DUMMYFUNCTION("GOOGLETRANSLATE(C257,""fr"",""en"")"),"Very bad insurance. Deadays to reimburse or do not reimburse the medical expenses at all. Non -existent provident, no possible contact. Invent stories so as not to pay additional compensation. On the other hand, still there to cash the contributions ...
"&amp;"Too bad not to be able to put 0 star. Avoid like plague.")</f>
        <v>Very bad insurance. Deadays to reimburse or do not reimburse the medical expenses at all. Non -existent provident, no possible contact. Invent stories so as not to pay additional compensation. On the other hand, still there to cash the contributions ...
Too bad not to be able to put 0 star. Avoid like plague.</v>
      </c>
    </row>
    <row r="258" ht="15.75" customHeight="1">
      <c r="A258" s="2">
        <v>2.0</v>
      </c>
      <c r="B258" s="2" t="s">
        <v>831</v>
      </c>
      <c r="C258" s="2" t="s">
        <v>832</v>
      </c>
      <c r="D258" s="2" t="s">
        <v>13</v>
      </c>
      <c r="E258" s="2" t="s">
        <v>14</v>
      </c>
      <c r="F258" s="2" t="s">
        <v>15</v>
      </c>
      <c r="G258" s="2" t="s">
        <v>670</v>
      </c>
      <c r="H258" s="2" t="s">
        <v>670</v>
      </c>
      <c r="I258" s="2" t="str">
        <f>IFERROR(__xludf.DUMMYFUNCTION("GOOGLETRANSLATE(C258,""fr"",""en"")"),"Terminated for claims after 3 declarations:
- 2 times gravel received on the windshield (no luck at 2 months of intervals) that I had to go to Carglass
-1 times for a non -responsible collision
Obviously, if I had known this policy beforehand I would n"&amp;"ever have declared the broken ice for which TV advertising hammers that we must have them repaired immediately and that it is taken care of by insurance. . And I would have taken them at my expense. (2 x 90 €)
Now I have difficulty reassuring myself to r"&amp;"easonable conditions ... (almost double bonus and very high franchises)
In short, what I won by subscribing to Direct Assurance, I have more than lost thereafter ... Not to mention the time spent finding a new insurer.")</f>
        <v>Terminated for claims after 3 declarations:
- 2 times gravel received on the windshield (no luck at 2 months of intervals) that I had to go to Carglass
-1 times for a non -responsible collision
Obviously, if I had known this policy beforehand I would never have declared the broken ice for which TV advertising hammers that we must have them repaired immediately and that it is taken care of by insurance. . And I would have taken them at my expense. (2 x 90 €)
Now I have difficulty reassuring myself to reasonable conditions ... (almost double bonus and very high franchises)
In short, what I won by subscribing to Direct Assurance, I have more than lost thereafter ... Not to mention the time spent finding a new insurer.</v>
      </c>
    </row>
    <row r="259" ht="15.75" customHeight="1">
      <c r="A259" s="2">
        <v>2.0</v>
      </c>
      <c r="B259" s="2" t="s">
        <v>833</v>
      </c>
      <c r="C259" s="2" t="s">
        <v>834</v>
      </c>
      <c r="D259" s="2" t="s">
        <v>63</v>
      </c>
      <c r="E259" s="2" t="s">
        <v>14</v>
      </c>
      <c r="F259" s="2" t="s">
        <v>15</v>
      </c>
      <c r="G259" s="2" t="s">
        <v>835</v>
      </c>
      <c r="H259" s="2" t="s">
        <v>270</v>
      </c>
      <c r="I259" s="2" t="str">
        <f>IFERROR(__xludf.DUMMYFUNCTION("GOOGLETRANSLATE(C259,""fr"",""en"")"),"Following an ice cream I wanted to see if I was insured against this disaster, on the phone I had a first person who did not seem well informed and asked me to recall, what I 'I did the next day by re -explaining the problem (no call history in Maif?) Sec"&amp;"ond person who was able to give me an answer but with mind -blowing kindness, taking me for an ignorant kid, repeating me at all costs that as now I worked I should no longer be under the ""dad"" contract, that I was obliged to take a contract on my name "&amp;"because I was no longer a student (I am under the car contract of my Parents since I was 18, I have 23 now and we have always had this arrangement because I did not have a stable work), annoyed by this exchange I preferred to cut short. In the meantime, t"&amp;"he insurance of the person who had caused me the break of ice asked to have written proof of the refusal to reimburse the maif so I had to contact the latter to have proof of their refusal, She left for a third call, another rebuilding of the problem, I a"&amp;"sk the operator to provide me with a written trace by email, she says to me ""yes yes I do this"", except that she had not My email address (fortunately I asked her if she had it ...), I tell myself that I finally finished with them and bah no ... 2 hours"&amp;" after my call I receive an email from the Maif who sends me my proof except that it is the proof of a disaster who has nothing to do with mine, not the right date, not the right place, really nothing to do!
I answer this email by re -explaining the clai"&amp;"m and asking for the right proof, to date I still have no response, that is 9 days.
Conclusion: I went to another insurance (the one who covered the person who caused me the break of ice) who made me a commercial gesture by taking charge of all the repai"&amp;"rs of my disaster.")</f>
        <v>Following an ice cream I wanted to see if I was insured against this disaster, on the phone I had a first person who did not seem well informed and asked me to recall, what I 'I did the next day by re -explaining the problem (no call history in Maif?) Second person who was able to give me an answer but with mind -blowing kindness, taking me for an ignorant kid, repeating me at all costs that as now I worked I should no longer be under the "dad" contract, that I was obliged to take a contract on my name because I was no longer a student (I am under the car contract of my Parents since I was 18, I have 23 now and we have always had this arrangement because I did not have a stable work), annoyed by this exchange I preferred to cut short. In the meantime, the insurance of the person who had caused me the break of ice asked to have written proof of the refusal to reimburse the maif so I had to contact the latter to have proof of their refusal, She left for a third call, another rebuilding of the problem, I ask the operator to provide me with a written trace by email, she says to me "yes yes I do this", except that she had not My email address (fortunately I asked her if she had it ...), I tell myself that I finally finished with them and bah no ... 2 hours after my call I receive an email from the Maif who sends me my proof except that it is the proof of a disaster who has nothing to do with mine, not the right date, not the right place, really nothing to do!
I answer this email by re -explaining the claim and asking for the right proof, to date I still have no response, that is 9 days.
Conclusion: I went to another insurance (the one who covered the person who caused me the break of ice) who made me a commercial gesture by taking charge of all the repairs of my disaster.</v>
      </c>
    </row>
    <row r="260" ht="15.75" customHeight="1">
      <c r="A260" s="2">
        <v>5.0</v>
      </c>
      <c r="B260" s="2" t="s">
        <v>836</v>
      </c>
      <c r="C260" s="2" t="s">
        <v>837</v>
      </c>
      <c r="D260" s="2" t="s">
        <v>13</v>
      </c>
      <c r="E260" s="2" t="s">
        <v>14</v>
      </c>
      <c r="F260" s="2" t="s">
        <v>15</v>
      </c>
      <c r="G260" s="2" t="s">
        <v>170</v>
      </c>
      <c r="H260" s="2" t="s">
        <v>17</v>
      </c>
      <c r="I260" s="2" t="str">
        <f>IFERROR(__xludf.DUMMYFUNCTION("GOOGLETRANSLATE(C260,""fr"",""en"")"),"Internet service for subscription is fast and efficient with attractive prices.
We will see with the use and in the event of a problem if the service is always the same.")</f>
        <v>Internet service for subscription is fast and efficient with attractive prices.
We will see with the use and in the event of a problem if the service is always the same.</v>
      </c>
    </row>
    <row r="261" ht="15.75" customHeight="1">
      <c r="A261" s="2">
        <v>4.0</v>
      </c>
      <c r="B261" s="2" t="s">
        <v>838</v>
      </c>
      <c r="C261" s="2" t="s">
        <v>839</v>
      </c>
      <c r="D261" s="2" t="s">
        <v>13</v>
      </c>
      <c r="E261" s="2" t="s">
        <v>14</v>
      </c>
      <c r="F261" s="2" t="s">
        <v>15</v>
      </c>
      <c r="G261" s="2" t="s">
        <v>117</v>
      </c>
      <c r="H261" s="2" t="s">
        <v>28</v>
      </c>
      <c r="I261" s="2" t="str">
        <f>IFERROR(__xludf.DUMMYFUNCTION("GOOGLETRANSLATE(C261,""fr"",""en"")"),"The cheapest on the market with a difference of 150 euros on a price that was already attractive on my previous insurer. Ease to subscribe.
Note that my vehicle is 180 hp. Unbeatable price")</f>
        <v>The cheapest on the market with a difference of 150 euros on a price that was already attractive on my previous insurer. Ease to subscribe.
Note that my vehicle is 180 hp. Unbeatable price</v>
      </c>
    </row>
    <row r="262" ht="15.75" customHeight="1">
      <c r="A262" s="2">
        <v>4.0</v>
      </c>
      <c r="B262" s="2" t="s">
        <v>840</v>
      </c>
      <c r="C262" s="2" t="s">
        <v>841</v>
      </c>
      <c r="D262" s="2" t="s">
        <v>483</v>
      </c>
      <c r="E262" s="2" t="s">
        <v>138</v>
      </c>
      <c r="F262" s="2" t="s">
        <v>15</v>
      </c>
      <c r="G262" s="2" t="s">
        <v>685</v>
      </c>
      <c r="H262" s="2" t="s">
        <v>87</v>
      </c>
      <c r="I262" s="2" t="str">
        <f>IFERROR(__xludf.DUMMYFUNCTION("GOOGLETRANSLATE(C262,""fr"",""en"")"),"Hello,
I am happy to have provided my premiums, and in the event of death my children will receive the funeral allowance, very practical given the dearness of these. The same downside as for my mutual guarantee, a little too expensive in my opinion.
A p"&amp;"lus, great availability and kindness of advisers, I have not yet had a disaster to declare (thank God).")</f>
        <v>Hello,
I am happy to have provided my premiums, and in the event of death my children will receive the funeral allowance, very practical given the dearness of these. The same downside as for my mutual guarantee, a little too expensive in my opinion.
A plus, great availability and kindness of advisers, I have not yet had a disaster to declare (thank God).</v>
      </c>
    </row>
    <row r="263" ht="15.75" customHeight="1">
      <c r="A263" s="2">
        <v>3.0</v>
      </c>
      <c r="B263" s="2" t="s">
        <v>842</v>
      </c>
      <c r="C263" s="2" t="s">
        <v>843</v>
      </c>
      <c r="D263" s="2" t="s">
        <v>72</v>
      </c>
      <c r="E263" s="2" t="s">
        <v>21</v>
      </c>
      <c r="F263" s="2" t="s">
        <v>15</v>
      </c>
      <c r="G263" s="2" t="s">
        <v>844</v>
      </c>
      <c r="H263" s="2" t="s">
        <v>845</v>
      </c>
      <c r="I263" s="2" t="str">
        <f>IFERROR(__xludf.DUMMYFUNCTION("GOOGLETRANSLATE(C263,""fr"",""en"")"),"Good customer relationship contact
Quick reimbursements and email contact
*******")</f>
        <v>Good customer relationship contact
Quick reimbursements and email contact
*******</v>
      </c>
    </row>
    <row r="264" ht="15.75" customHeight="1">
      <c r="A264" s="2">
        <v>2.0</v>
      </c>
      <c r="B264" s="2" t="s">
        <v>846</v>
      </c>
      <c r="C264" s="2" t="s">
        <v>847</v>
      </c>
      <c r="D264" s="2" t="s">
        <v>47</v>
      </c>
      <c r="E264" s="2" t="s">
        <v>14</v>
      </c>
      <c r="F264" s="2" t="s">
        <v>15</v>
      </c>
      <c r="G264" s="2" t="s">
        <v>848</v>
      </c>
      <c r="H264" s="2" t="s">
        <v>99</v>
      </c>
      <c r="I264" s="2" t="str">
        <f>IFERROR(__xludf.DUMMYFUNCTION("GOOGLETRANSLATE(C264,""fr"",""en"")"),"I am surprised at the increase in the price at the time of subscription.
I started subscription before the expiration of my old contract. I was waiting for the day after to subscribe to a multiauto contract to have a 10%reduction. Except that a penalty w"&amp;"as applied to me because the old contract has expired less than 2 days. I am not happy because I was not explained to me this penalty if I wait for the subscription.")</f>
        <v>I am surprised at the increase in the price at the time of subscription.
I started subscription before the expiration of my old contract. I was waiting for the day after to subscribe to a multiauto contract to have a 10%reduction. Except that a penalty was applied to me because the old contract has expired less than 2 days. I am not happy because I was not explained to me this penalty if I wait for the subscription.</v>
      </c>
    </row>
    <row r="265" ht="15.75" customHeight="1">
      <c r="A265" s="2">
        <v>2.0</v>
      </c>
      <c r="B265" s="2" t="s">
        <v>849</v>
      </c>
      <c r="C265" s="2" t="s">
        <v>850</v>
      </c>
      <c r="D265" s="2" t="s">
        <v>851</v>
      </c>
      <c r="E265" s="2" t="s">
        <v>43</v>
      </c>
      <c r="F265" s="2" t="s">
        <v>15</v>
      </c>
      <c r="G265" s="2" t="s">
        <v>258</v>
      </c>
      <c r="H265" s="2" t="s">
        <v>259</v>
      </c>
      <c r="I265" s="2" t="str">
        <f>IFERROR(__xludf.DUMMYFUNCTION("GOOGLETRANSLATE(C265,""fr"",""en"")"),"Unreachable on telephone and zero telephone service. Following a motorcycle accident, I begin to measure the level of competence of my insurer. The price still attracts the customer and I understand today, the price of the service is paid
To reach them, "&amp;"you have to be patient and to be reimbursed too. Do not take a contract with them or time for you ....")</f>
        <v>Unreachable on telephone and zero telephone service. Following a motorcycle accident, I begin to measure the level of competence of my insurer. The price still attracts the customer and I understand today, the price of the service is paid
To reach them, you have to be patient and to be reimbursed too. Do not take a contract with them or time for you ....</v>
      </c>
    </row>
    <row r="266" ht="15.75" customHeight="1">
      <c r="A266" s="2">
        <v>1.0</v>
      </c>
      <c r="B266" s="2" t="s">
        <v>852</v>
      </c>
      <c r="C266" s="2" t="s">
        <v>853</v>
      </c>
      <c r="D266" s="2" t="s">
        <v>13</v>
      </c>
      <c r="E266" s="2" t="s">
        <v>14</v>
      </c>
      <c r="F266" s="2" t="s">
        <v>15</v>
      </c>
      <c r="G266" s="2" t="s">
        <v>854</v>
      </c>
      <c r="H266" s="2" t="s">
        <v>805</v>
      </c>
      <c r="I266" s="2" t="str">
        <f>IFERROR(__xludf.DUMMYFUNCTION("GOOGLETRANSLATE(C266,""fr"",""en"")"),"I have never reimbursed my surplus no customer follow -up (except for payment of course) no letter received, I was removed my car insurance without being notified I ride by car for 15 days without insurance, no insurance n ' wanted to resume, I lost all m"&amp;"y 5 -year bonus I pay for auto insurance at more than 100 euros because of direct insurance if I had not received my car label of car never I would have known that I 'was more insure I
Hais this insurance frankly does not let you be fooled she puts my sh"&amp;"it not possible at nine months of pregnancy. The worst part in all its is that he assures you that he left you as of message and from mail.
The telephone set is in Morocco We speak to advisers who understand half as of it.
It has been 1 year that I did "&amp;"not have reimbursed my month not to insure.
In the week 1 complaint will be made and believe me I will ask for damage and interest.")</f>
        <v>I have never reimbursed my surplus no customer follow -up (except for payment of course) no letter received, I was removed my car insurance without being notified I ride by car for 15 days without insurance, no insurance n ' wanted to resume, I lost all my 5 -year bonus I pay for auto insurance at more than 100 euros because of direct insurance if I had not received my car label of car never I would have known that I 'was more insure I
Hais this insurance frankly does not let you be fooled she puts my shit not possible at nine months of pregnancy. The worst part in all its is that he assures you that he left you as of message and from mail.
The telephone set is in Morocco We speak to advisers who understand half as of it.
It has been 1 year that I did not have reimbursed my month not to insure.
In the week 1 complaint will be made and believe me I will ask for damage and interest.</v>
      </c>
    </row>
    <row r="267" ht="15.75" customHeight="1">
      <c r="A267" s="2">
        <v>1.0</v>
      </c>
      <c r="B267" s="2" t="s">
        <v>855</v>
      </c>
      <c r="C267" s="2" t="s">
        <v>856</v>
      </c>
      <c r="D267" s="2" t="s">
        <v>13</v>
      </c>
      <c r="E267" s="2" t="s">
        <v>14</v>
      </c>
      <c r="F267" s="2" t="s">
        <v>15</v>
      </c>
      <c r="G267" s="2" t="s">
        <v>857</v>
      </c>
      <c r="H267" s="2" t="s">
        <v>266</v>
      </c>
      <c r="I267" s="2" t="str">
        <f>IFERROR(__xludf.DUMMYFUNCTION("GOOGLETRANSLATE(C267,""fr"",""en"")"),"Never have a contract with them
They never want to pay anything and they send you walking for the slightest problem.
No support for my repairs, incompetent advisers .. and so on
To flee")</f>
        <v>Never have a contract with them
They never want to pay anything and they send you walking for the slightest problem.
No support for my repairs, incompetent advisers .. and so on
To flee</v>
      </c>
    </row>
    <row r="268" ht="15.75" customHeight="1">
      <c r="A268" s="2">
        <v>1.0</v>
      </c>
      <c r="B268" s="2" t="s">
        <v>858</v>
      </c>
      <c r="C268" s="2" t="s">
        <v>859</v>
      </c>
      <c r="D268" s="2" t="s">
        <v>860</v>
      </c>
      <c r="E268" s="2" t="s">
        <v>138</v>
      </c>
      <c r="F268" s="2" t="s">
        <v>15</v>
      </c>
      <c r="G268" s="2" t="s">
        <v>303</v>
      </c>
      <c r="H268" s="2" t="s">
        <v>99</v>
      </c>
      <c r="I268" s="2" t="str">
        <f>IFERROR(__xludf.DUMMYFUNCTION("GOOGLETRANSLATE(C268,""fr"",""en"")"),"I did not touch my education pension (quarterly) in early April and no one answers the phone or emails. In desperation, I post my call for help here ...")</f>
        <v>I did not touch my education pension (quarterly) in early April and no one answers the phone or emails. In desperation, I post my call for help here ...</v>
      </c>
    </row>
    <row r="269" ht="15.75" customHeight="1">
      <c r="A269" s="2">
        <v>5.0</v>
      </c>
      <c r="B269" s="2" t="s">
        <v>861</v>
      </c>
      <c r="C269" s="2" t="s">
        <v>862</v>
      </c>
      <c r="D269" s="2" t="s">
        <v>97</v>
      </c>
      <c r="E269" s="2" t="s">
        <v>43</v>
      </c>
      <c r="F269" s="2" t="s">
        <v>15</v>
      </c>
      <c r="G269" s="2" t="s">
        <v>863</v>
      </c>
      <c r="H269" s="2" t="s">
        <v>49</v>
      </c>
      <c r="I269" s="2" t="str">
        <f>IFERROR(__xludf.DUMMYFUNCTION("GOOGLETRANSLATE(C269,""fr"",""en"")"),"I am satisfied with the product good simple and super effective price I recommend
Good insurance
My son and insured with you he and satisfied
Thank you Best regards")</f>
        <v>I am satisfied with the product good simple and super effective price I recommend
Good insurance
My son and insured with you he and satisfied
Thank you Best regards</v>
      </c>
    </row>
    <row r="270" ht="15.75" customHeight="1">
      <c r="A270" s="2">
        <v>5.0</v>
      </c>
      <c r="B270" s="2" t="s">
        <v>864</v>
      </c>
      <c r="C270" s="2" t="s">
        <v>865</v>
      </c>
      <c r="D270" s="2" t="s">
        <v>97</v>
      </c>
      <c r="E270" s="2" t="s">
        <v>43</v>
      </c>
      <c r="F270" s="2" t="s">
        <v>15</v>
      </c>
      <c r="G270" s="2" t="s">
        <v>99</v>
      </c>
      <c r="H270" s="2" t="s">
        <v>99</v>
      </c>
      <c r="I270" s="2" t="str">
        <f>IFERROR(__xludf.DUMMYFUNCTION("GOOGLETRANSLATE(C270,""fr"",""en"")"),"I am very satisfied with the welcome which was reserved for me as well as the simplicity to establish and finalize the quote. The prices to ensure a motorcycle are very well placed.")</f>
        <v>I am very satisfied with the welcome which was reserved for me as well as the simplicity to establish and finalize the quote. The prices to ensure a motorcycle are very well placed.</v>
      </c>
    </row>
    <row r="271" ht="15.75" customHeight="1">
      <c r="A271" s="2">
        <v>2.0</v>
      </c>
      <c r="B271" s="2" t="s">
        <v>866</v>
      </c>
      <c r="C271" s="2" t="s">
        <v>867</v>
      </c>
      <c r="D271" s="2" t="s">
        <v>287</v>
      </c>
      <c r="E271" s="2" t="s">
        <v>14</v>
      </c>
      <c r="F271" s="2" t="s">
        <v>15</v>
      </c>
      <c r="G271" s="2" t="s">
        <v>868</v>
      </c>
      <c r="H271" s="2" t="s">
        <v>609</v>
      </c>
      <c r="I271" s="2" t="str">
        <f>IFERROR(__xludf.DUMMYFUNCTION("GOOGLETRANSLATE(C271,""fr"",""en"")"),"Former soldier the GMF was my first insurer, and this for 25 years with practically no claim arrived at the maxored maxored bonus etc ... Then my wife had 2 responsible clashes I marked well hooked no big damage and no injuries even light. Following this "&amp;"the GMF refused to assured me during my change of vehicle (she would have accepted if I had had more contract with them). So advertising GMF certainly human we forget. Since then I have changed my insurer my 3 children too and I can no longer support GMF "&amp;"advertising.")</f>
        <v>Former soldier the GMF was my first insurer, and this for 25 years with practically no claim arrived at the maxored maxored bonus etc ... Then my wife had 2 responsible clashes I marked well hooked no big damage and no injuries even light. Following this the GMF refused to assured me during my change of vehicle (she would have accepted if I had had more contract with them). So advertising GMF certainly human we forget. Since then I have changed my insurer my 3 children too and I can no longer support GMF advertising.</v>
      </c>
    </row>
    <row r="272" ht="15.75" customHeight="1">
      <c r="A272" s="2">
        <v>1.0</v>
      </c>
      <c r="B272" s="2" t="s">
        <v>869</v>
      </c>
      <c r="C272" s="2" t="s">
        <v>870</v>
      </c>
      <c r="D272" s="2" t="s">
        <v>13</v>
      </c>
      <c r="E272" s="2" t="s">
        <v>14</v>
      </c>
      <c r="F272" s="2" t="s">
        <v>15</v>
      </c>
      <c r="G272" s="2" t="s">
        <v>871</v>
      </c>
      <c r="H272" s="2" t="s">
        <v>125</v>
      </c>
      <c r="I272" s="2" t="str">
        <f>IFERROR(__xludf.DUMMYFUNCTION("GOOGLETRANSLATE(C272,""fr"",""en"")"),"I am not yet a client I have no opinion yet, but the prices seem correct to me.
I want to compare with other car and home insurance.")</f>
        <v>I am not yet a client I have no opinion yet, but the prices seem correct to me.
I want to compare with other car and home insurance.</v>
      </c>
    </row>
    <row r="273" ht="15.75" customHeight="1">
      <c r="A273" s="2">
        <v>4.0</v>
      </c>
      <c r="B273" s="2" t="s">
        <v>872</v>
      </c>
      <c r="C273" s="2" t="s">
        <v>873</v>
      </c>
      <c r="D273" s="2" t="s">
        <v>47</v>
      </c>
      <c r="E273" s="2" t="s">
        <v>14</v>
      </c>
      <c r="F273" s="2" t="s">
        <v>15</v>
      </c>
      <c r="G273" s="2" t="s">
        <v>424</v>
      </c>
      <c r="H273" s="2" t="s">
        <v>69</v>
      </c>
      <c r="I273" s="2" t="str">
        <f>IFERROR(__xludf.DUMMYFUNCTION("GOOGLETRANSLATE(C273,""fr"",""en"")"),"I am satisfied with the services the prices are affordable especially as a young driver again thank you, I highly recommend it's great thank you very much.")</f>
        <v>I am satisfied with the services the prices are affordable especially as a young driver again thank you, I highly recommend it's great thank you very much.</v>
      </c>
    </row>
    <row r="274" ht="15.75" customHeight="1">
      <c r="A274" s="2">
        <v>4.0</v>
      </c>
      <c r="B274" s="2" t="s">
        <v>874</v>
      </c>
      <c r="C274" s="2" t="s">
        <v>875</v>
      </c>
      <c r="D274" s="2" t="s">
        <v>13</v>
      </c>
      <c r="E274" s="2" t="s">
        <v>14</v>
      </c>
      <c r="F274" s="2" t="s">
        <v>15</v>
      </c>
      <c r="G274" s="2" t="s">
        <v>694</v>
      </c>
      <c r="H274" s="2" t="s">
        <v>87</v>
      </c>
      <c r="I274" s="2" t="str">
        <f>IFERROR(__xludf.DUMMYFUNCTION("GOOGLETRANSLATE(C274,""fr"",""en"")"),"Satisfied with the prices even if you have to add options. There was cheaper but you understood my needs so I am insured at home")</f>
        <v>Satisfied with the prices even if you have to add options. There was cheaper but you understood my needs so I am insured at home</v>
      </c>
    </row>
    <row r="275" ht="15.75" customHeight="1">
      <c r="A275" s="2">
        <v>5.0</v>
      </c>
      <c r="B275" s="2" t="s">
        <v>876</v>
      </c>
      <c r="C275" s="2" t="s">
        <v>877</v>
      </c>
      <c r="D275" s="2" t="s">
        <v>13</v>
      </c>
      <c r="E275" s="2" t="s">
        <v>14</v>
      </c>
      <c r="F275" s="2" t="s">
        <v>15</v>
      </c>
      <c r="G275" s="2" t="s">
        <v>595</v>
      </c>
      <c r="H275" s="2" t="s">
        <v>17</v>
      </c>
      <c r="I275" s="2" t="str">
        <f>IFERROR(__xludf.DUMMYFUNCTION("GOOGLETRANSLATE(C275,""fr"",""en"")"),"Everything is good we will see the follow -up.
You have to see if if necessary the insurance will be ready and available online or by phone in order to be able to resolve any complications")</f>
        <v>Everything is good we will see the follow -up.
You have to see if if necessary the insurance will be ready and available online or by phone in order to be able to resolve any complications</v>
      </c>
    </row>
    <row r="276" ht="15.75" customHeight="1">
      <c r="A276" s="2">
        <v>5.0</v>
      </c>
      <c r="B276" s="2" t="s">
        <v>878</v>
      </c>
      <c r="C276" s="2" t="s">
        <v>879</v>
      </c>
      <c r="D276" s="2" t="s">
        <v>13</v>
      </c>
      <c r="E276" s="2" t="s">
        <v>14</v>
      </c>
      <c r="F276" s="2" t="s">
        <v>15</v>
      </c>
      <c r="G276" s="2" t="s">
        <v>184</v>
      </c>
      <c r="H276" s="2" t="s">
        <v>28</v>
      </c>
      <c r="I276" s="2" t="str">
        <f>IFERROR(__xludf.DUMMYFUNCTION("GOOGLETRANSLATE(C276,""fr"",""en"")"),"Easy and easy easy to use for us retired it is important! Thank you! Your seriousness caught my attention and I spotted you with the pub on TV.")</f>
        <v>Easy and easy easy to use for us retired it is important! Thank you! Your seriousness caught my attention and I spotted you with the pub on TV.</v>
      </c>
    </row>
    <row r="277" ht="15.75" customHeight="1">
      <c r="A277" s="2">
        <v>3.0</v>
      </c>
      <c r="B277" s="2" t="s">
        <v>880</v>
      </c>
      <c r="C277" s="2" t="s">
        <v>881</v>
      </c>
      <c r="D277" s="2" t="s">
        <v>13</v>
      </c>
      <c r="E277" s="2" t="s">
        <v>14</v>
      </c>
      <c r="F277" s="2" t="s">
        <v>15</v>
      </c>
      <c r="G277" s="2" t="s">
        <v>882</v>
      </c>
      <c r="H277" s="2" t="s">
        <v>99</v>
      </c>
      <c r="I277" s="2" t="str">
        <f>IFERROR(__xludf.DUMMYFUNCTION("GOOGLETRANSLATE(C277,""fr"",""en"")"),"I am satisfied with the prices, they are correct. But the services can always be improved. The services are also correct. Good evening")</f>
        <v>I am satisfied with the prices, they are correct. But the services can always be improved. The services are also correct. Good evening</v>
      </c>
    </row>
    <row r="278" ht="15.75" customHeight="1">
      <c r="A278" s="2">
        <v>4.0</v>
      </c>
      <c r="B278" s="2" t="s">
        <v>883</v>
      </c>
      <c r="C278" s="2" t="s">
        <v>884</v>
      </c>
      <c r="D278" s="2" t="s">
        <v>47</v>
      </c>
      <c r="E278" s="2" t="s">
        <v>14</v>
      </c>
      <c r="F278" s="2" t="s">
        <v>15</v>
      </c>
      <c r="G278" s="2" t="s">
        <v>531</v>
      </c>
      <c r="H278" s="2" t="s">
        <v>69</v>
      </c>
      <c r="I278" s="2" t="str">
        <f>IFERROR(__xludf.DUMMYFUNCTION("GOOGLETRANSLATE(C278,""fr"",""en"")"),"I am completely satisfied with the service whether at the rate level or the explanations indicated by your collaborator in the context of vehicle insurance
")</f>
        <v>I am completely satisfied with the service whether at the rate level or the explanations indicated by your collaborator in the context of vehicle insurance
</v>
      </c>
    </row>
    <row r="279" ht="15.75" customHeight="1">
      <c r="A279" s="2">
        <v>1.0</v>
      </c>
      <c r="B279" s="2" t="s">
        <v>885</v>
      </c>
      <c r="C279" s="2" t="s">
        <v>886</v>
      </c>
      <c r="D279" s="2" t="s">
        <v>168</v>
      </c>
      <c r="E279" s="2" t="s">
        <v>77</v>
      </c>
      <c r="F279" s="2" t="s">
        <v>15</v>
      </c>
      <c r="G279" s="2" t="s">
        <v>887</v>
      </c>
      <c r="H279" s="2" t="s">
        <v>815</v>
      </c>
      <c r="I279" s="2" t="str">
        <f>IFERROR(__xludf.DUMMYFUNCTION("GOOGLETRANSLATE(C279,""fr"",""en"")"),"Very unhappy with this insurer which has increased contributions every year and this for years. The most incredible is when I receive the mail indicating an amount of 142 euros (increase of 20 euros compared to last year) to realize that it is the sum of "&amp;"176.52 that it has the intention to take. In short opposition to this direct debit and termination of the home contract by going to MMA.")</f>
        <v>Very unhappy with this insurer which has increased contributions every year and this for years. The most incredible is when I receive the mail indicating an amount of 142 euros (increase of 20 euros compared to last year) to realize that it is the sum of 176.52 that it has the intention to take. In short opposition to this direct debit and termination of the home contract by going to MMA.</v>
      </c>
    </row>
    <row r="280" ht="15.75" customHeight="1">
      <c r="A280" s="2">
        <v>5.0</v>
      </c>
      <c r="B280" s="2" t="s">
        <v>888</v>
      </c>
      <c r="C280" s="2" t="s">
        <v>889</v>
      </c>
      <c r="D280" s="2" t="s">
        <v>890</v>
      </c>
      <c r="E280" s="2" t="s">
        <v>32</v>
      </c>
      <c r="F280" s="2" t="s">
        <v>15</v>
      </c>
      <c r="G280" s="2" t="s">
        <v>516</v>
      </c>
      <c r="H280" s="2" t="s">
        <v>60</v>
      </c>
      <c r="I280" s="2" t="str">
        <f>IFERROR(__xludf.DUMMYFUNCTION("GOOGLETRANSLATE(C280,""fr"",""en"")"),"Simple, fast efficient and clear, moreover, the prices are much more reasonable than a classic bank. Personally the price is divided by 3.")</f>
        <v>Simple, fast efficient and clear, moreover, the prices are much more reasonable than a classic bank. Personally the price is divided by 3.</v>
      </c>
    </row>
    <row r="281" ht="15.75" customHeight="1">
      <c r="A281" s="2">
        <v>4.0</v>
      </c>
      <c r="B281" s="2" t="s">
        <v>891</v>
      </c>
      <c r="C281" s="2" t="s">
        <v>892</v>
      </c>
      <c r="D281" s="2" t="s">
        <v>13</v>
      </c>
      <c r="E281" s="2" t="s">
        <v>14</v>
      </c>
      <c r="F281" s="2" t="s">
        <v>15</v>
      </c>
      <c r="G281" s="2" t="s">
        <v>893</v>
      </c>
      <c r="H281" s="2" t="s">
        <v>87</v>
      </c>
      <c r="I281" s="2" t="str">
        <f>IFERROR(__xludf.DUMMYFUNCTION("GOOGLETRANSLATE(C281,""fr"",""en"")"),"I am satisfied with your service, the deductibles are a little high but the overall price remains interesting compared to my old car insurance.")</f>
        <v>I am satisfied with your service, the deductibles are a little high but the overall price remains interesting compared to my old car insurance.</v>
      </c>
    </row>
    <row r="282" ht="15.75" customHeight="1">
      <c r="A282" s="2">
        <v>1.0</v>
      </c>
      <c r="B282" s="2" t="s">
        <v>894</v>
      </c>
      <c r="C282" s="2" t="s">
        <v>895</v>
      </c>
      <c r="D282" s="2" t="s">
        <v>168</v>
      </c>
      <c r="E282" s="2" t="s">
        <v>77</v>
      </c>
      <c r="F282" s="2" t="s">
        <v>15</v>
      </c>
      <c r="G282" s="2" t="s">
        <v>896</v>
      </c>
      <c r="H282" s="2" t="s">
        <v>897</v>
      </c>
      <c r="I282" s="2" t="str">
        <f>IFERROR(__xludf.DUMMYFUNCTION("GOOGLETRANSLATE(C282,""fr"",""en"")"),"Hello, Axa Contribution with pure loss, in the event of a claim, everything is good not to reimburse, experts who are not from the company, are just to reduce reimbursements")</f>
        <v>Hello, Axa Contribution with pure loss, in the event of a claim, everything is good not to reimburse, experts who are not from the company, are just to reduce reimbursements</v>
      </c>
    </row>
    <row r="283" ht="15.75" customHeight="1">
      <c r="A283" s="2">
        <v>3.0</v>
      </c>
      <c r="B283" s="2" t="s">
        <v>898</v>
      </c>
      <c r="C283" s="2" t="s">
        <v>899</v>
      </c>
      <c r="D283" s="2" t="s">
        <v>13</v>
      </c>
      <c r="E283" s="2" t="s">
        <v>14</v>
      </c>
      <c r="F283" s="2" t="s">
        <v>15</v>
      </c>
      <c r="G283" s="2" t="s">
        <v>117</v>
      </c>
      <c r="H283" s="2" t="s">
        <v>28</v>
      </c>
      <c r="I283" s="2" t="str">
        <f>IFERROR(__xludf.DUMMYFUNCTION("GOOGLETRANSLATE(C283,""fr"",""en"")"),"I would like to have the possibility of paying in the month rather than in the year. I have not been able to find this option on your site
For the rest I am satisfied with the site")</f>
        <v>I would like to have the possibility of paying in the month rather than in the year. I have not been able to find this option on your site
For the rest I am satisfied with the site</v>
      </c>
    </row>
    <row r="284" ht="15.75" customHeight="1">
      <c r="A284" s="2">
        <v>1.0</v>
      </c>
      <c r="B284" s="2" t="s">
        <v>900</v>
      </c>
      <c r="C284" s="2" t="s">
        <v>901</v>
      </c>
      <c r="D284" s="2" t="s">
        <v>153</v>
      </c>
      <c r="E284" s="2" t="s">
        <v>77</v>
      </c>
      <c r="F284" s="2" t="s">
        <v>15</v>
      </c>
      <c r="G284" s="2" t="s">
        <v>902</v>
      </c>
      <c r="H284" s="2" t="s">
        <v>201</v>
      </c>
      <c r="I284" s="2" t="str">
        <f>IFERROR(__xludf.DUMMYFUNCTION("GOOGLETRANSLATE(C284,""fr"",""en"")"),"Following a claim that took place in March 2018 (for which it was not until 18 months for compensation) I now need the copy of the expert report. During contact with customer service on June 25, I was told that we would contact me by email. Since then, no"&amp;"thing more and it is impossible to contact customer service: all advisers are occupied, regardless of the time of the call, no indication of a probable waiting period and in any case, communication is automatically cut. Having seen similar opinions, I jus"&amp;"t have to be patient ....")</f>
        <v>Following a claim that took place in March 2018 (for which it was not until 18 months for compensation) I now need the copy of the expert report. During contact with customer service on June 25, I was told that we would contact me by email. Since then, nothing more and it is impossible to contact customer service: all advisers are occupied, regardless of the time of the call, no indication of a probable waiting period and in any case, communication is automatically cut. Having seen similar opinions, I just have to be patient ....</v>
      </c>
    </row>
    <row r="285" ht="15.75" customHeight="1">
      <c r="A285" s="2">
        <v>1.0</v>
      </c>
      <c r="B285" s="2" t="s">
        <v>903</v>
      </c>
      <c r="C285" s="2" t="s">
        <v>904</v>
      </c>
      <c r="D285" s="2" t="s">
        <v>133</v>
      </c>
      <c r="E285" s="2" t="s">
        <v>138</v>
      </c>
      <c r="F285" s="2" t="s">
        <v>15</v>
      </c>
      <c r="G285" s="2" t="s">
        <v>905</v>
      </c>
      <c r="H285" s="2" t="s">
        <v>906</v>
      </c>
      <c r="I285" s="2" t="str">
        <f>IFERROR(__xludf.DUMMYFUNCTION("GOOGLETRANSLATE(C285,""fr"",""en"")"),"Allianz no hazard in the execution of contracts once the claim is declared; end of not receiving at all costs! You have to hang on and take a lawyer to defeat the bypass strategies for their managers.")</f>
        <v>Allianz no hazard in the execution of contracts once the claim is declared; end of not receiving at all costs! You have to hang on and take a lawyer to defeat the bypass strategies for their managers.</v>
      </c>
    </row>
    <row r="286" ht="15.75" customHeight="1">
      <c r="A286" s="2">
        <v>1.0</v>
      </c>
      <c r="B286" s="2" t="s">
        <v>907</v>
      </c>
      <c r="C286" s="2" t="s">
        <v>908</v>
      </c>
      <c r="D286" s="2" t="s">
        <v>26</v>
      </c>
      <c r="E286" s="2" t="s">
        <v>14</v>
      </c>
      <c r="F286" s="2" t="s">
        <v>15</v>
      </c>
      <c r="G286" s="2" t="s">
        <v>909</v>
      </c>
      <c r="H286" s="2" t="s">
        <v>74</v>
      </c>
      <c r="I286" s="2" t="str">
        <f>IFERROR(__xludf.DUMMYFUNCTION("GOOGLETRANSLATE(C286,""fr"",""en"")"),"I would have put 0 star if it was possible!
To be struck off because not profitable, 2 accidents declared but 1 single repaired because the insurance considers that the car is too old to be repaired .... The insurance subscription is well paid! Mytho!
T"&amp;"o flee absolutely !!")</f>
        <v>I would have put 0 star if it was possible!
To be struck off because not profitable, 2 accidents declared but 1 single repaired because the insurance considers that the car is too old to be repaired .... The insurance subscription is well paid! Mytho!
To flee absolutely !!</v>
      </c>
    </row>
    <row r="287" ht="15.75" customHeight="1">
      <c r="A287" s="2">
        <v>5.0</v>
      </c>
      <c r="B287" s="2" t="s">
        <v>910</v>
      </c>
      <c r="C287" s="2" t="s">
        <v>911</v>
      </c>
      <c r="D287" s="2" t="s">
        <v>97</v>
      </c>
      <c r="E287" s="2" t="s">
        <v>43</v>
      </c>
      <c r="F287" s="2" t="s">
        <v>15</v>
      </c>
      <c r="G287" s="2" t="s">
        <v>473</v>
      </c>
      <c r="H287" s="2" t="s">
        <v>87</v>
      </c>
      <c r="I287" s="2" t="str">
        <f>IFERROR(__xludf.DUMMYFUNCTION("GOOGLETRANSLATE(C287,""fr"",""en"")"),"Super best market price, the advisor was rather understanding, thank you for giving luck to a young driver with a moderate price.
")</f>
        <v>Super best market price, the advisor was rather understanding, thank you for giving luck to a young driver with a moderate price.
</v>
      </c>
    </row>
    <row r="288" ht="15.75" customHeight="1">
      <c r="A288" s="2">
        <v>5.0</v>
      </c>
      <c r="B288" s="2" t="s">
        <v>912</v>
      </c>
      <c r="C288" s="2" t="s">
        <v>913</v>
      </c>
      <c r="D288" s="2" t="s">
        <v>47</v>
      </c>
      <c r="E288" s="2" t="s">
        <v>14</v>
      </c>
      <c r="F288" s="2" t="s">
        <v>15</v>
      </c>
      <c r="G288" s="2" t="s">
        <v>914</v>
      </c>
      <c r="H288" s="2" t="s">
        <v>49</v>
      </c>
      <c r="I288" s="2" t="str">
        <f>IFERROR(__xludf.DUMMYFUNCTION("GOOGLETRANSLATE(C288,""fr"",""en"")"),"I am satisfied with the service and I was very well advised.
I recommend the insurance olive tree which will make me lower the monthly payments for good guarantees")</f>
        <v>I am satisfied with the service and I was very well advised.
I recommend the insurance olive tree which will make me lower the monthly payments for good guarantees</v>
      </c>
    </row>
    <row r="289" ht="15.75" customHeight="1">
      <c r="A289" s="2">
        <v>2.0</v>
      </c>
      <c r="B289" s="2" t="s">
        <v>915</v>
      </c>
      <c r="C289" s="2" t="s">
        <v>916</v>
      </c>
      <c r="D289" s="2" t="s">
        <v>397</v>
      </c>
      <c r="E289" s="2" t="s">
        <v>138</v>
      </c>
      <c r="F289" s="2" t="s">
        <v>15</v>
      </c>
      <c r="G289" s="2" t="s">
        <v>917</v>
      </c>
      <c r="H289" s="2" t="s">
        <v>845</v>
      </c>
      <c r="I289" s="2" t="str">
        <f>IFERROR(__xludf.DUMMYFUNCTION("GOOGLETRANSLATE(C289,""fr"",""en"")"),"When, after 2 and a half months of struggling to return documents to be compensated for a work stoppage, your contact (pro) Swiss Life announces you in the same day as it is the agreement of its manager then 5min After realizing that the judgment was too "&amp;"short to reach the franchise ... You have the feeling that your file had been well followed conscientiously, a big congratulations to Swiss Life, great professionalism!")</f>
        <v>When, after 2 and a half months of struggling to return documents to be compensated for a work stoppage, your contact (pro) Swiss Life announces you in the same day as it is the agreement of its manager then 5min After realizing that the judgment was too short to reach the franchise ... You have the feeling that your file had been well followed conscientiously, a big congratulations to Swiss Life, great professionalism!</v>
      </c>
    </row>
    <row r="290" ht="15.75" customHeight="1">
      <c r="A290" s="2">
        <v>1.0</v>
      </c>
      <c r="B290" s="2" t="s">
        <v>918</v>
      </c>
      <c r="C290" s="2" t="s">
        <v>919</v>
      </c>
      <c r="D290" s="2" t="s">
        <v>196</v>
      </c>
      <c r="E290" s="2" t="s">
        <v>77</v>
      </c>
      <c r="F290" s="2" t="s">
        <v>15</v>
      </c>
      <c r="G290" s="2" t="s">
        <v>920</v>
      </c>
      <c r="H290" s="2" t="s">
        <v>60</v>
      </c>
      <c r="I290" s="2" t="str">
        <f>IFERROR(__xludf.DUMMYFUNCTION("GOOGLETRANSLATE(C290,""fr"",""en"")"),"I always expect a return concerning my burglary which concerns the month of September 2020 we are in May 2021 and still no news from the claim my file was transmitted to the registered office of the Matmut who and supposedly loading my file, I Do not stop"&amp;" contacted every week told me that we will open my file my nothing has done to this day !!! I'm starting to rat the bowl I am out of this insurance I do not recommend it strongly when it comes to a problem there is no one anymore !!!!")</f>
        <v>I always expect a return concerning my burglary which concerns the month of September 2020 we are in May 2021 and still no news from the claim my file was transmitted to the registered office of the Matmut who and supposedly loading my file, I Do not stop contacted every week told me that we will open my file my nothing has done to this day !!! I'm starting to rat the bowl I am out of this insurance I do not recommend it strongly when it comes to a problem there is no one anymore !!!!</v>
      </c>
    </row>
    <row r="291" ht="15.75" customHeight="1">
      <c r="A291" s="2">
        <v>1.0</v>
      </c>
      <c r="B291" s="2" t="s">
        <v>921</v>
      </c>
      <c r="C291" s="2" t="s">
        <v>922</v>
      </c>
      <c r="D291" s="2" t="s">
        <v>923</v>
      </c>
      <c r="E291" s="2" t="s">
        <v>32</v>
      </c>
      <c r="F291" s="2" t="s">
        <v>15</v>
      </c>
      <c r="G291" s="2" t="s">
        <v>924</v>
      </c>
      <c r="H291" s="2" t="s">
        <v>99</v>
      </c>
      <c r="I291" s="2" t="str">
        <f>IFERROR(__xludf.DUMMYFUNCTION("GOOGLETRANSLATE(C291,""fr"",""en"")"),"After quickly receiving an insurance proposal, we signed up on the site. It was indicated to us that we would receive a code within 48 hours that we have never received. We relaunched this broker who told us that he had done the necessary but a week after"&amp;" nothing to report.
So this service is o
")</f>
        <v>After quickly receiving an insurance proposal, we signed up on the site. It was indicated to us that we would receive a code within 48 hours that we have never received. We relaunched this broker who told us that he had done the necessary but a week after nothing to report.
So this service is o
</v>
      </c>
    </row>
    <row r="292" ht="15.75" customHeight="1">
      <c r="A292" s="2">
        <v>1.0</v>
      </c>
      <c r="B292" s="2" t="s">
        <v>925</v>
      </c>
      <c r="C292" s="2" t="s">
        <v>926</v>
      </c>
      <c r="D292" s="2" t="s">
        <v>168</v>
      </c>
      <c r="E292" s="2" t="s">
        <v>322</v>
      </c>
      <c r="F292" s="2" t="s">
        <v>15</v>
      </c>
      <c r="G292" s="2" t="s">
        <v>254</v>
      </c>
      <c r="H292" s="2" t="s">
        <v>220</v>
      </c>
      <c r="I292" s="2" t="str">
        <f>IFERROR(__xludf.DUMMYFUNCTION("GOOGLETRANSLATE(C292,""fr"",""en"")"),"A disaster ..... I think there is no longer any management at AXA ... Services in Morocco no response to letters, agents who know nothing in investments, impossibility of contacting managers .... Loss of money because no management .... to flee ....")</f>
        <v>A disaster ..... I think there is no longer any management at AXA ... Services in Morocco no response to letters, agents who know nothing in investments, impossibility of contacting managers .... Loss of money because no management .... to flee ....</v>
      </c>
    </row>
    <row r="293" ht="15.75" customHeight="1">
      <c r="A293" s="2">
        <v>2.0</v>
      </c>
      <c r="B293" s="2" t="s">
        <v>927</v>
      </c>
      <c r="C293" s="2" t="s">
        <v>928</v>
      </c>
      <c r="D293" s="2" t="s">
        <v>13</v>
      </c>
      <c r="E293" s="2" t="s">
        <v>14</v>
      </c>
      <c r="F293" s="2" t="s">
        <v>15</v>
      </c>
      <c r="G293" s="2" t="s">
        <v>534</v>
      </c>
      <c r="H293" s="2" t="s">
        <v>87</v>
      </c>
      <c r="I293" s="2" t="str">
        <f>IFERROR(__xludf.DUMMYFUNCTION("GOOGLETRANSLATE(C293,""fr"",""en"")"),"Having never had a claim, how to note your service ...
Regarding prices, you must always apply from one year to another to have a modest discount.
My bonus increases, contributions too ??? Knowing that my personal vehicle has hardly driven in 2020, conf"&amp;"inement obliges.")</f>
        <v>Having never had a claim, how to note your service ...
Regarding prices, you must always apply from one year to another to have a modest discount.
My bonus increases, contributions too ??? Knowing that my personal vehicle has hardly driven in 2020, confinement obliges.</v>
      </c>
    </row>
    <row r="294" ht="15.75" customHeight="1">
      <c r="A294" s="2">
        <v>4.0</v>
      </c>
      <c r="B294" s="2" t="s">
        <v>929</v>
      </c>
      <c r="C294" s="2" t="s">
        <v>930</v>
      </c>
      <c r="D294" s="2" t="s">
        <v>13</v>
      </c>
      <c r="E294" s="2" t="s">
        <v>14</v>
      </c>
      <c r="F294" s="2" t="s">
        <v>15</v>
      </c>
      <c r="G294" s="2" t="s">
        <v>44</v>
      </c>
      <c r="H294" s="2" t="s">
        <v>28</v>
      </c>
      <c r="I294" s="2" t="str">
        <f>IFERROR(__xludf.DUMMYFUNCTION("GOOGLETRANSLATE(C294,""fr"",""en"")"),"It's good and it's simple, it's good and it's simple, it's good and it's simple, it's good and it's simple, it's good and it's simple, it's good and it's simplec ' is good and it's simple")</f>
        <v>It's good and it's simple, it's good and it's simple, it's good and it's simple, it's good and it's simple, it's good and it's simple, it's good and it's simplec ' is good and it's simple</v>
      </c>
    </row>
    <row r="295" ht="15.75" customHeight="1">
      <c r="A295" s="2">
        <v>1.0</v>
      </c>
      <c r="B295" s="2" t="s">
        <v>931</v>
      </c>
      <c r="C295" s="2" t="s">
        <v>932</v>
      </c>
      <c r="D295" s="2" t="s">
        <v>13</v>
      </c>
      <c r="E295" s="2" t="s">
        <v>14</v>
      </c>
      <c r="F295" s="2" t="s">
        <v>15</v>
      </c>
      <c r="G295" s="2" t="s">
        <v>933</v>
      </c>
      <c r="H295" s="2" t="s">
        <v>650</v>
      </c>
      <c r="I295" s="2" t="str">
        <f>IFERROR(__xludf.DUMMYFUNCTION("GOOGLETRANSLATE(C295,""fr"",""en"")"),"Quite simply theft it gives you a very interesting price at the start then contact you to tell you that they made mistakes concerning the vehicle model and increases your subscription by 140 euros")</f>
        <v>Quite simply theft it gives you a very interesting price at the start then contact you to tell you that they made mistakes concerning the vehicle model and increases your subscription by 140 euros</v>
      </c>
    </row>
    <row r="296" ht="15.75" customHeight="1">
      <c r="A296" s="2">
        <v>2.0</v>
      </c>
      <c r="B296" s="2" t="s">
        <v>934</v>
      </c>
      <c r="C296" s="2" t="s">
        <v>935</v>
      </c>
      <c r="D296" s="2" t="s">
        <v>26</v>
      </c>
      <c r="E296" s="2" t="s">
        <v>14</v>
      </c>
      <c r="F296" s="2" t="s">
        <v>15</v>
      </c>
      <c r="G296" s="2" t="s">
        <v>936</v>
      </c>
      <c r="H296" s="2" t="s">
        <v>213</v>
      </c>
      <c r="I296" s="2" t="str">
        <f>IFERROR(__xludf.DUMMYFUNCTION("GOOGLETRANSLATE(C296,""fr"",""en"")"),"Hello, car stolen since June 22, in the days of today still no refund, file processed by manager lack of communication and and information exchange of email no call today I receive a letter like what not received the mail but the email is well received")</f>
        <v>Hello, car stolen since June 22, in the days of today still no refund, file processed by manager lack of communication and and information exchange of email no call today I receive a letter like what not received the mail but the email is well received</v>
      </c>
    </row>
    <row r="297" ht="15.75" customHeight="1">
      <c r="A297" s="2">
        <v>2.0</v>
      </c>
      <c r="B297" s="2" t="s">
        <v>937</v>
      </c>
      <c r="C297" s="2" t="s">
        <v>938</v>
      </c>
      <c r="D297" s="2" t="s">
        <v>287</v>
      </c>
      <c r="E297" s="2" t="s">
        <v>77</v>
      </c>
      <c r="F297" s="2" t="s">
        <v>15</v>
      </c>
      <c r="G297" s="2" t="s">
        <v>939</v>
      </c>
      <c r="H297" s="2" t="s">
        <v>906</v>
      </c>
      <c r="I297" s="2" t="str">
        <f>IFERROR(__xludf.DUMMYFUNCTION("GOOGLETRANSLATE(C297,""fr"",""en"")"),"The claims management service is deaf and blind. This service decides, according to dark criteria and it is impossible to discuss. We decide, therefore, and we hang up. No cosideration for a member for 45 years and which, during these 45 years, has a GMF "&amp;"touch, on home insurance and the insurance of 2 cars, at the maximum of 500 euros. At La Poste, it is not more expensive and they cannot do worse for the care ..... Page 33 of the specifications, affirms the management of the search for water leaks, for a"&amp;"ll world but not for me!
")</f>
        <v>The claims management service is deaf and blind. This service decides, according to dark criteria and it is impossible to discuss. We decide, therefore, and we hang up. No cosideration for a member for 45 years and which, during these 45 years, has a GMF touch, on home insurance and the insurance of 2 cars, at the maximum of 500 euros. At La Poste, it is not more expensive and they cannot do worse for the care ..... Page 33 of the specifications, affirms the management of the search for water leaks, for all world but not for me!
</v>
      </c>
    </row>
    <row r="298" ht="15.75" customHeight="1">
      <c r="A298" s="2">
        <v>1.0</v>
      </c>
      <c r="B298" s="2" t="s">
        <v>940</v>
      </c>
      <c r="C298" s="2" t="s">
        <v>941</v>
      </c>
      <c r="D298" s="2" t="s">
        <v>13</v>
      </c>
      <c r="E298" s="2" t="s">
        <v>14</v>
      </c>
      <c r="F298" s="2" t="s">
        <v>15</v>
      </c>
      <c r="G298" s="2" t="s">
        <v>942</v>
      </c>
      <c r="H298" s="2" t="s">
        <v>91</v>
      </c>
      <c r="I298" s="2" t="str">
        <f>IFERROR(__xludf.DUMMYFUNCTION("GOOGLETRANSLATE(C298,""fr"",""en"")"),"Direct Insurance is nullissime insurance.
The people who answer you are not even based in France and allow themselves to pretend to be experts or pseudo managers while waiting for you pay franchise and % on repair costs when you are the victim of an acci"&amp;"dent.
TO FLEE !!!")</f>
        <v>Direct Insurance is nullissime insurance.
The people who answer you are not even based in France and allow themselves to pretend to be experts or pseudo managers while waiting for you pay franchise and % on repair costs when you are the victim of an accident.
TO FLEE !!!</v>
      </c>
    </row>
    <row r="299" ht="15.75" customHeight="1">
      <c r="A299" s="2">
        <v>5.0</v>
      </c>
      <c r="B299" s="2" t="s">
        <v>943</v>
      </c>
      <c r="C299" s="2" t="s">
        <v>944</v>
      </c>
      <c r="D299" s="2" t="s">
        <v>47</v>
      </c>
      <c r="E299" s="2" t="s">
        <v>14</v>
      </c>
      <c r="F299" s="2" t="s">
        <v>15</v>
      </c>
      <c r="G299" s="2" t="s">
        <v>914</v>
      </c>
      <c r="H299" s="2" t="s">
        <v>49</v>
      </c>
      <c r="I299" s="2" t="str">
        <f>IFERROR(__xludf.DUMMYFUNCTION("GOOGLETRANSLATE(C299,""fr"",""en"")"),"Professionalism, listening, advice. At each stage, I had the feeling of being something other than a number. It's perfect!!!
Continue so, it reconciles me with the insurers.")</f>
        <v>Professionalism, listening, advice. At each stage, I had the feeling of being something other than a number. It's perfect!!!
Continue so, it reconciles me with the insurers.</v>
      </c>
    </row>
    <row r="300" ht="15.75" customHeight="1">
      <c r="A300" s="2">
        <v>2.0</v>
      </c>
      <c r="B300" s="2" t="s">
        <v>945</v>
      </c>
      <c r="C300" s="2" t="s">
        <v>946</v>
      </c>
      <c r="D300" s="2" t="s">
        <v>47</v>
      </c>
      <c r="E300" s="2" t="s">
        <v>14</v>
      </c>
      <c r="F300" s="2" t="s">
        <v>15</v>
      </c>
      <c r="G300" s="2" t="s">
        <v>947</v>
      </c>
      <c r="H300" s="2" t="s">
        <v>201</v>
      </c>
      <c r="I300" s="2" t="str">
        <f>IFERROR(__xludf.DUMMYFUNCTION("GOOGLETRANSLATE(C300,""fr"",""en"")"),"Still not compensated, it's been 4 months long. Everything is done to be helped a max, do not be fooled by the price which is, certainly attractive but do not expect to be reimbursed quickly in the event of a disaster.")</f>
        <v>Still not compensated, it's been 4 months long. Everything is done to be helped a max, do not be fooled by the price which is, certainly attractive but do not expect to be reimbursed quickly in the event of a disaster.</v>
      </c>
    </row>
    <row r="301" ht="15.75" customHeight="1">
      <c r="A301" s="2">
        <v>1.0</v>
      </c>
      <c r="B301" s="2" t="s">
        <v>948</v>
      </c>
      <c r="C301" s="2" t="s">
        <v>949</v>
      </c>
      <c r="D301" s="2" t="s">
        <v>37</v>
      </c>
      <c r="E301" s="2" t="s">
        <v>21</v>
      </c>
      <c r="F301" s="2" t="s">
        <v>15</v>
      </c>
      <c r="G301" s="2" t="s">
        <v>950</v>
      </c>
      <c r="H301" s="2" t="s">
        <v>91</v>
      </c>
      <c r="I301" s="2" t="str">
        <f>IFERROR(__xludf.DUMMYFUNCTION("GOOGLETRANSLATE(C301,""fr"",""en"")"),"A very reactive mutual when it comes to taking money. On the other hand, in terms of problem solving when it is not in their interest, there is no one left! They hang up on the nose. Do not respond to emails, and interpret the law at their convenience. PM")</f>
        <v>A very reactive mutual when it comes to taking money. On the other hand, in terms of problem solving when it is not in their interest, there is no one left! They hang up on the nose. Do not respond to emails, and interpret the law at their convenience. PM</v>
      </c>
    </row>
    <row r="302" ht="15.75" customHeight="1">
      <c r="A302" s="2">
        <v>1.0</v>
      </c>
      <c r="B302" s="2" t="s">
        <v>951</v>
      </c>
      <c r="C302" s="2" t="s">
        <v>952</v>
      </c>
      <c r="D302" s="2" t="s">
        <v>72</v>
      </c>
      <c r="E302" s="2" t="s">
        <v>21</v>
      </c>
      <c r="F302" s="2" t="s">
        <v>15</v>
      </c>
      <c r="G302" s="2" t="s">
        <v>953</v>
      </c>
      <c r="H302" s="2" t="s">
        <v>161</v>
      </c>
      <c r="I302" s="2" t="str">
        <f>IFERROR(__xludf.DUMMYFUNCTION("GOOGLETRANSLATE(C302,""fr"",""en"")"),"That she horrifies to be reimbursed for her share of mutual. They always find excuses so as not to reimburse their share for orthodentia. Santiane, no thanks.")</f>
        <v>That she horrifies to be reimbursed for her share of mutual. They always find excuses so as not to reimburse their share for orthodentia. Santiane, no thanks.</v>
      </c>
    </row>
    <row r="303" ht="15.75" customHeight="1">
      <c r="A303" s="2">
        <v>2.0</v>
      </c>
      <c r="B303" s="2" t="s">
        <v>954</v>
      </c>
      <c r="C303" s="2" t="s">
        <v>955</v>
      </c>
      <c r="D303" s="2" t="s">
        <v>223</v>
      </c>
      <c r="E303" s="2" t="s">
        <v>77</v>
      </c>
      <c r="F303" s="2" t="s">
        <v>15</v>
      </c>
      <c r="G303" s="2" t="s">
        <v>956</v>
      </c>
      <c r="H303" s="2" t="s">
        <v>23</v>
      </c>
      <c r="I303" s="2" t="str">
        <f>IFERROR(__xludf.DUMMYFUNCTION("GOOGLETRANSLATE(C303,""fr"",""en"")"),"Very good insurance, quality remarkable services, very correct qualities, it is just taking that a small hair too expensive, 5 euros less will be welcome.")</f>
        <v>Very good insurance, quality remarkable services, very correct qualities, it is just taking that a small hair too expensive, 5 euros less will be welcome.</v>
      </c>
    </row>
    <row r="304" ht="15.75" customHeight="1">
      <c r="A304" s="2">
        <v>4.0</v>
      </c>
      <c r="B304" s="2" t="s">
        <v>957</v>
      </c>
      <c r="C304" s="2" t="s">
        <v>958</v>
      </c>
      <c r="D304" s="2" t="s">
        <v>47</v>
      </c>
      <c r="E304" s="2" t="s">
        <v>14</v>
      </c>
      <c r="F304" s="2" t="s">
        <v>15</v>
      </c>
      <c r="G304" s="2" t="s">
        <v>703</v>
      </c>
      <c r="H304" s="2" t="s">
        <v>56</v>
      </c>
      <c r="I304" s="2" t="str">
        <f>IFERROR(__xludf.DUMMYFUNCTION("GOOGLETRANSLATE(C304,""fr"",""en"")"),"I am satisfied with the offers offered by the Olivier Insurance. The prices are below those of other insurances. This insurance is interesting for a young license.")</f>
        <v>I am satisfied with the offers offered by the Olivier Insurance. The prices are below those of other insurances. This insurance is interesting for a young license.</v>
      </c>
    </row>
    <row r="305" ht="15.75" customHeight="1">
      <c r="A305" s="2">
        <v>3.0</v>
      </c>
      <c r="B305" s="2" t="s">
        <v>959</v>
      </c>
      <c r="C305" s="2" t="s">
        <v>960</v>
      </c>
      <c r="D305" s="2" t="s">
        <v>13</v>
      </c>
      <c r="E305" s="2" t="s">
        <v>14</v>
      </c>
      <c r="F305" s="2" t="s">
        <v>15</v>
      </c>
      <c r="G305" s="2" t="s">
        <v>961</v>
      </c>
      <c r="H305" s="2" t="s">
        <v>91</v>
      </c>
      <c r="I305" s="2" t="str">
        <f>IFERROR(__xludf.DUMMYFUNCTION("GOOGLETRANSLATE(C305,""fr"",""en"")"),"Having undergone partial unemployment with big drop in salary and then direct health insurance concerns.")</f>
        <v>Having undergone partial unemployment with big drop in salary and then direct health insurance concerns.</v>
      </c>
    </row>
    <row r="306" ht="15.75" customHeight="1">
      <c r="A306" s="2">
        <v>2.0</v>
      </c>
      <c r="B306" s="2" t="s">
        <v>962</v>
      </c>
      <c r="C306" s="2" t="s">
        <v>963</v>
      </c>
      <c r="D306" s="2" t="s">
        <v>781</v>
      </c>
      <c r="E306" s="2" t="s">
        <v>21</v>
      </c>
      <c r="F306" s="2" t="s">
        <v>15</v>
      </c>
      <c r="G306" s="2" t="s">
        <v>516</v>
      </c>
      <c r="H306" s="2" t="s">
        <v>60</v>
      </c>
      <c r="I306" s="2" t="str">
        <f>IFERROR(__xludf.DUMMYFUNCTION("GOOGLETRANSLATE(C306,""fr"",""en"")"),"A very good first: the offer is well designed, the sales department is competent and effective.
Then things get spoiled very seriously:
The site works badly; Refunds are random; E-mails are not treated beyond a generic auto-reply; The telephone support "&amp;"is almost impossible to reach and admits its incompetence (“I am only a subcontracting of the call center, I have not been trained, I just have to transcribe your call in an email, I am too Sorry ”... sic ...); The “Customer Relations” services, even more"&amp;" difficult to reach, has no will to solve a problem (“I will send an email internally, at your concern does not fall under my department, it is not my fault to Me ”...!) And does not hold its promises (“ we will remind you ”) ... In short, a pitiful caric"&amp;"ature.
It is also impossible to speak to a manager to try to unlock the situation, and give them constructive feedback on the experience of their customers.
After 3 months to wade before such a sum of incompetence, I have concluded that the “private"&amp;" clientele” of Mercer is not strategic and has neither the means nor the skills (at all levels) to do their mission correctly. So I demanded to terminate my contract: response from “customer services”: “It's impossible” ... I got angry (cold) and I gave t"&amp;"hem a week to terminate without which I would publish on Social networks a factual and precise transcript of my exchanges. They terminated my contract (at no cost) two days later ...
Conclusion: strongly not recommended. Clear incapacity to issue the s"&amp;"ervice, which is a shame for insurance. No desire to improve. Disastrous for customers and for the Mercer brand (also reliable, although a little rigid, on the side of business services, including my business is a client).
Cordially")</f>
        <v>A very good first: the offer is well designed, the sales department is competent and effective.
Then things get spoiled very seriously:
The site works badly; Refunds are random; E-mails are not treated beyond a generic auto-reply; The telephone support is almost impossible to reach and admits its incompetence (“I am only a subcontracting of the call center, I have not been trained, I just have to transcribe your call in an email, I am too Sorry ”... sic ...); The “Customer Relations” services, even more difficult to reach, has no will to solve a problem (“I will send an email internally, at your concern does not fall under my department, it is not my fault to Me ”...!) And does not hold its promises (“ we will remind you ”) ... In short, a pitiful caricature.
It is also impossible to speak to a manager to try to unlock the situation, and give them constructive feedback on the experience of their customers.
After 3 months to wade before such a sum of incompetence, I have concluded that the “private clientele” of Mercer is not strategic and has neither the means nor the skills (at all levels) to do their mission correctly. So I demanded to terminate my contract: response from “customer services”: “It's impossible” ... I got angry (cold) and I gave them a week to terminate without which I would publish on Social networks a factual and precise transcript of my exchanges. They terminated my contract (at no cost) two days later ...
Conclusion: strongly not recommended. Clear incapacity to issue the service, which is a shame for insurance. No desire to improve. Disastrous for customers and for the Mercer brand (also reliable, although a little rigid, on the side of business services, including my business is a client).
Cordially</v>
      </c>
    </row>
    <row r="307" ht="15.75" customHeight="1">
      <c r="A307" s="2">
        <v>3.0</v>
      </c>
      <c r="B307" s="2" t="s">
        <v>964</v>
      </c>
      <c r="C307" s="2" t="s">
        <v>965</v>
      </c>
      <c r="D307" s="2" t="s">
        <v>13</v>
      </c>
      <c r="E307" s="2" t="s">
        <v>14</v>
      </c>
      <c r="F307" s="2" t="s">
        <v>15</v>
      </c>
      <c r="G307" s="2" t="s">
        <v>143</v>
      </c>
      <c r="H307" s="2" t="s">
        <v>28</v>
      </c>
      <c r="I307" s="2" t="str">
        <f>IFERROR(__xludf.DUMMYFUNCTION("GOOGLETRANSLATE(C307,""fr"",""en"")"),"Satisfied with the service, speed in the processing of the contract, attractive price
The remote service is really fast and complete
I already have a car and home contract for you that there is no discount")</f>
        <v>Satisfied with the service, speed in the processing of the contract, attractive price
The remote service is really fast and complete
I already have a car and home contract for you that there is no discount</v>
      </c>
    </row>
    <row r="308" ht="15.75" customHeight="1">
      <c r="A308" s="2">
        <v>4.0</v>
      </c>
      <c r="B308" s="2" t="s">
        <v>966</v>
      </c>
      <c r="C308" s="2" t="s">
        <v>967</v>
      </c>
      <c r="D308" s="2" t="s">
        <v>287</v>
      </c>
      <c r="E308" s="2" t="s">
        <v>14</v>
      </c>
      <c r="F308" s="2" t="s">
        <v>15</v>
      </c>
      <c r="G308" s="2" t="s">
        <v>968</v>
      </c>
      <c r="H308" s="2" t="s">
        <v>28</v>
      </c>
      <c r="I308" s="2" t="str">
        <f>IFERROR(__xludf.DUMMYFUNCTION("GOOGLETRANSLATE(C308,""fr"",""en"")"),"I am satisfied with your services. I have always dealt with competent advisers. Internet management has simplified over time. Cordially.")</f>
        <v>I am satisfied with your services. I have always dealt with competent advisers. Internet management has simplified over time. Cordially.</v>
      </c>
    </row>
    <row r="309" ht="15.75" customHeight="1">
      <c r="A309" s="2">
        <v>4.0</v>
      </c>
      <c r="B309" s="2" t="s">
        <v>969</v>
      </c>
      <c r="C309" s="2" t="s">
        <v>970</v>
      </c>
      <c r="D309" s="2" t="s">
        <v>42</v>
      </c>
      <c r="E309" s="2" t="s">
        <v>43</v>
      </c>
      <c r="F309" s="2" t="s">
        <v>15</v>
      </c>
      <c r="G309" s="2" t="s">
        <v>412</v>
      </c>
      <c r="H309" s="2" t="s">
        <v>17</v>
      </c>
      <c r="I309" s="2" t="str">
        <f>IFERROR(__xludf.DUMMYFUNCTION("GOOGLETRANSLATE(C309,""fr"",""en"")"),"I am very satisfied with the AMV services The results are fast when information of quotes and implementation concerning contracts")</f>
        <v>I am very satisfied with the AMV services The results are fast when information of quotes and implementation concerning contracts</v>
      </c>
    </row>
    <row r="310" ht="15.75" customHeight="1">
      <c r="A310" s="2">
        <v>4.0</v>
      </c>
      <c r="B310" s="2" t="s">
        <v>971</v>
      </c>
      <c r="C310" s="2" t="s">
        <v>972</v>
      </c>
      <c r="D310" s="2" t="s">
        <v>13</v>
      </c>
      <c r="E310" s="2" t="s">
        <v>14</v>
      </c>
      <c r="F310" s="2" t="s">
        <v>15</v>
      </c>
      <c r="G310" s="2" t="s">
        <v>973</v>
      </c>
      <c r="H310" s="2" t="s">
        <v>125</v>
      </c>
      <c r="I310" s="2" t="str">
        <f>IFERROR(__xludf.DUMMYFUNCTION("GOOGLETRANSLATE(C310,""fr"",""en"")"),"I am satisfied awaiting validation of the car credit.
I am contacting you as soon as possible
Your company was recommended by a friend")</f>
        <v>I am satisfied awaiting validation of the car credit.
I am contacting you as soon as possible
Your company was recommended by a friend</v>
      </c>
    </row>
    <row r="311" ht="15.75" customHeight="1">
      <c r="A311" s="2">
        <v>5.0</v>
      </c>
      <c r="B311" s="2" t="s">
        <v>974</v>
      </c>
      <c r="C311" s="2" t="s">
        <v>975</v>
      </c>
      <c r="D311" s="2" t="s">
        <v>47</v>
      </c>
      <c r="E311" s="2" t="s">
        <v>14</v>
      </c>
      <c r="F311" s="2" t="s">
        <v>15</v>
      </c>
      <c r="G311" s="2" t="s">
        <v>134</v>
      </c>
      <c r="H311" s="2" t="s">
        <v>17</v>
      </c>
      <c r="I311" s="2" t="str">
        <f>IFERROR(__xludf.DUMMYFUNCTION("GOOGLETRANSLATE(C311,""fr"",""en"")"),"Perfect but for the officials are there advantages, your price is rather correct and I am on my account and I do not rush the provisional green card")</f>
        <v>Perfect but for the officials are there advantages, your price is rather correct and I am on my account and I do not rush the provisional green card</v>
      </c>
    </row>
    <row r="312" ht="15.75" customHeight="1">
      <c r="A312" s="2">
        <v>4.0</v>
      </c>
      <c r="B312" s="2" t="s">
        <v>976</v>
      </c>
      <c r="C312" s="2" t="s">
        <v>977</v>
      </c>
      <c r="D312" s="2" t="s">
        <v>72</v>
      </c>
      <c r="E312" s="2" t="s">
        <v>21</v>
      </c>
      <c r="F312" s="2" t="s">
        <v>15</v>
      </c>
      <c r="G312" s="2" t="s">
        <v>825</v>
      </c>
      <c r="H312" s="2" t="s">
        <v>270</v>
      </c>
      <c r="I312" s="2" t="str">
        <f>IFERROR(__xludf.DUMMYFUNCTION("GOOGLETRANSLATE(C312,""fr"",""en"")"),"Thanks to Allison for her professionalism and her listening during a period of a death of a loved one. It is always a pleasure to be listened to and advised when you have a lot of administrative papers to manage. Thanks again")</f>
        <v>Thanks to Allison for her professionalism and her listening during a period of a death of a loved one. It is always a pleasure to be listened to and advised when you have a lot of administrative papers to manage. Thanks again</v>
      </c>
    </row>
    <row r="313" ht="15.75" customHeight="1">
      <c r="A313" s="2">
        <v>5.0</v>
      </c>
      <c r="B313" s="2" t="s">
        <v>978</v>
      </c>
      <c r="C313" s="2" t="s">
        <v>979</v>
      </c>
      <c r="D313" s="2" t="s">
        <v>47</v>
      </c>
      <c r="E313" s="2" t="s">
        <v>14</v>
      </c>
      <c r="F313" s="2" t="s">
        <v>15</v>
      </c>
      <c r="G313" s="2" t="s">
        <v>980</v>
      </c>
      <c r="H313" s="2" t="s">
        <v>338</v>
      </c>
      <c r="I313" s="2" t="str">
        <f>IFERROR(__xludf.DUMMYFUNCTION("GOOGLETRANSLATE(C313,""fr"",""en"")"),"Employee listening to the customer and attractive price damage that we had an interrupted conversation following a bug but the employee who resumed the conversation had all the information to finalize my contract")</f>
        <v>Employee listening to the customer and attractive price damage that we had an interrupted conversation following a bug but the employee who resumed the conversation had all the information to finalize my contract</v>
      </c>
    </row>
    <row r="314" ht="15.75" customHeight="1">
      <c r="A314" s="2">
        <v>1.0</v>
      </c>
      <c r="B314" s="2" t="s">
        <v>981</v>
      </c>
      <c r="C314" s="2" t="s">
        <v>982</v>
      </c>
      <c r="D314" s="2" t="s">
        <v>63</v>
      </c>
      <c r="E314" s="2" t="s">
        <v>77</v>
      </c>
      <c r="F314" s="2" t="s">
        <v>15</v>
      </c>
      <c r="G314" s="2" t="s">
        <v>983</v>
      </c>
      <c r="H314" s="2" t="s">
        <v>650</v>
      </c>
      <c r="I314" s="2" t="str">
        <f>IFERROR(__xludf.DUMMYFUNCTION("GOOGLETRANSLATE(C314,""fr"",""en"")"),"Maif to flee urgently. It's yes yes who makes insurance. Fidele Raqvam client for 30 years. Catastrophic management by Maif Manosque. No help and resolution of the problem. Brave people flee quickly. If you want it to take care of your problem become a de"&amp;"partmental delegate, there will be no problem.")</f>
        <v>Maif to flee urgently. It's yes yes who makes insurance. Fidele Raqvam client for 30 years. Catastrophic management by Maif Manosque. No help and resolution of the problem. Brave people flee quickly. If you want it to take care of your problem become a departmental delegate, there will be no problem.</v>
      </c>
    </row>
    <row r="315" ht="15.75" customHeight="1">
      <c r="A315" s="2">
        <v>1.0</v>
      </c>
      <c r="B315" s="2" t="s">
        <v>984</v>
      </c>
      <c r="C315" s="2" t="s">
        <v>985</v>
      </c>
      <c r="D315" s="2" t="s">
        <v>31</v>
      </c>
      <c r="E315" s="2" t="s">
        <v>32</v>
      </c>
      <c r="F315" s="2" t="s">
        <v>15</v>
      </c>
      <c r="G315" s="2" t="s">
        <v>986</v>
      </c>
      <c r="H315" s="2" t="s">
        <v>125</v>
      </c>
      <c r="I315" s="2" t="str">
        <f>IFERROR(__xludf.DUMMYFUNCTION("GOOGLETRANSLATE(C315,""fr"",""en"")"),"I have been waiting since the start of May the paper file for care by Cardiff
Each week their answer is we sent it, so why I do not receive it, the address is good.
I don't understand")</f>
        <v>I have been waiting since the start of May the paper file for care by Cardiff
Each week their answer is we sent it, so why I do not receive it, the address is good.
I don't understand</v>
      </c>
    </row>
    <row r="316" ht="15.75" customHeight="1">
      <c r="A316" s="2">
        <v>4.0</v>
      </c>
      <c r="B316" s="2" t="s">
        <v>987</v>
      </c>
      <c r="C316" s="2" t="s">
        <v>988</v>
      </c>
      <c r="D316" s="2" t="s">
        <v>47</v>
      </c>
      <c r="E316" s="2" t="s">
        <v>14</v>
      </c>
      <c r="F316" s="2" t="s">
        <v>15</v>
      </c>
      <c r="G316" s="2" t="s">
        <v>989</v>
      </c>
      <c r="H316" s="2" t="s">
        <v>60</v>
      </c>
      <c r="I316" s="2" t="str">
        <f>IFERROR(__xludf.DUMMYFUNCTION("GOOGLETRANSLATE(C316,""fr"",""en"")"),"As for the price I am necessarily satisfied since I chose you, however you could have revived me for the documents .. So I paid 2-3 months for nothing?")</f>
        <v>As for the price I am necessarily satisfied since I chose you, however you could have revived me for the documents .. So I paid 2-3 months for nothing?</v>
      </c>
    </row>
    <row r="317" ht="15.75" customHeight="1">
      <c r="A317" s="2">
        <v>4.0</v>
      </c>
      <c r="B317" s="2" t="s">
        <v>990</v>
      </c>
      <c r="C317" s="2" t="s">
        <v>991</v>
      </c>
      <c r="D317" s="2" t="s">
        <v>97</v>
      </c>
      <c r="E317" s="2" t="s">
        <v>43</v>
      </c>
      <c r="F317" s="2" t="s">
        <v>15</v>
      </c>
      <c r="G317" s="2" t="s">
        <v>992</v>
      </c>
      <c r="H317" s="2" t="s">
        <v>69</v>
      </c>
      <c r="I317" s="2" t="str">
        <f>IFERROR(__xludf.DUMMYFUNCTION("GOOGLETRANSLATE(C317,""fr"",""en"")"),"Easy to use insurance this fact very quickly the price remains correct I recommend April Moto without any problem quick answer if questions asked")</f>
        <v>Easy to use insurance this fact very quickly the price remains correct I recommend April Moto without any problem quick answer if questions asked</v>
      </c>
    </row>
    <row r="318" ht="15.75" customHeight="1">
      <c r="A318" s="2">
        <v>1.0</v>
      </c>
      <c r="B318" s="2" t="s">
        <v>993</v>
      </c>
      <c r="C318" s="2" t="s">
        <v>994</v>
      </c>
      <c r="D318" s="2" t="s">
        <v>803</v>
      </c>
      <c r="E318" s="2" t="s">
        <v>21</v>
      </c>
      <c r="F318" s="2" t="s">
        <v>15</v>
      </c>
      <c r="G318" s="2" t="s">
        <v>995</v>
      </c>
      <c r="H318" s="2" t="s">
        <v>670</v>
      </c>
      <c r="I318" s="2" t="str">
        <f>IFERROR(__xludf.DUMMYFUNCTION("GOOGLETRANSLATE(C318,""fr"",""en"")"),"Radiation of my daughter, adult but attached to my taxes, beneficiaries despite the sending of 4 letters and emails. Every year, a real battle. Customer service hangs up on the nose, nobody recalls.
Every year is the same thing")</f>
        <v>Radiation of my daughter, adult but attached to my taxes, beneficiaries despite the sending of 4 letters and emails. Every year, a real battle. Customer service hangs up on the nose, nobody recalls.
Every year is the same thing</v>
      </c>
    </row>
    <row r="319" ht="15.75" customHeight="1">
      <c r="A319" s="2">
        <v>1.0</v>
      </c>
      <c r="B319" s="2" t="s">
        <v>996</v>
      </c>
      <c r="C319" s="2" t="s">
        <v>997</v>
      </c>
      <c r="D319" s="2" t="s">
        <v>287</v>
      </c>
      <c r="E319" s="2" t="s">
        <v>14</v>
      </c>
      <c r="F319" s="2" t="s">
        <v>15</v>
      </c>
      <c r="G319" s="2" t="s">
        <v>998</v>
      </c>
      <c r="H319" s="2" t="s">
        <v>585</v>
      </c>
      <c r="I319" s="2" t="str">
        <f>IFERROR(__xludf.DUMMYFUNCTION("GOOGLETRANSLATE(C319,""fr"",""en"")"),"Terminated for sinister by the GMF I have 50 bonus for more than three years I unfortunately underwent 3 non -responsible claims over the last three years. 1 alone at home.
-01/2017 vandalism, virture scratched on one side
-11/2015 vandalism, car scratc"&amp;"hed on both sides
-04/2015 ice cream, an anti fog
Before termination € 750 per year with franchise € 388 at GMF
After termination € 864 per year with deductible € 515 at another insurer, prices exceeding € 1,300 with franchise up to more than € 1,000.
"&amp;"
One of the rare to offer me a reasonable price the olive assurance
I no longer even have access to most insurers and comparators because of the termination on the insurer side. Except one, Assurland
Ah yes, the GMF just sent me a recommended to warn th"&amp;"at it terminated gold following our summer vacation, the deadline to recover the recommended was exceeded, so I discovered the termination of the expiration of the Contract no telephone, email or paper mail! Lamentable; at the local GMF office the advisor"&amp;" can do nothing. Thank you goodbye.")</f>
        <v>Terminated for sinister by the GMF I have 50 bonus for more than three years I unfortunately underwent 3 non -responsible claims over the last three years. 1 alone at home.
-01/2017 vandalism, virture scratched on one side
-11/2015 vandalism, car scratched on both sides
-04/2015 ice cream, an anti fog
Before termination € 750 per year with franchise € 388 at GMF
After termination € 864 per year with deductible € 515 at another insurer, prices exceeding € 1,300 with franchise up to more than € 1,000.
One of the rare to offer me a reasonable price the olive assurance
I no longer even have access to most insurers and comparators because of the termination on the insurer side. Except one, Assurland
Ah yes, the GMF just sent me a recommended to warn that it terminated gold following our summer vacation, the deadline to recover the recommended was exceeded, so I discovered the termination of the expiration of the Contract no telephone, email or paper mail! Lamentable; at the local GMF office the advisor can do nothing. Thank you goodbye.</v>
      </c>
    </row>
    <row r="320" ht="15.75" customHeight="1">
      <c r="A320" s="2">
        <v>4.0</v>
      </c>
      <c r="B320" s="2" t="s">
        <v>999</v>
      </c>
      <c r="C320" s="2" t="s">
        <v>1000</v>
      </c>
      <c r="D320" s="2" t="s">
        <v>13</v>
      </c>
      <c r="E320" s="2" t="s">
        <v>14</v>
      </c>
      <c r="F320" s="2" t="s">
        <v>15</v>
      </c>
      <c r="G320" s="2" t="s">
        <v>1001</v>
      </c>
      <c r="H320" s="2" t="s">
        <v>28</v>
      </c>
      <c r="I320" s="2" t="str">
        <f>IFERROR(__xludf.DUMMYFUNCTION("GOOGLETRANSLATE(C320,""fr"",""en"")"),"I am satisfied at the moment despite the assistance not included in my offer (0km assistance + vehicle loan = 5 stars). The prices are competitive.")</f>
        <v>I am satisfied at the moment despite the assistance not included in my offer (0km assistance + vehicle loan = 5 stars). The prices are competitive.</v>
      </c>
    </row>
    <row r="321" ht="15.75" customHeight="1">
      <c r="A321" s="2">
        <v>4.0</v>
      </c>
      <c r="B321" s="2" t="s">
        <v>1002</v>
      </c>
      <c r="C321" s="2" t="s">
        <v>1003</v>
      </c>
      <c r="D321" s="2" t="s">
        <v>63</v>
      </c>
      <c r="E321" s="2" t="s">
        <v>14</v>
      </c>
      <c r="F321" s="2" t="s">
        <v>15</v>
      </c>
      <c r="G321" s="2" t="s">
        <v>1004</v>
      </c>
      <c r="H321" s="2" t="s">
        <v>538</v>
      </c>
      <c r="I321" s="2" t="str">
        <f>IFERROR(__xludf.DUMMYFUNCTION("GOOGLETRANSLATE(C321,""fr"",""en"")"),"I have been insured for 54 years")</f>
        <v>I have been insured for 54 years</v>
      </c>
    </row>
    <row r="322" ht="15.75" customHeight="1">
      <c r="A322" s="2">
        <v>5.0</v>
      </c>
      <c r="B322" s="2" t="s">
        <v>1005</v>
      </c>
      <c r="C322" s="2" t="s">
        <v>1006</v>
      </c>
      <c r="D322" s="2" t="s">
        <v>42</v>
      </c>
      <c r="E322" s="2" t="s">
        <v>43</v>
      </c>
      <c r="F322" s="2" t="s">
        <v>15</v>
      </c>
      <c r="G322" s="2" t="s">
        <v>114</v>
      </c>
      <c r="H322" s="2" t="s">
        <v>17</v>
      </c>
      <c r="I322" s="2" t="str">
        <f>IFERROR(__xludf.DUMMYFUNCTION("GOOGLETRANSLATE(C322,""fr"",""en"")"),"Hyper practical and quick to secure online everything is clear and clear fluid many options available more than reasonable in short nothing to complain about.")</f>
        <v>Hyper practical and quick to secure online everything is clear and clear fluid many options available more than reasonable in short nothing to complain about.</v>
      </c>
    </row>
    <row r="323" ht="15.75" customHeight="1">
      <c r="A323" s="2">
        <v>1.0</v>
      </c>
      <c r="B323" s="2" t="s">
        <v>1007</v>
      </c>
      <c r="C323" s="2" t="s">
        <v>1008</v>
      </c>
      <c r="D323" s="2" t="s">
        <v>253</v>
      </c>
      <c r="E323" s="2" t="s">
        <v>21</v>
      </c>
      <c r="F323" s="2" t="s">
        <v>15</v>
      </c>
      <c r="G323" s="2" t="s">
        <v>1009</v>
      </c>
      <c r="H323" s="2" t="s">
        <v>650</v>
      </c>
      <c r="I323" s="2" t="str">
        <f>IFERROR(__xludf.DUMMYFUNCTION("GOOGLETRANSLATE(C323,""fr"",""en"")"),"level guarantees ""initial+3"" zero. Does not reimburse the excess fees with regard to medical technical acts, and very little overruns for MRI")</f>
        <v>level guarantees "initial+3" zero. Does not reimburse the excess fees with regard to medical technical acts, and very little overruns for MRI</v>
      </c>
    </row>
    <row r="324" ht="15.75" customHeight="1">
      <c r="A324" s="2">
        <v>3.0</v>
      </c>
      <c r="B324" s="2" t="s">
        <v>1010</v>
      </c>
      <c r="C324" s="2" t="s">
        <v>1011</v>
      </c>
      <c r="D324" s="2" t="s">
        <v>42</v>
      </c>
      <c r="E324" s="2" t="s">
        <v>43</v>
      </c>
      <c r="F324" s="2" t="s">
        <v>15</v>
      </c>
      <c r="G324" s="2" t="s">
        <v>1012</v>
      </c>
      <c r="H324" s="2" t="s">
        <v>17</v>
      </c>
      <c r="I324" s="2" t="str">
        <f>IFERROR(__xludf.DUMMYFUNCTION("GOOGLETRANSLATE(C324,""fr"",""en"")"),"Good at the rate level, on the other hand reactivity level ... Example: they do not look at the attachments when you send an email and answer that documents are missing, sometimes you have to ask the same thing 3 times to have an answer, they have once ch"&amp;"anged my address for a reason always unknown, in short, skill level we have already seen better. Do not hesitate to type the nail several times so that it comes in.")</f>
        <v>Good at the rate level, on the other hand reactivity level ... Example: they do not look at the attachments when you send an email and answer that documents are missing, sometimes you have to ask the same thing 3 times to have an answer, they have once changed my address for a reason always unknown, in short, skill level we have already seen better. Do not hesitate to type the nail several times so that it comes in.</v>
      </c>
    </row>
    <row r="325" ht="15.75" customHeight="1">
      <c r="A325" s="2">
        <v>4.0</v>
      </c>
      <c r="B325" s="2" t="s">
        <v>1013</v>
      </c>
      <c r="C325" s="2" t="s">
        <v>1014</v>
      </c>
      <c r="D325" s="2" t="s">
        <v>47</v>
      </c>
      <c r="E325" s="2" t="s">
        <v>14</v>
      </c>
      <c r="F325" s="2" t="s">
        <v>15</v>
      </c>
      <c r="G325" s="2" t="s">
        <v>262</v>
      </c>
      <c r="H325" s="2" t="s">
        <v>69</v>
      </c>
      <c r="I325" s="2" t="str">
        <f>IFERROR(__xludf.DUMMYFUNCTION("GOOGLETRANSLATE(C325,""fr"",""en"")"),"I am satisfied with the service the prices suit me despite that the franchises are a little high. I will recommend to friends")</f>
        <v>I am satisfied with the service the prices suit me despite that the franchises are a little high. I will recommend to friends</v>
      </c>
    </row>
    <row r="326" ht="15.75" customHeight="1">
      <c r="A326" s="2">
        <v>4.0</v>
      </c>
      <c r="B326" s="2" t="s">
        <v>1015</v>
      </c>
      <c r="C326" s="2" t="s">
        <v>1016</v>
      </c>
      <c r="D326" s="2" t="s">
        <v>13</v>
      </c>
      <c r="E326" s="2" t="s">
        <v>14</v>
      </c>
      <c r="F326" s="2" t="s">
        <v>15</v>
      </c>
      <c r="G326" s="2" t="s">
        <v>1017</v>
      </c>
      <c r="H326" s="2" t="s">
        <v>17</v>
      </c>
      <c r="I326" s="2" t="str">
        <f>IFERROR(__xludf.DUMMYFUNCTION("GOOGLETRANSLATE(C326,""fr"",""en"")"),"The prices suit me as well as the guarantees and the options. I am satisfied with my online, simple and practical subscription. We will see in time.")</f>
        <v>The prices suit me as well as the guarantees and the options. I am satisfied with my online, simple and practical subscription. We will see in time.</v>
      </c>
    </row>
    <row r="327" ht="15.75" customHeight="1">
      <c r="A327" s="2">
        <v>1.0</v>
      </c>
      <c r="B327" s="2" t="s">
        <v>1018</v>
      </c>
      <c r="C327" s="2" t="s">
        <v>1019</v>
      </c>
      <c r="D327" s="2" t="s">
        <v>653</v>
      </c>
      <c r="E327" s="2" t="s">
        <v>322</v>
      </c>
      <c r="F327" s="2" t="s">
        <v>15</v>
      </c>
      <c r="G327" s="2" t="s">
        <v>1020</v>
      </c>
      <c r="H327" s="2" t="s">
        <v>220</v>
      </c>
      <c r="I327" s="2" t="str">
        <f>IFERROR(__xludf.DUMMYFUNCTION("GOOGLETRANSLATE(C327,""fr"",""en"")"),"Payments on my AFER account, debited on my bank, but not credited on my account, this is not reassuring, I think there will be a very big problem.")</f>
        <v>Payments on my AFER account, debited on my bank, but not credited on my account, this is not reassuring, I think there will be a very big problem.</v>
      </c>
    </row>
    <row r="328" ht="15.75" customHeight="1">
      <c r="A328" s="2">
        <v>3.0</v>
      </c>
      <c r="B328" s="2" t="s">
        <v>1021</v>
      </c>
      <c r="C328" s="2" t="s">
        <v>1022</v>
      </c>
      <c r="D328" s="2" t="s">
        <v>13</v>
      </c>
      <c r="E328" s="2" t="s">
        <v>14</v>
      </c>
      <c r="F328" s="2" t="s">
        <v>15</v>
      </c>
      <c r="G328" s="2" t="s">
        <v>1023</v>
      </c>
      <c r="H328" s="2" t="s">
        <v>741</v>
      </c>
      <c r="I328" s="2" t="str">
        <f>IFERROR(__xludf.DUMMYFUNCTION("GOOGLETRANSLATE(C328,""fr"",""en"")"),"Very good insurance. Positive reactivity rapid response. May a bit of too much pointe on the claim as if to change or have one per breeze repaired. A little expensive too.")</f>
        <v>Very good insurance. Positive reactivity rapid response. May a bit of too much pointe on the claim as if to change or have one per breeze repaired. A little expensive too.</v>
      </c>
    </row>
    <row r="329" ht="15.75" customHeight="1">
      <c r="A329" s="2">
        <v>2.0</v>
      </c>
      <c r="B329" s="2" t="s">
        <v>1024</v>
      </c>
      <c r="C329" s="2" t="s">
        <v>1025</v>
      </c>
      <c r="D329" s="2" t="s">
        <v>341</v>
      </c>
      <c r="E329" s="2" t="s">
        <v>14</v>
      </c>
      <c r="F329" s="2" t="s">
        <v>15</v>
      </c>
      <c r="G329" s="2" t="s">
        <v>1026</v>
      </c>
      <c r="H329" s="2" t="s">
        <v>259</v>
      </c>
      <c r="I329" s="2" t="str">
        <f>IFERROR(__xludf.DUMMYFUNCTION("GOOGLETRANSLATE(C329,""fr"",""en"")"),"Agence Lyon, Cours Vitton. I came to make a quote to ensure my car. Home was unpleasant, with an incompetent agent. I left quickly.")</f>
        <v>Agence Lyon, Cours Vitton. I came to make a quote to ensure my car. Home was unpleasant, with an incompetent agent. I left quickly.</v>
      </c>
    </row>
    <row r="330" ht="15.75" customHeight="1">
      <c r="A330" s="2">
        <v>4.0</v>
      </c>
      <c r="B330" s="2" t="s">
        <v>1027</v>
      </c>
      <c r="C330" s="2" t="s">
        <v>1028</v>
      </c>
      <c r="D330" s="2" t="s">
        <v>13</v>
      </c>
      <c r="E330" s="2" t="s">
        <v>14</v>
      </c>
      <c r="F330" s="2" t="s">
        <v>15</v>
      </c>
      <c r="G330" s="2" t="s">
        <v>1029</v>
      </c>
      <c r="H330" s="2" t="s">
        <v>87</v>
      </c>
      <c r="I330" s="2" t="str">
        <f>IFERROR(__xludf.DUMMYFUNCTION("GOOGLETRANSLATE(C330,""fr"",""en"")"),"Interesting price, to follow for the service now ... hoping to have never used it. The ease of understanding and the presentation of the site are however remarkable.")</f>
        <v>Interesting price, to follow for the service now ... hoping to have never used it. The ease of understanding and the presentation of the site are however remarkable.</v>
      </c>
    </row>
    <row r="331" ht="15.75" customHeight="1">
      <c r="A331" s="2">
        <v>1.0</v>
      </c>
      <c r="B331" s="2" t="s">
        <v>1030</v>
      </c>
      <c r="C331" s="2" t="s">
        <v>1031</v>
      </c>
      <c r="D331" s="2" t="s">
        <v>31</v>
      </c>
      <c r="E331" s="2" t="s">
        <v>32</v>
      </c>
      <c r="F331" s="2" t="s">
        <v>15</v>
      </c>
      <c r="G331" s="2" t="s">
        <v>1032</v>
      </c>
      <c r="H331" s="2" t="s">
        <v>418</v>
      </c>
      <c r="I331" s="2" t="str">
        <f>IFERROR(__xludf.DUMMYFUNCTION("GOOGLETRANSLATE(C331,""fr"",""en"")"),"Not good at all during a disaster. Refusal, ...")</f>
        <v>Not good at all during a disaster. Refusal, ...</v>
      </c>
    </row>
    <row r="332" ht="15.75" customHeight="1">
      <c r="A332" s="2">
        <v>1.0</v>
      </c>
      <c r="B332" s="2" t="s">
        <v>1033</v>
      </c>
      <c r="C332" s="2" t="s">
        <v>1034</v>
      </c>
      <c r="D332" s="2" t="s">
        <v>42</v>
      </c>
      <c r="E332" s="2" t="s">
        <v>43</v>
      </c>
      <c r="F332" s="2" t="s">
        <v>15</v>
      </c>
      <c r="G332" s="2" t="s">
        <v>882</v>
      </c>
      <c r="H332" s="2" t="s">
        <v>99</v>
      </c>
      <c r="I332" s="2" t="str">
        <f>IFERROR(__xludf.DUMMYFUNCTION("GOOGLETRANSLATE(C332,""fr"",""en"")"),"Hello, I was stolen my motorcycle insure any risk and they wanted to know nothing, I was piercing by their clause hidden in the contract and I was fooled because I was too honest.
AMV is anything but insurance it is insurance travier who are neither ch"&amp;"eap nor compete.")</f>
        <v>Hello, I was stolen my motorcycle insure any risk and they wanted to know nothing, I was piercing by their clause hidden in the contract and I was fooled because I was too honest.
AMV is anything but insurance it is insurance travier who are neither cheap nor compete.</v>
      </c>
    </row>
    <row r="333" ht="15.75" customHeight="1">
      <c r="A333" s="2">
        <v>1.0</v>
      </c>
      <c r="B333" s="2" t="s">
        <v>1035</v>
      </c>
      <c r="C333" s="2" t="s">
        <v>1036</v>
      </c>
      <c r="D333" s="2" t="s">
        <v>13</v>
      </c>
      <c r="E333" s="2" t="s">
        <v>14</v>
      </c>
      <c r="F333" s="2" t="s">
        <v>15</v>
      </c>
      <c r="G333" s="2" t="s">
        <v>893</v>
      </c>
      <c r="H333" s="2" t="s">
        <v>87</v>
      </c>
      <c r="I333" s="2" t="str">
        <f>IFERROR(__xludf.DUMMYFUNCTION("GOOGLETRANSLATE(C333,""fr"",""en"")"),"Increase in abusive prices, you know how to solve the contracts as soon as you have 3 claims in the non -responsible year on the other hand as soon as we want to solve our contract everything is done to complexify things to discourage us alone the money v"&amp;"ery bad experience!! I will not recommend us!")</f>
        <v>Increase in abusive prices, you know how to solve the contracts as soon as you have 3 claims in the non -responsible year on the other hand as soon as we want to solve our contract everything is done to complexify things to discourage us alone the money very bad experience!! I will not recommend us!</v>
      </c>
    </row>
    <row r="334" ht="15.75" customHeight="1">
      <c r="A334" s="2">
        <v>1.0</v>
      </c>
      <c r="B334" s="2" t="s">
        <v>1037</v>
      </c>
      <c r="C334" s="2" t="s">
        <v>1038</v>
      </c>
      <c r="D334" s="2" t="s">
        <v>133</v>
      </c>
      <c r="E334" s="2" t="s">
        <v>14</v>
      </c>
      <c r="F334" s="2" t="s">
        <v>15</v>
      </c>
      <c r="G334" s="2" t="s">
        <v>725</v>
      </c>
      <c r="H334" s="2" t="s">
        <v>284</v>
      </c>
      <c r="I334" s="2" t="str">
        <f>IFERROR(__xludf.DUMMYFUNCTION("GOOGLETRANSLATE(C334,""fr"",""en"")"),"The more we ask for a reduction as a good driver the more we answer you is not possible the assurances of his dearly if a parent give me a reduction of 5 euro for the year C is fucked up from the customer")</f>
        <v>The more we ask for a reduction as a good driver the more we answer you is not possible the assurances of his dearly if a parent give me a reduction of 5 euro for the year C is fucked up from the customer</v>
      </c>
    </row>
    <row r="335" ht="15.75" customHeight="1">
      <c r="A335" s="2">
        <v>1.0</v>
      </c>
      <c r="B335" s="2" t="s">
        <v>1039</v>
      </c>
      <c r="C335" s="2" t="s">
        <v>1040</v>
      </c>
      <c r="D335" s="2" t="s">
        <v>47</v>
      </c>
      <c r="E335" s="2" t="s">
        <v>14</v>
      </c>
      <c r="F335" s="2" t="s">
        <v>15</v>
      </c>
      <c r="G335" s="2" t="s">
        <v>605</v>
      </c>
      <c r="H335" s="2" t="s">
        <v>28</v>
      </c>
      <c r="I335" s="2" t="str">
        <f>IFERROR(__xludf.DUMMYFUNCTION("GOOGLETRANSLATE(C335,""fr"",""en"")"),"I'm a little disappointed..
Following a quote on the site I am told a price of € 231, then I am remembered to finalize the quote, on the phone I am indicated a first levy of € 544 with monthly payments of € 231 (monthly payment identical to the quote on "&amp;"Internet) in the end when I activate my personal space and I go to sign my contract I realize that the first dedicated is € 586 with monthly payments at € 254 that is to say 20 € per month more ... having Signed the contract unfortunately we cannot do any"&amp;"thing ...")</f>
        <v>I'm a little disappointed..
Following a quote on the site I am told a price of € 231, then I am remembered to finalize the quote, on the phone I am indicated a first levy of € 544 with monthly payments of € 231 (monthly payment identical to the quote on Internet) in the end when I activate my personal space and I go to sign my contract I realize that the first dedicated is € 586 with monthly payments at € 254 that is to say 20 € per month more ... having Signed the contract unfortunately we cannot do anything ...</v>
      </c>
    </row>
    <row r="336" ht="15.75" customHeight="1">
      <c r="A336" s="2">
        <v>5.0</v>
      </c>
      <c r="B336" s="2" t="s">
        <v>1041</v>
      </c>
      <c r="C336" s="2" t="s">
        <v>1042</v>
      </c>
      <c r="D336" s="2" t="s">
        <v>47</v>
      </c>
      <c r="E336" s="2" t="s">
        <v>14</v>
      </c>
      <c r="F336" s="2" t="s">
        <v>15</v>
      </c>
      <c r="G336" s="2" t="s">
        <v>1043</v>
      </c>
      <c r="H336" s="2" t="s">
        <v>69</v>
      </c>
      <c r="I336" s="2" t="str">
        <f>IFERROR(__xludf.DUMMYFUNCTION("GOOGLETRANSLATE(C336,""fr"",""en"")"),"Very simple and fast. Already a customer for my first vehicle, the quote may be a bit long to make, especially when you are already a customer. Very good telephone contact")</f>
        <v>Very simple and fast. Already a customer for my first vehicle, the quote may be a bit long to make, especially when you are already a customer. Very good telephone contact</v>
      </c>
    </row>
    <row r="337" ht="15.75" customHeight="1">
      <c r="A337" s="2">
        <v>1.0</v>
      </c>
      <c r="B337" s="2" t="s">
        <v>1044</v>
      </c>
      <c r="C337" s="2" t="s">
        <v>1045</v>
      </c>
      <c r="D337" s="2" t="s">
        <v>1046</v>
      </c>
      <c r="E337" s="2" t="s">
        <v>322</v>
      </c>
      <c r="F337" s="2" t="s">
        <v>15</v>
      </c>
      <c r="G337" s="2" t="s">
        <v>1047</v>
      </c>
      <c r="H337" s="2" t="s">
        <v>56</v>
      </c>
      <c r="I337" s="2" t="str">
        <f>IFERROR(__xludf.DUMMYFUNCTION("GOOGLETRANSLATE(C337,""fr"",""en"")")," Insurer to avoid fleeing any respect for the customer
    No Exchange despite reminders and reminders
  Money Place collects 5.12.2020 Never on the account
  It was necessary to cancel all the apartment car insurance to make them move ...
   Lamentab"&amp;"le service still awaits explanations")</f>
        <v> Insurer to avoid fleeing any respect for the customer
    No Exchange despite reminders and reminders
  Money Place collects 5.12.2020 Never on the account
  It was necessary to cancel all the apartment car insurance to make them move ...
   Lamentable service still awaits explanations</v>
      </c>
    </row>
    <row r="338" ht="15.75" customHeight="1">
      <c r="A338" s="2">
        <v>1.0</v>
      </c>
      <c r="B338" s="2" t="s">
        <v>1048</v>
      </c>
      <c r="C338" s="2" t="s">
        <v>1049</v>
      </c>
      <c r="D338" s="2" t="s">
        <v>13</v>
      </c>
      <c r="E338" s="2" t="s">
        <v>14</v>
      </c>
      <c r="F338" s="2" t="s">
        <v>15</v>
      </c>
      <c r="G338" s="2" t="s">
        <v>1050</v>
      </c>
      <c r="H338" s="2" t="s">
        <v>69</v>
      </c>
      <c r="I338" s="2" t="str">
        <f>IFERROR(__xludf.DUMMYFUNCTION("GOOGLETRANSLATE(C338,""fr"",""en"")"),"I am satisfied with the price and the services offered Signature A was very fast remains to be seen the quality of the services offered I think it can be a good insurance")</f>
        <v>I am satisfied with the price and the services offered Signature A was very fast remains to be seen the quality of the services offered I think it can be a good insurance</v>
      </c>
    </row>
    <row r="339" ht="15.75" customHeight="1">
      <c r="A339" s="2">
        <v>5.0</v>
      </c>
      <c r="B339" s="2" t="s">
        <v>1051</v>
      </c>
      <c r="C339" s="2" t="s">
        <v>1052</v>
      </c>
      <c r="D339" s="2" t="s">
        <v>47</v>
      </c>
      <c r="E339" s="2" t="s">
        <v>14</v>
      </c>
      <c r="F339" s="2" t="s">
        <v>15</v>
      </c>
      <c r="G339" s="2" t="s">
        <v>1053</v>
      </c>
      <c r="H339" s="2" t="s">
        <v>60</v>
      </c>
      <c r="I339" s="2" t="str">
        <f>IFERROR(__xludf.DUMMYFUNCTION("GOOGLETRANSLATE(C339,""fr"",""en"")"),"I am satisfied with the service and customer service which is very quickly answered and the price suits me perfectly thank you the olive assurance")</f>
        <v>I am satisfied with the service and customer service which is very quickly answered and the price suits me perfectly thank you the olive assurance</v>
      </c>
    </row>
    <row r="340" ht="15.75" customHeight="1">
      <c r="A340" s="2">
        <v>2.0</v>
      </c>
      <c r="B340" s="2" t="s">
        <v>1054</v>
      </c>
      <c r="C340" s="2" t="s">
        <v>1055</v>
      </c>
      <c r="D340" s="2" t="s">
        <v>13</v>
      </c>
      <c r="E340" s="2" t="s">
        <v>14</v>
      </c>
      <c r="F340" s="2" t="s">
        <v>15</v>
      </c>
      <c r="G340" s="2" t="s">
        <v>685</v>
      </c>
      <c r="H340" s="2" t="s">
        <v>87</v>
      </c>
      <c r="I340" s="2" t="str">
        <f>IFERROR(__xludf.DUMMYFUNCTION("GOOGLETRANSLATE(C340,""fr"",""en"")"),"I left my apartment from Rouen (returned to the agency, living) 2 years ago, and you always charge me the assurance of an apartment that I no longer have !!!! While I wrote it to you a long time ago.")</f>
        <v>I left my apartment from Rouen (returned to the agency, living) 2 years ago, and you always charge me the assurance of an apartment that I no longer have !!!! While I wrote it to you a long time ago.</v>
      </c>
    </row>
    <row r="341" ht="15.75" customHeight="1">
      <c r="A341" s="2">
        <v>1.0</v>
      </c>
      <c r="B341" s="2" t="s">
        <v>1056</v>
      </c>
      <c r="C341" s="2" t="s">
        <v>1057</v>
      </c>
      <c r="D341" s="2" t="s">
        <v>168</v>
      </c>
      <c r="E341" s="2" t="s">
        <v>14</v>
      </c>
      <c r="F341" s="2" t="s">
        <v>15</v>
      </c>
      <c r="G341" s="2" t="s">
        <v>1058</v>
      </c>
      <c r="H341" s="2" t="s">
        <v>815</v>
      </c>
      <c r="I341" s="2" t="str">
        <f>IFERROR(__xludf.DUMMYFUNCTION("GOOGLETRANSLATE(C341,""fr"",""en"")"),"Agency Alavoine Arras 62000 Axa, to meet my request for a car insurance quote I am clearly told that if I have only one car or other insurance to put at home it does not take me, with the reason that they will be too expensive So they are not interested.")</f>
        <v>Agency Alavoine Arras 62000 Axa, to meet my request for a car insurance quote I am clearly told that if I have only one car or other insurance to put at home it does not take me, with the reason that they will be too expensive So they are not interested.</v>
      </c>
    </row>
    <row r="342" ht="15.75" customHeight="1">
      <c r="A342" s="2">
        <v>1.0</v>
      </c>
      <c r="B342" s="2" t="s">
        <v>1059</v>
      </c>
      <c r="C342" s="2" t="s">
        <v>1060</v>
      </c>
      <c r="D342" s="2" t="s">
        <v>308</v>
      </c>
      <c r="E342" s="2" t="s">
        <v>43</v>
      </c>
      <c r="F342" s="2" t="s">
        <v>15</v>
      </c>
      <c r="G342" s="2" t="s">
        <v>108</v>
      </c>
      <c r="H342" s="2" t="s">
        <v>87</v>
      </c>
      <c r="I342" s="2" t="str">
        <f>IFERROR(__xludf.DUMMYFUNCTION("GOOGLETRANSLATE(C342,""fr"",""en"")"),"Hello everyone, I have been faithful to the Mutuelle des Motards for several years. So much so that I provide all my vehicles there at 2 and 4 wheels. Also all my buildings. Surprise to see for this year 2021 increases from 7.3% to 20.3% !!!! Sorry ? Caus"&amp;"e mentioned: accidentology in strong progression. Fortunately, in 2020 we rolled very little due to confinements, cancellations and other fire covers ... Information taken from other insured motorcycle: increase from 0% to 2.2% ... I will make an appointm"&amp;"ent and If no negotiation possible, goodbye. I am not sure that alcohol, tobacco and fuel are increasing as much. No acceptable justification!")</f>
        <v>Hello everyone, I have been faithful to the Mutuelle des Motards for several years. So much so that I provide all my vehicles there at 2 and 4 wheels. Also all my buildings. Surprise to see for this year 2021 increases from 7.3% to 20.3% !!!! Sorry ? Cause mentioned: accidentology in strong progression. Fortunately, in 2020 we rolled very little due to confinements, cancellations and other fire covers ... Information taken from other insured motorcycle: increase from 0% to 2.2% ... I will make an appointment and If no negotiation possible, goodbye. I am not sure that alcohol, tobacco and fuel are increasing as much. No acceptable justification!</v>
      </c>
    </row>
    <row r="343" ht="15.75" customHeight="1">
      <c r="A343" s="2">
        <v>1.0</v>
      </c>
      <c r="B343" s="2" t="s">
        <v>1061</v>
      </c>
      <c r="C343" s="2" t="s">
        <v>1062</v>
      </c>
      <c r="D343" s="2" t="s">
        <v>1063</v>
      </c>
      <c r="E343" s="2" t="s">
        <v>159</v>
      </c>
      <c r="F343" s="2" t="s">
        <v>15</v>
      </c>
      <c r="G343" s="2" t="s">
        <v>160</v>
      </c>
      <c r="H343" s="2" t="s">
        <v>161</v>
      </c>
      <c r="I343" s="2" t="str">
        <f>IFERROR(__xludf.DUMMYFUNCTION("GOOGLETRANSLATE(C343,""fr"",""en"")"),"Super insurance, as long as the dog has no health problems, to be eliminated during the selection. The worst insurance I know. My dog ​​at 12 years old and no big health concerns, except with the heat wave, he had a heat stroke, veto in emergency and no r"&amp;"efund, however I have the complete formula at 54.88 € monthly I am outraged.")</f>
        <v>Super insurance, as long as the dog has no health problems, to be eliminated during the selection. The worst insurance I know. My dog ​​at 12 years old and no big health concerns, except with the heat wave, he had a heat stroke, veto in emergency and no refund, however I have the complete formula at 54.88 € monthly I am outraged.</v>
      </c>
    </row>
    <row r="344" ht="15.75" customHeight="1">
      <c r="A344" s="2">
        <v>1.0</v>
      </c>
      <c r="B344" s="2" t="s">
        <v>1064</v>
      </c>
      <c r="C344" s="2" t="s">
        <v>1065</v>
      </c>
      <c r="D344" s="2" t="s">
        <v>1066</v>
      </c>
      <c r="E344" s="2" t="s">
        <v>32</v>
      </c>
      <c r="F344" s="2" t="s">
        <v>15</v>
      </c>
      <c r="G344" s="2" t="s">
        <v>379</v>
      </c>
      <c r="H344" s="2" t="s">
        <v>99</v>
      </c>
      <c r="I344" s="2" t="str">
        <f>IFERROR(__xludf.DUMMYFUNCTION("GOOGLETRANSLATE(C344,""fr"",""en"")"),"To flee ! They do everything not to terminate our mortgage loan insurance subscribed to them while our bank has already validated everything and that we are largely on time. Customer service never answers the phone and is content to leave meaningful messa"&amp;"ges on the customer area.")</f>
        <v>To flee ! They do everything not to terminate our mortgage loan insurance subscribed to them while our bank has already validated everything and that we are largely on time. Customer service never answers the phone and is content to leave meaningful messages on the customer area.</v>
      </c>
    </row>
    <row r="345" ht="15.75" customHeight="1">
      <c r="A345" s="2">
        <v>5.0</v>
      </c>
      <c r="B345" s="2" t="s">
        <v>1067</v>
      </c>
      <c r="C345" s="2" t="s">
        <v>1068</v>
      </c>
      <c r="D345" s="2" t="s">
        <v>13</v>
      </c>
      <c r="E345" s="2" t="s">
        <v>14</v>
      </c>
      <c r="F345" s="2" t="s">
        <v>15</v>
      </c>
      <c r="G345" s="2" t="s">
        <v>1069</v>
      </c>
      <c r="H345" s="2" t="s">
        <v>201</v>
      </c>
      <c r="I345" s="2" t="str">
        <f>IFERROR(__xludf.DUMMYFUNCTION("GOOGLETRANSLATE(C345,""fr"",""en"")"),"Satisfied very easy to subscribe very good price congratulations to the nobody's team is better in any case really surprise a good continuation thank you")</f>
        <v>Satisfied very easy to subscribe very good price congratulations to the nobody's team is better in any case really surprise a good continuation thank you</v>
      </c>
    </row>
    <row r="346" ht="15.75" customHeight="1">
      <c r="A346" s="2">
        <v>1.0</v>
      </c>
      <c r="B346" s="2" t="s">
        <v>1070</v>
      </c>
      <c r="C346" s="2" t="s">
        <v>1071</v>
      </c>
      <c r="D346" s="2" t="s">
        <v>47</v>
      </c>
      <c r="E346" s="2" t="s">
        <v>14</v>
      </c>
      <c r="F346" s="2" t="s">
        <v>15</v>
      </c>
      <c r="G346" s="2" t="s">
        <v>1072</v>
      </c>
      <c r="H346" s="2" t="s">
        <v>897</v>
      </c>
      <c r="I346" s="2" t="str">
        <f>IFERROR(__xludf.DUMMYFUNCTION("GOOGLETRANSLATE(C346,""fr"",""en"")"),"It has been 1 year that juis la with 2 cups but from early it starts badly with different prices of simulations after information erroe as of dates etc that we do not apply costs to rectify their errors and mantimant is swallowed late and they duplicate t"&amp;"he amount To pay is not normal. I will surely go away it is not all that")</f>
        <v>It has been 1 year that juis la with 2 cups but from early it starts badly with different prices of simulations after information erroe as of dates etc that we do not apply costs to rectify their errors and mantimant is swallowed late and they duplicate the amount To pay is not normal. I will surely go away it is not all that</v>
      </c>
    </row>
    <row r="347" ht="15.75" customHeight="1">
      <c r="A347" s="2">
        <v>5.0</v>
      </c>
      <c r="B347" s="2" t="s">
        <v>1073</v>
      </c>
      <c r="C347" s="2" t="s">
        <v>1074</v>
      </c>
      <c r="D347" s="2" t="s">
        <v>13</v>
      </c>
      <c r="E347" s="2" t="s">
        <v>14</v>
      </c>
      <c r="F347" s="2" t="s">
        <v>15</v>
      </c>
      <c r="G347" s="2" t="s">
        <v>1075</v>
      </c>
      <c r="H347" s="2" t="s">
        <v>99</v>
      </c>
      <c r="I347" s="2" t="str">
        <f>IFERROR(__xludf.DUMMYFUNCTION("GOOGLETRANSLATE(C347,""fr"",""en"")"),"Simple, practical, reactive, dynamic and operational.
A formidable efficiency.
I will not change insurance. Direct insurance fully suits me.
")</f>
        <v>Simple, practical, reactive, dynamic and operational.
A formidable efficiency.
I will not change insurance. Direct insurance fully suits me.
</v>
      </c>
    </row>
    <row r="348" ht="15.75" customHeight="1">
      <c r="A348" s="2">
        <v>1.0</v>
      </c>
      <c r="B348" s="2" t="s">
        <v>1076</v>
      </c>
      <c r="C348" s="2" t="s">
        <v>1077</v>
      </c>
      <c r="D348" s="2" t="s">
        <v>37</v>
      </c>
      <c r="E348" s="2" t="s">
        <v>21</v>
      </c>
      <c r="F348" s="2" t="s">
        <v>15</v>
      </c>
      <c r="G348" s="2" t="s">
        <v>1078</v>
      </c>
      <c r="H348" s="2" t="s">
        <v>805</v>
      </c>
      <c r="I348" s="2" t="str">
        <f>IFERROR(__xludf.DUMMYFUNCTION("GOOGLETRANSLATE(C348,""fr"",""en"")"),"Mutual harmony never again.
I went to another mutual with my work on 11/2015. My work takes care of the breach of contract with Harmonie Mutuelle but Harmonie Mutuelle stopped the contract and left an option on another contract that I did not even. So I "&amp;"paid 2 euros 36 (of course a small sum to not put the chip in my ear) for several months without ever receiving mail or anything at all.")</f>
        <v>Mutual harmony never again.
I went to another mutual with my work on 11/2015. My work takes care of the breach of contract with Harmonie Mutuelle but Harmonie Mutuelle stopped the contract and left an option on another contract that I did not even. So I paid 2 euros 36 (of course a small sum to not put the chip in my ear) for several months without ever receiving mail or anything at all.</v>
      </c>
    </row>
    <row r="349" ht="15.75" customHeight="1">
      <c r="A349" s="2">
        <v>4.0</v>
      </c>
      <c r="B349" s="2" t="s">
        <v>1079</v>
      </c>
      <c r="C349" s="2" t="s">
        <v>1080</v>
      </c>
      <c r="D349" s="2" t="s">
        <v>47</v>
      </c>
      <c r="E349" s="2" t="s">
        <v>14</v>
      </c>
      <c r="F349" s="2" t="s">
        <v>15</v>
      </c>
      <c r="G349" s="2" t="s">
        <v>1081</v>
      </c>
      <c r="H349" s="2" t="s">
        <v>17</v>
      </c>
      <c r="I349" s="2" t="str">
        <f>IFERROR(__xludf.DUMMYFUNCTION("GOOGLETRANSLATE(C349,""fr"",""en"")"),"Right correct prices to see in the event of a claim how it will happen. Site fairly clear should clearly indicate that the Docs must be sent before they can sign the contract electronically.")</f>
        <v>Right correct prices to see in the event of a claim how it will happen. Site fairly clear should clearly indicate that the Docs must be sent before they can sign the contract electronically.</v>
      </c>
    </row>
    <row r="350" ht="15.75" customHeight="1">
      <c r="A350" s="2">
        <v>2.0</v>
      </c>
      <c r="B350" s="2" t="s">
        <v>1082</v>
      </c>
      <c r="C350" s="2" t="s">
        <v>1083</v>
      </c>
      <c r="D350" s="2" t="s">
        <v>13</v>
      </c>
      <c r="E350" s="2" t="s">
        <v>14</v>
      </c>
      <c r="F350" s="2" t="s">
        <v>15</v>
      </c>
      <c r="G350" s="2" t="s">
        <v>379</v>
      </c>
      <c r="H350" s="2" t="s">
        <v>99</v>
      </c>
      <c r="I350" s="2" t="str">
        <f>IFERROR(__xludf.DUMMYFUNCTION("GOOGLETRANSLATE(C350,""fr"",""en"")"),"Very dissatisfied following a disaster from 20/09/2020 still not solved despite many reminders !!!!!
Always the same answer for months: we ask the opposing part ... lamentable")</f>
        <v>Very dissatisfied following a disaster from 20/09/2020 still not solved despite many reminders !!!!!
Always the same answer for months: we ask the opposing part ... lamentable</v>
      </c>
    </row>
    <row r="351" ht="15.75" customHeight="1">
      <c r="A351" s="2">
        <v>2.0</v>
      </c>
      <c r="B351" s="2" t="s">
        <v>1084</v>
      </c>
      <c r="C351" s="2" t="s">
        <v>1085</v>
      </c>
      <c r="D351" s="2" t="s">
        <v>42</v>
      </c>
      <c r="E351" s="2" t="s">
        <v>43</v>
      </c>
      <c r="F351" s="2" t="s">
        <v>15</v>
      </c>
      <c r="G351" s="2" t="s">
        <v>1086</v>
      </c>
      <c r="H351" s="2" t="s">
        <v>83</v>
      </c>
      <c r="I351" s="2" t="str">
        <f>IFERROR(__xludf.DUMMYFUNCTION("GOOGLETRANSLATE(C351,""fr"",""en"")"),"Young biker, following an accident with my motorcycle (I am a third party) and body damage, 50/50 health insurance, expertise result: the motorcycle before accident is 3500th and as a 750, two solutions, two solutions Who force me to pay: I give in the mo"&amp;"torcycle 750 or I have to pay 7 months of insurance. The damage is evaluated at 4,000 th repair for a rim, fairing and binding for lighthouse and meter while they walk perfectly as well as the motorcycle. Aside from the rim damage, it is very easy for me "&amp;"to change the fairings and fixings myself, but we are forced to pay a pro to restore it. Regarding the service, I am asked to send an email not return, to myself to contact them every day, number error transmitted to the expertise firm, it is up to me to "&amp;"contact the expert to find out when He so that I can limit the guard costs (400th just after her visit), and so on ... First to assure you, last to follow you")</f>
        <v>Young biker, following an accident with my motorcycle (I am a third party) and body damage, 50/50 health insurance, expertise result: the motorcycle before accident is 3500th and as a 750, two solutions, two solutions Who force me to pay: I give in the motorcycle 750 or I have to pay 7 months of insurance. The damage is evaluated at 4,000 th repair for a rim, fairing and binding for lighthouse and meter while they walk perfectly as well as the motorcycle. Aside from the rim damage, it is very easy for me to change the fairings and fixings myself, but we are forced to pay a pro to restore it. Regarding the service, I am asked to send an email not return, to myself to contact them every day, number error transmitted to the expertise firm, it is up to me to contact the expert to find out when He so that I can limit the guard costs (400th just after her visit), and so on ... First to assure you, last to follow you</v>
      </c>
    </row>
    <row r="352" ht="15.75" customHeight="1">
      <c r="A352" s="2">
        <v>1.0</v>
      </c>
      <c r="B352" s="2" t="s">
        <v>1087</v>
      </c>
      <c r="C352" s="2" t="s">
        <v>1088</v>
      </c>
      <c r="D352" s="2" t="s">
        <v>803</v>
      </c>
      <c r="E352" s="2" t="s">
        <v>138</v>
      </c>
      <c r="F352" s="2" t="s">
        <v>15</v>
      </c>
      <c r="G352" s="2" t="s">
        <v>1089</v>
      </c>
      <c r="H352" s="2" t="s">
        <v>28</v>
      </c>
      <c r="I352" s="2" t="str">
        <f>IFERROR(__xludf.DUMMYFUNCTION("GOOGLETRANSLATE(C352,""fr"",""en"")"),"On a work stoppage excluding mission since September 12, 2021 I do not stop contacting temporary workers pension, whether by email or via the site and never response.
I therefore sent my documents by mail with acknowledgment of receipt since October 7, 2"&amp;"021 and to date I still have no trace of opening or processing my file it is starting to make very long knowing that the compensation for Social security does not allow them to be filled in their own loss of salary ...
Very disappointed!")</f>
        <v>On a work stoppage excluding mission since September 12, 2021 I do not stop contacting temporary workers pension, whether by email or via the site and never response.
I therefore sent my documents by mail with acknowledgment of receipt since October 7, 2021 and to date I still have no trace of opening or processing my file it is starting to make very long knowing that the compensation for Social security does not allow them to be filled in their own loss of salary ...
Very disappointed!</v>
      </c>
    </row>
    <row r="353" ht="15.75" customHeight="1">
      <c r="A353" s="2">
        <v>5.0</v>
      </c>
      <c r="B353" s="2" t="s">
        <v>1090</v>
      </c>
      <c r="C353" s="2" t="s">
        <v>1091</v>
      </c>
      <c r="D353" s="2" t="s">
        <v>97</v>
      </c>
      <c r="E353" s="2" t="s">
        <v>43</v>
      </c>
      <c r="F353" s="2" t="s">
        <v>15</v>
      </c>
      <c r="G353" s="2" t="s">
        <v>638</v>
      </c>
      <c r="H353" s="2" t="s">
        <v>60</v>
      </c>
      <c r="I353" s="2" t="str">
        <f>IFERROR(__xludf.DUMMYFUNCTION("GOOGLETRANSLATE(C353,""fr"",""en"")"),"Hello
I am very satisfied with service C of the top
Cheapest price at the market
Fast and efficient with ease
I recommend
Bravo the team
")</f>
        <v>Hello
I am very satisfied with service C of the top
Cheapest price at the market
Fast and efficient with ease
I recommend
Bravo the team
</v>
      </c>
    </row>
    <row r="354" ht="15.75" customHeight="1">
      <c r="A354" s="2">
        <v>1.0</v>
      </c>
      <c r="B354" s="2" t="s">
        <v>1092</v>
      </c>
      <c r="C354" s="2" t="s">
        <v>1093</v>
      </c>
      <c r="D354" s="2" t="s">
        <v>63</v>
      </c>
      <c r="E354" s="2" t="s">
        <v>14</v>
      </c>
      <c r="F354" s="2" t="s">
        <v>15</v>
      </c>
      <c r="G354" s="2" t="s">
        <v>114</v>
      </c>
      <c r="H354" s="2" t="s">
        <v>17</v>
      </c>
      <c r="I354" s="2" t="str">
        <f>IFERROR(__xludf.DUMMYFUNCTION("GOOGLETRANSLATE(C354,""fr"",""en"")"),"More and more disappointing and chose experts against members. Insurance too high for the services given, ex7ks a lot of money in advertising.
Insurance not to advise.")</f>
        <v>More and more disappointing and chose experts against members. Insurance too high for the services given, ex7ks a lot of money in advertising.
Insurance not to advise.</v>
      </c>
    </row>
    <row r="355" ht="15.75" customHeight="1">
      <c r="A355" s="2">
        <v>4.0</v>
      </c>
      <c r="B355" s="2" t="s">
        <v>1094</v>
      </c>
      <c r="C355" s="2" t="s">
        <v>1095</v>
      </c>
      <c r="D355" s="2" t="s">
        <v>47</v>
      </c>
      <c r="E355" s="2" t="s">
        <v>14</v>
      </c>
      <c r="F355" s="2" t="s">
        <v>15</v>
      </c>
      <c r="G355" s="2" t="s">
        <v>1096</v>
      </c>
      <c r="H355" s="2" t="s">
        <v>79</v>
      </c>
      <c r="I355" s="2" t="str">
        <f>IFERROR(__xludf.DUMMYFUNCTION("GOOGLETRANSLATE(C355,""fr"",""en"")"),"I have three auto contracts at the Olivier Assurance Auto and am very satisfied with the telephone service which is based in France. They are very responsive when you have to suspend a contract and provide a new car (without termination costs).
Very intu"&amp;"itive website and very competitive price.
Insurance in advance on competition.
I really recommend.
Too bad he does not do motorcycle insurance, I will have taken out an additional contract :)")</f>
        <v>I have three auto contracts at the Olivier Assurance Auto and am very satisfied with the telephone service which is based in France. They are very responsive when you have to suspend a contract and provide a new car (without termination costs).
Very intuitive website and very competitive price.
Insurance in advance on competition.
I really recommend.
Too bad he does not do motorcycle insurance, I will have taken out an additional contract :)</v>
      </c>
    </row>
    <row r="356" ht="15.75" customHeight="1">
      <c r="A356" s="2">
        <v>2.0</v>
      </c>
      <c r="B356" s="2" t="s">
        <v>1097</v>
      </c>
      <c r="C356" s="2" t="s">
        <v>1098</v>
      </c>
      <c r="D356" s="2" t="s">
        <v>13</v>
      </c>
      <c r="E356" s="2" t="s">
        <v>14</v>
      </c>
      <c r="F356" s="2" t="s">
        <v>15</v>
      </c>
      <c r="G356" s="2" t="s">
        <v>437</v>
      </c>
      <c r="H356" s="2" t="s">
        <v>56</v>
      </c>
      <c r="I356" s="2" t="str">
        <f>IFERROR(__xludf.DUMMYFUNCTION("GOOGLETRANSLATE(C356,""fr"",""en"")"),"I point out my move and on the new document it is the old address where I lived.
In addition, a single modification has been made to my cars")</f>
        <v>I point out my move and on the new document it is the old address where I lived.
In addition, a single modification has been made to my cars</v>
      </c>
    </row>
    <row r="357" ht="15.75" customHeight="1">
      <c r="A357" s="2">
        <v>1.0</v>
      </c>
      <c r="B357" s="2" t="s">
        <v>1099</v>
      </c>
      <c r="C357" s="2" t="s">
        <v>1100</v>
      </c>
      <c r="D357" s="2" t="s">
        <v>253</v>
      </c>
      <c r="E357" s="2" t="s">
        <v>21</v>
      </c>
      <c r="F357" s="2" t="s">
        <v>15</v>
      </c>
      <c r="G357" s="2" t="s">
        <v>1101</v>
      </c>
      <c r="H357" s="2" t="s">
        <v>121</v>
      </c>
      <c r="I357" s="2" t="str">
        <f>IFERROR(__xludf.DUMMYFUNCTION("GOOGLETRANSLATE(C357,""fr"",""en"")"),"Hello
I have struck off my membership for 12/31/2016 of your mutual health
I have confirmation in writing by your service dated 17/11/2016.
So why blocked on my account Ameli the remote transmission ????? By staying in front of my new health insurance "&amp;"you save or smooth my reimbursements ... !!!
This is the second time that I have claimed your withdrawal.
Looking forward to reading you.")</f>
        <v>Hello
I have struck off my membership for 12/31/2016 of your mutual health
I have confirmation in writing by your service dated 17/11/2016.
So why blocked on my account Ameli the remote transmission ????? By staying in front of my new health insurance you save or smooth my reimbursements ... !!!
This is the second time that I have claimed your withdrawal.
Looking forward to reading you.</v>
      </c>
    </row>
    <row r="358" ht="15.75" customHeight="1">
      <c r="A358" s="2">
        <v>1.0</v>
      </c>
      <c r="B358" s="2" t="s">
        <v>1102</v>
      </c>
      <c r="C358" s="2" t="s">
        <v>1103</v>
      </c>
      <c r="D358" s="2" t="s">
        <v>341</v>
      </c>
      <c r="E358" s="2" t="s">
        <v>77</v>
      </c>
      <c r="F358" s="2" t="s">
        <v>15</v>
      </c>
      <c r="G358" s="2" t="s">
        <v>1104</v>
      </c>
      <c r="H358" s="2" t="s">
        <v>805</v>
      </c>
      <c r="I358" s="2" t="str">
        <f>IFERROR(__xludf.DUMMYFUNCTION("GOOGLETRANSLATE(C358,""fr"",""en"")"),"I contact my agency for an insurance quote (I already have my two cars at home)
I am given an appointment after exchange of lively voices knowing that I have a job schedule, something that I clearly specified at the interlocutor.
On the spot, full room,"&amp;" the receptionist asks for an appointment, I raise my hand, as in school, asks me my name and tells me that I have no appointment, that you have to wait without even apologizing for the Disagging.
I waited 30 minutes and left.
Thank you the maff but thi"&amp;"s is not what I prefer ...
So I think I ask for my account and see elsewhere ...")</f>
        <v>I contact my agency for an insurance quote (I already have my two cars at home)
I am given an appointment after exchange of lively voices knowing that I have a job schedule, something that I clearly specified at the interlocutor.
On the spot, full room, the receptionist asks for an appointment, I raise my hand, as in school, asks me my name and tells me that I have no appointment, that you have to wait without even apologizing for the Disagging.
I waited 30 minutes and left.
Thank you the maff but this is not what I prefer ...
So I think I ask for my account and see elsewhere ...</v>
      </c>
    </row>
    <row r="359" ht="15.75" customHeight="1">
      <c r="A359" s="2">
        <v>5.0</v>
      </c>
      <c r="B359" s="2" t="s">
        <v>1105</v>
      </c>
      <c r="C359" s="2" t="s">
        <v>1106</v>
      </c>
      <c r="D359" s="2" t="s">
        <v>47</v>
      </c>
      <c r="E359" s="2" t="s">
        <v>14</v>
      </c>
      <c r="F359" s="2" t="s">
        <v>15</v>
      </c>
      <c r="G359" s="2" t="s">
        <v>785</v>
      </c>
      <c r="H359" s="2" t="s">
        <v>83</v>
      </c>
      <c r="I359" s="2" t="str">
        <f>IFERROR(__xludf.DUMMYFUNCTION("GOOGLETRANSLATE(C359,""fr"",""en"")"),"Thanks to the Le Furet.com site; The insurer the olive tree was the insurer I needed; Having not been insured personally for several years for professional reasons; The olive tree gave me the assurance that I needed; The price is very interesting and I ma"&amp;"de a real savings more compared to the insurance that my bank offered me for the same vehicle")</f>
        <v>Thanks to the Le Furet.com site; The insurer the olive tree was the insurer I needed; Having not been insured personally for several years for professional reasons; The olive tree gave me the assurance that I needed; The price is very interesting and I made a real savings more compared to the insurance that my bank offered me for the same vehicle</v>
      </c>
    </row>
    <row r="360" ht="15.75" customHeight="1">
      <c r="A360" s="2">
        <v>1.0</v>
      </c>
      <c r="B360" s="2" t="s">
        <v>1107</v>
      </c>
      <c r="C360" s="2" t="s">
        <v>1108</v>
      </c>
      <c r="D360" s="2" t="s">
        <v>13</v>
      </c>
      <c r="E360" s="2" t="s">
        <v>14</v>
      </c>
      <c r="F360" s="2" t="s">
        <v>15</v>
      </c>
      <c r="G360" s="2" t="s">
        <v>1109</v>
      </c>
      <c r="H360" s="2" t="s">
        <v>65</v>
      </c>
      <c r="I360" s="2" t="str">
        <f>IFERROR(__xludf.DUMMYFUNCTION("GOOGLETRANSLATE(C360,""fr"",""en"")"),"To flee at all costs !!!
Insurance that does not respect its customers and commitments.
Ensures any risk with a serenity pack and following a degradation on my car in my parking lot, insurance does not wish to take care for them ""false declaration""
"&amp;"
They believe that my car has not been degraded by a third party.
But if I had lied by saying that I had accidentally accidentally said I said no problem.")</f>
        <v>To flee at all costs !!!
Insurance that does not respect its customers and commitments.
Ensures any risk with a serenity pack and following a degradation on my car in my parking lot, insurance does not wish to take care for them "false declaration"
They believe that my car has not been degraded by a third party.
But if I had lied by saying that I had accidentally accidentally said I said no problem.</v>
      </c>
    </row>
    <row r="361" ht="15.75" customHeight="1">
      <c r="A361" s="2">
        <v>3.0</v>
      </c>
      <c r="B361" s="2" t="s">
        <v>1110</v>
      </c>
      <c r="C361" s="2" t="s">
        <v>1111</v>
      </c>
      <c r="D361" s="2" t="s">
        <v>13</v>
      </c>
      <c r="E361" s="2" t="s">
        <v>14</v>
      </c>
      <c r="F361" s="2" t="s">
        <v>15</v>
      </c>
      <c r="G361" s="2" t="s">
        <v>114</v>
      </c>
      <c r="H361" s="2" t="s">
        <v>17</v>
      </c>
      <c r="I361" s="2" t="str">
        <f>IFERROR(__xludf.DUMMYFUNCTION("GOOGLETRANSLATE(C361,""fr"",""en"")"),"Claire explanation provided by the advisor, call made in good condition and in the time that arranged me.
Proposal for a motivating loyalty offer.")</f>
        <v>Claire explanation provided by the advisor, call made in good condition and in the time that arranged me.
Proposal for a motivating loyalty offer.</v>
      </c>
    </row>
    <row r="362" ht="15.75" customHeight="1">
      <c r="A362" s="2">
        <v>2.0</v>
      </c>
      <c r="B362" s="2" t="s">
        <v>1112</v>
      </c>
      <c r="C362" s="2" t="s">
        <v>1113</v>
      </c>
      <c r="D362" s="2" t="s">
        <v>13</v>
      </c>
      <c r="E362" s="2" t="s">
        <v>14</v>
      </c>
      <c r="F362" s="2" t="s">
        <v>15</v>
      </c>
      <c r="G362" s="2" t="s">
        <v>511</v>
      </c>
      <c r="H362" s="2" t="s">
        <v>181</v>
      </c>
      <c r="I362" s="2" t="str">
        <f>IFERROR(__xludf.DUMMYFUNCTION("GOOGLETRANSLATE(C362,""fr"",""en"")"),"Interesting price, yes
But that the first year, then there are increases each year from 17 to 18 %, and if you are not careful, your subscription goes quickly above the competition.
Note also that my home insurance took 11 % from one year to another.
P"&amp;"lay competition.")</f>
        <v>Interesting price, yes
But that the first year, then there are increases each year from 17 to 18 %, and if you are not careful, your subscription goes quickly above the competition.
Note also that my home insurance took 11 % from one year to another.
Play competition.</v>
      </c>
    </row>
    <row r="363" ht="15.75" customHeight="1">
      <c r="A363" s="2">
        <v>4.0</v>
      </c>
      <c r="B363" s="2" t="s">
        <v>1114</v>
      </c>
      <c r="C363" s="2" t="s">
        <v>1115</v>
      </c>
      <c r="D363" s="2" t="s">
        <v>13</v>
      </c>
      <c r="E363" s="2" t="s">
        <v>14</v>
      </c>
      <c r="F363" s="2" t="s">
        <v>15</v>
      </c>
      <c r="G363" s="2" t="s">
        <v>1116</v>
      </c>
      <c r="H363" s="2" t="s">
        <v>17</v>
      </c>
      <c r="I363" s="2" t="str">
        <f>IFERROR(__xludf.DUMMYFUNCTION("GOOGLETRANSLATE(C363,""fr"",""en"")"),"Hello insurance is fast and inexpensive I recommend direct insurance.
The site is very practical.
And the choice for car insurance is multiple.
")</f>
        <v>Hello insurance is fast and inexpensive I recommend direct insurance.
The site is very practical.
And the choice for car insurance is multiple.
</v>
      </c>
    </row>
    <row r="364" ht="15.75" customHeight="1">
      <c r="A364" s="2">
        <v>4.0</v>
      </c>
      <c r="B364" s="2" t="s">
        <v>1117</v>
      </c>
      <c r="C364" s="2" t="s">
        <v>1118</v>
      </c>
      <c r="D364" s="2" t="s">
        <v>253</v>
      </c>
      <c r="E364" s="2" t="s">
        <v>21</v>
      </c>
      <c r="F364" s="2" t="s">
        <v>15</v>
      </c>
      <c r="G364" s="2" t="s">
        <v>1119</v>
      </c>
      <c r="H364" s="2" t="s">
        <v>56</v>
      </c>
      <c r="I364" s="2" t="str">
        <f>IFERROR(__xludf.DUMMYFUNCTION("GOOGLETRANSLATE(C364,""fr"",""en"")"),"Listening advisor and met my expectations very well I recommend her for her patience. She helped me fill and find the necessary documents")</f>
        <v>Listening advisor and met my expectations very well I recommend her for her patience. She helped me fill and find the necessary documents</v>
      </c>
    </row>
    <row r="365" ht="15.75" customHeight="1">
      <c r="A365" s="2">
        <v>5.0</v>
      </c>
      <c r="B365" s="2" t="s">
        <v>1120</v>
      </c>
      <c r="C365" s="2" t="s">
        <v>1121</v>
      </c>
      <c r="D365" s="2" t="s">
        <v>47</v>
      </c>
      <c r="E365" s="2" t="s">
        <v>14</v>
      </c>
      <c r="F365" s="2" t="s">
        <v>15</v>
      </c>
      <c r="G365" s="2" t="s">
        <v>114</v>
      </c>
      <c r="H365" s="2" t="s">
        <v>17</v>
      </c>
      <c r="I365" s="2" t="str">
        <f>IFERROR(__xludf.DUMMYFUNCTION("GOOGLETRANSLATE(C365,""fr"",""en"")"),"I am very satisfied .
The prices are very attractive and the welcome was very good.
 The sellers advised me very well and were very kind.")</f>
        <v>I am very satisfied .
The prices are very attractive and the welcome was very good.
 The sellers advised me very well and were very kind.</v>
      </c>
    </row>
    <row r="366" ht="15.75" customHeight="1">
      <c r="A366" s="2">
        <v>5.0</v>
      </c>
      <c r="B366" s="2" t="s">
        <v>1122</v>
      </c>
      <c r="C366" s="2" t="s">
        <v>1123</v>
      </c>
      <c r="D366" s="2" t="s">
        <v>47</v>
      </c>
      <c r="E366" s="2" t="s">
        <v>14</v>
      </c>
      <c r="F366" s="2" t="s">
        <v>15</v>
      </c>
      <c r="G366" s="2" t="s">
        <v>1124</v>
      </c>
      <c r="H366" s="2" t="s">
        <v>17</v>
      </c>
      <c r="I366" s="2" t="str">
        <f>IFERROR(__xludf.DUMMYFUNCTION("GOOGLETRANSLATE(C366,""fr"",""en"")"),"I was sure of your listening to ensure but vehicle RS Auto 91
I want to thank you
I would not hesitate to recommend you to those around me")</f>
        <v>I was sure of your listening to ensure but vehicle RS Auto 91
I want to thank you
I would not hesitate to recommend you to those around me</v>
      </c>
    </row>
    <row r="367" ht="15.75" customHeight="1">
      <c r="A367" s="2">
        <v>4.0</v>
      </c>
      <c r="B367" s="2" t="s">
        <v>1125</v>
      </c>
      <c r="C367" s="2" t="s">
        <v>1126</v>
      </c>
      <c r="D367" s="2" t="s">
        <v>253</v>
      </c>
      <c r="E367" s="2" t="s">
        <v>21</v>
      </c>
      <c r="F367" s="2" t="s">
        <v>15</v>
      </c>
      <c r="G367" s="2" t="s">
        <v>1127</v>
      </c>
      <c r="H367" s="2" t="s">
        <v>34</v>
      </c>
      <c r="I367" s="2" t="str">
        <f>IFERROR(__xludf.DUMMYFUNCTION("GOOGLETRANSLATE(C367,""fr"",""en"")"),"Very pleasant customer advisor who knew how to give me answers to the questions I had about monitoring my contract and solving the problems I encountered. Thank you for his professionalism and his attentive listening. It is pleasant to be understood and q"&amp;"uickly informed.")</f>
        <v>Very pleasant customer advisor who knew how to give me answers to the questions I had about monitoring my contract and solving the problems I encountered. Thank you for his professionalism and his attentive listening. It is pleasant to be understood and quickly informed.</v>
      </c>
    </row>
    <row r="368" ht="15.75" customHeight="1">
      <c r="A368" s="2">
        <v>2.0</v>
      </c>
      <c r="B368" s="2" t="s">
        <v>1128</v>
      </c>
      <c r="C368" s="2" t="s">
        <v>1129</v>
      </c>
      <c r="D368" s="2" t="s">
        <v>253</v>
      </c>
      <c r="E368" s="2" t="s">
        <v>21</v>
      </c>
      <c r="F368" s="2" t="s">
        <v>15</v>
      </c>
      <c r="G368" s="2" t="s">
        <v>98</v>
      </c>
      <c r="H368" s="2" t="s">
        <v>99</v>
      </c>
      <c r="I368" s="2" t="str">
        <f>IFERROR(__xludf.DUMMYFUNCTION("GOOGLETRANSLATE(C368,""fr"",""en"")"),"Aya -&gt; Thank you for your connection to the connection!
For the moment, I arrive in the group, so I do not have enough perspective to issue any judgment as for the services.
My satisfaction or dissatisfaction will be expressed later
I hope not to have "&amp;"made the wrong choice by holding
Véronique Marcou")</f>
        <v>Aya -&gt; Thank you for your connection to the connection!
For the moment, I arrive in the group, so I do not have enough perspective to issue any judgment as for the services.
My satisfaction or dissatisfaction will be expressed later
I hope not to have made the wrong choice by holding
Véronique Marcou</v>
      </c>
    </row>
    <row r="369" ht="15.75" customHeight="1">
      <c r="A369" s="2">
        <v>1.0</v>
      </c>
      <c r="B369" s="2" t="s">
        <v>1130</v>
      </c>
      <c r="C369" s="2" t="s">
        <v>1131</v>
      </c>
      <c r="D369" s="2" t="s">
        <v>13</v>
      </c>
      <c r="E369" s="2" t="s">
        <v>77</v>
      </c>
      <c r="F369" s="2" t="s">
        <v>15</v>
      </c>
      <c r="G369" s="2" t="s">
        <v>909</v>
      </c>
      <c r="H369" s="2" t="s">
        <v>74</v>
      </c>
      <c r="I369" s="2" t="str">
        <f>IFERROR(__xludf.DUMMYFUNCTION("GOOGLETRANSLATE(C369,""fr"",""en"")"),"Good evening,
Insurer to flee. Advisers who do not get tired and who do not seek to solve the problem in the event of a disaster and even worse they offer non -existent solutions ... I leave as soon as possible ... In addition, they are not the cheapes"&amp;"t.
")</f>
        <v>Good evening,
Insurer to flee. Advisers who do not get tired and who do not seek to solve the problem in the event of a disaster and even worse they offer non -existent solutions ... I leave as soon as possible ... In addition, they are not the cheapest.
</v>
      </c>
    </row>
    <row r="370" ht="15.75" customHeight="1">
      <c r="A370" s="2">
        <v>1.0</v>
      </c>
      <c r="B370" s="2" t="s">
        <v>1132</v>
      </c>
      <c r="C370" s="2" t="s">
        <v>1133</v>
      </c>
      <c r="D370" s="2" t="s">
        <v>1134</v>
      </c>
      <c r="E370" s="2" t="s">
        <v>21</v>
      </c>
      <c r="F370" s="2" t="s">
        <v>15</v>
      </c>
      <c r="G370" s="2" t="s">
        <v>1135</v>
      </c>
      <c r="H370" s="2" t="s">
        <v>220</v>
      </c>
      <c r="I370" s="2" t="str">
        <f>IFERROR(__xludf.DUMMYFUNCTION("GOOGLETRANSLATE(C370,""fr"",""en"")"),"Mutual to avoid I have been retired for 10 years I have adhered to the Mgen Filia ex MOCEN for 50 years (1970) I contribute to the maximum AO and the reimbursements drop from year to year little dental care on soft medicine Osteopathy 1 Refund per year (r"&amp;"idiculous), podology no refund, acupuncture no refund, none of reimbursement tables since 2015
Filia Mgen service very difficult to reach
In addition, certain radiologies centers (Vierzon) do not take the Mgen Filia card we must advance the radiology co"&amp;"sts because they inform us that the MGEN is very behind to pay the centers (delay of more than a year) then a lot of question about this unreliable mutual")</f>
        <v>Mutual to avoid I have been retired for 10 years I have adhered to the Mgen Filia ex MOCEN for 50 years (1970) I contribute to the maximum AO and the reimbursements drop from year to year little dental care on soft medicine Osteopathy 1 Refund per year (ridiculous), podology no refund, acupuncture no refund, none of reimbursement tables since 2015
Filia Mgen service very difficult to reach
In addition, certain radiologies centers (Vierzon) do not take the Mgen Filia card we must advance the radiology costs because they inform us that the MGEN is very behind to pay the centers (delay of more than a year) then a lot of question about this unreliable mutual</v>
      </c>
    </row>
    <row r="371" ht="15.75" customHeight="1">
      <c r="A371" s="2">
        <v>4.0</v>
      </c>
      <c r="B371" s="2" t="s">
        <v>1136</v>
      </c>
      <c r="C371" s="2" t="s">
        <v>1137</v>
      </c>
      <c r="D371" s="2" t="s">
        <v>13</v>
      </c>
      <c r="E371" s="2" t="s">
        <v>14</v>
      </c>
      <c r="F371" s="2" t="s">
        <v>15</v>
      </c>
      <c r="G371" s="2" t="s">
        <v>1138</v>
      </c>
      <c r="H371" s="2" t="s">
        <v>87</v>
      </c>
      <c r="I371" s="2" t="str">
        <f>IFERROR(__xludf.DUMMYFUNCTION("GOOGLETRANSLATE(C371,""fr"",""en"")"),"The price of my auto insurance suits me and cheaper. We can manage its options in order to find a contract adapted to our situation. The advisers are attentive and very pleasant")</f>
        <v>The price of my auto insurance suits me and cheaper. We can manage its options in order to find a contract adapted to our situation. The advisers are attentive and very pleasant</v>
      </c>
    </row>
    <row r="372" ht="15.75" customHeight="1">
      <c r="A372" s="2">
        <v>4.0</v>
      </c>
      <c r="B372" s="2" t="s">
        <v>1139</v>
      </c>
      <c r="C372" s="2" t="s">
        <v>1140</v>
      </c>
      <c r="D372" s="2" t="s">
        <v>47</v>
      </c>
      <c r="E372" s="2" t="s">
        <v>14</v>
      </c>
      <c r="F372" s="2" t="s">
        <v>15</v>
      </c>
      <c r="G372" s="2" t="s">
        <v>55</v>
      </c>
      <c r="H372" s="2" t="s">
        <v>56</v>
      </c>
      <c r="I372" s="2" t="str">
        <f>IFERROR(__xludf.DUMMYFUNCTION("GOOGLETRANSLATE(C372,""fr"",""en"")"),"The prices suit me but the culmination of the quote was more than laborious and full of inexplicable bugs for online acceptance or a reminder request.")</f>
        <v>The prices suit me but the culmination of the quote was more than laborious and full of inexplicable bugs for online acceptance or a reminder request.</v>
      </c>
    </row>
    <row r="373" ht="15.75" customHeight="1">
      <c r="A373" s="2">
        <v>2.0</v>
      </c>
      <c r="B373" s="2" t="s">
        <v>1141</v>
      </c>
      <c r="C373" s="2" t="s">
        <v>1142</v>
      </c>
      <c r="D373" s="2" t="s">
        <v>47</v>
      </c>
      <c r="E373" s="2" t="s">
        <v>14</v>
      </c>
      <c r="F373" s="2" t="s">
        <v>15</v>
      </c>
      <c r="G373" s="2" t="s">
        <v>227</v>
      </c>
      <c r="H373" s="2" t="s">
        <v>28</v>
      </c>
      <c r="I373" s="2" t="str">
        <f>IFERROR(__xludf.DUMMYFUNCTION("GOOGLETRANSLATE(C373,""fr"",""en"")"),"Internet procedures are not very explicit, information that is not always precise but insurance whose prices are affordable as needed.")</f>
        <v>Internet procedures are not very explicit, information that is not always precise but insurance whose prices are affordable as needed.</v>
      </c>
    </row>
    <row r="374" ht="15.75" customHeight="1">
      <c r="A374" s="2">
        <v>1.0</v>
      </c>
      <c r="B374" s="2" t="s">
        <v>1143</v>
      </c>
      <c r="C374" s="2" t="s">
        <v>1144</v>
      </c>
      <c r="D374" s="2" t="s">
        <v>63</v>
      </c>
      <c r="E374" s="2" t="s">
        <v>77</v>
      </c>
      <c r="F374" s="2" t="s">
        <v>15</v>
      </c>
      <c r="G374" s="2" t="s">
        <v>1145</v>
      </c>
      <c r="H374" s="2" t="s">
        <v>330</v>
      </c>
      <c r="I374" s="2" t="str">
        <f>IFERROR(__xludf.DUMMYFUNCTION("GOOGLETRANSLATE(C374,""fr"",""en"")"),"Non -existent value for money. Very good salespeople who assure you that you are well insured. However following two legal disputes, responses from the end of not receiving by email without any advice. When I fiat starts from my dissatisfaction answer: Ma"&amp;"ke a letter. Even in administration, no response of this type is carried out")</f>
        <v>Non -existent value for money. Very good salespeople who assure you that you are well insured. However following two legal disputes, responses from the end of not receiving by email without any advice. When I fiat starts from my dissatisfaction answer: Make a letter. Even in administration, no response of this type is carried out</v>
      </c>
    </row>
    <row r="375" ht="15.75" customHeight="1">
      <c r="A375" s="2">
        <v>2.0</v>
      </c>
      <c r="B375" s="2" t="s">
        <v>1146</v>
      </c>
      <c r="C375" s="2" t="s">
        <v>1147</v>
      </c>
      <c r="D375" s="2" t="s">
        <v>196</v>
      </c>
      <c r="E375" s="2" t="s">
        <v>14</v>
      </c>
      <c r="F375" s="2" t="s">
        <v>15</v>
      </c>
      <c r="G375" s="2" t="s">
        <v>1148</v>
      </c>
      <c r="H375" s="2" t="s">
        <v>165</v>
      </c>
      <c r="I375" s="2" t="str">
        <f>IFERROR(__xludf.DUMMYFUNCTION("GOOGLETRANSLATE(C375,""fr"",""en"")"),"Customer at the Matmut, without any claim, always paid each month; I receive a letter because ""my file shows an inadequacy to enter your personal situation and their policy of accepting risks"". I therefore call customer service to have an explanation: "&amp;"""Sorry sir, you must certainly know more than me why you received this letter"".
Very well no problem. Termination procedure before the date launched.
And believe me no one around me will go to this insurance.")</f>
        <v>Customer at the Matmut, without any claim, always paid each month; I receive a letter because "my file shows an inadequacy to enter your personal situation and their policy of accepting risks". I therefore call customer service to have an explanation: "Sorry sir, you must certainly know more than me why you received this letter".
Very well no problem. Termination procedure before the date launched.
And believe me no one around me will go to this insurance.</v>
      </c>
    </row>
    <row r="376" ht="15.75" customHeight="1">
      <c r="A376" s="2">
        <v>1.0</v>
      </c>
      <c r="B376" s="2" t="s">
        <v>1149</v>
      </c>
      <c r="C376" s="2" t="s">
        <v>1150</v>
      </c>
      <c r="D376" s="2" t="s">
        <v>133</v>
      </c>
      <c r="E376" s="2" t="s">
        <v>138</v>
      </c>
      <c r="F376" s="2" t="s">
        <v>15</v>
      </c>
      <c r="G376" s="2" t="s">
        <v>1151</v>
      </c>
      <c r="H376" s="2" t="s">
        <v>161</v>
      </c>
      <c r="I376" s="2" t="str">
        <f>IFERROR(__xludf.DUMMYFUNCTION("GOOGLETRANSLATE(C376,""fr"",""en"")"),"Always very serious when it comes to samples.
But unable to respect the closed of a contract within a resonable time when it comes to paying compensation to which you are entitled !!!
Flee this insurance with big strides !!!!")</f>
        <v>Always very serious when it comes to samples.
But unable to respect the closed of a contract within a resonable time when it comes to paying compensation to which you are entitled !!!
Flee this insurance with big strides !!!!</v>
      </c>
    </row>
    <row r="377" ht="15.75" customHeight="1">
      <c r="A377" s="2">
        <v>1.0</v>
      </c>
      <c r="B377" s="2" t="s">
        <v>1152</v>
      </c>
      <c r="C377" s="2" t="s">
        <v>1153</v>
      </c>
      <c r="D377" s="2" t="s">
        <v>37</v>
      </c>
      <c r="E377" s="2" t="s">
        <v>21</v>
      </c>
      <c r="F377" s="2" t="s">
        <v>15</v>
      </c>
      <c r="G377" s="2" t="s">
        <v>1154</v>
      </c>
      <c r="H377" s="2" t="s">
        <v>250</v>
      </c>
      <c r="I377" s="2" t="str">
        <f>IFERROR(__xludf.DUMMYFUNCTION("GOOGLETRANSLATE(C377,""fr"",""en"")"),"Scandal ! Their sales advisers give false information to sign the contract. For a year I have been within this mutual, level 6 for 3000 euros per year for the family, we are reimbursed less than half of those we had with our old mutual. Very very disappoi"&amp;"nted, I would like to terminate my contract and resume my old mutual as much as possible!
 ")</f>
        <v>Scandal ! Their sales advisers give false information to sign the contract. For a year I have been within this mutual, level 6 for 3000 euros per year for the family, we are reimbursed less than half of those we had with our old mutual. Very very disappointed, I would like to terminate my contract and resume my old mutual as much as possible!
 </v>
      </c>
    </row>
    <row r="378" ht="15.75" customHeight="1">
      <c r="A378" s="2">
        <v>1.0</v>
      </c>
      <c r="B378" s="2" t="s">
        <v>1155</v>
      </c>
      <c r="C378" s="2" t="s">
        <v>1156</v>
      </c>
      <c r="D378" s="2" t="s">
        <v>287</v>
      </c>
      <c r="E378" s="2" t="s">
        <v>77</v>
      </c>
      <c r="F378" s="2" t="s">
        <v>15</v>
      </c>
      <c r="G378" s="2" t="s">
        <v>1157</v>
      </c>
      <c r="H378" s="2" t="s">
        <v>897</v>
      </c>
      <c r="I378" s="2" t="str">
        <f>IFERROR(__xludf.DUMMYFUNCTION("GOOGLETRANSLATE(C378,""fr"",""en"")"),"GMF does not meet the expectations of its customers in no way
Since the latest bad weather they have taken my claims declaration into account by email and since it is impossible to reach them! They no longer answer on the phone and when you go to the age"&amp;"ncy after having made an appointment! They tell me that the sinister service they do not deal with it! Nothing is done to help the insured in the event of a claim! Since November 23, I have no response from them!")</f>
        <v>GMF does not meet the expectations of its customers in no way
Since the latest bad weather they have taken my claims declaration into account by email and since it is impossible to reach them! They no longer answer on the phone and when you go to the agency after having made an appointment! They tell me that the sinister service they do not deal with it! Nothing is done to help the insured in the event of a claim! Since November 23, I have no response from them!</v>
      </c>
    </row>
    <row r="379" ht="15.75" customHeight="1">
      <c r="A379" s="2">
        <v>4.0</v>
      </c>
      <c r="B379" s="2" t="s">
        <v>1158</v>
      </c>
      <c r="C379" s="2" t="s">
        <v>1159</v>
      </c>
      <c r="D379" s="2" t="s">
        <v>26</v>
      </c>
      <c r="E379" s="2" t="s">
        <v>14</v>
      </c>
      <c r="F379" s="2" t="s">
        <v>15</v>
      </c>
      <c r="G379" s="2" t="s">
        <v>1148</v>
      </c>
      <c r="H379" s="2" t="s">
        <v>165</v>
      </c>
      <c r="I379" s="2" t="str">
        <f>IFERROR(__xludf.DUMMYFUNCTION("GOOGLETRANSLATE(C379,""fr"",""en"")"),"Insured at all risks I declared a claim. The management of repairs was immediately issued to the approved repairer after the expertise.
From the repaired vehicle I received the invoice for information and the copy of the expert's report.")</f>
        <v>Insured at all risks I declared a claim. The management of repairs was immediately issued to the approved repairer after the expertise.
From the repaired vehicle I received the invoice for information and the copy of the expert's report.</v>
      </c>
    </row>
    <row r="380" ht="15.75" customHeight="1">
      <c r="A380" s="2">
        <v>5.0</v>
      </c>
      <c r="B380" s="2" t="s">
        <v>1160</v>
      </c>
      <c r="C380" s="2" t="s">
        <v>1161</v>
      </c>
      <c r="D380" s="2" t="s">
        <v>47</v>
      </c>
      <c r="E380" s="2" t="s">
        <v>14</v>
      </c>
      <c r="F380" s="2" t="s">
        <v>15</v>
      </c>
      <c r="G380" s="2" t="s">
        <v>337</v>
      </c>
      <c r="H380" s="2" t="s">
        <v>338</v>
      </c>
      <c r="I380" s="2" t="str">
        <f>IFERROR(__xludf.DUMMYFUNCTION("GOOGLETRANSLATE(C380,""fr"",""en"")"),"I am satisfied with your service and the ergonomics (architecture) of your website and the speed of response, I could advise my loved ones to come and subscribe their insurance at home;")</f>
        <v>I am satisfied with your service and the ergonomics (architecture) of your website and the speed of response, I could advise my loved ones to come and subscribe their insurance at home;</v>
      </c>
    </row>
    <row r="381" ht="15.75" customHeight="1">
      <c r="A381" s="2">
        <v>4.0</v>
      </c>
      <c r="B381" s="2" t="s">
        <v>1162</v>
      </c>
      <c r="C381" s="2" t="s">
        <v>1163</v>
      </c>
      <c r="D381" s="2" t="s">
        <v>13</v>
      </c>
      <c r="E381" s="2" t="s">
        <v>14</v>
      </c>
      <c r="F381" s="2" t="s">
        <v>15</v>
      </c>
      <c r="G381" s="2" t="s">
        <v>920</v>
      </c>
      <c r="H381" s="2" t="s">
        <v>60</v>
      </c>
      <c r="I381" s="2" t="str">
        <f>IFERROR(__xludf.DUMMYFUNCTION("GOOGLETRANSLATE(C381,""fr"",""en"")"),"Very practical, fast and clear site. All the options are available to you, all you have to do is choose.
We make sure in 5 minutes
I am very satisfied with my insurance.")</f>
        <v>Very practical, fast and clear site. All the options are available to you, all you have to do is choose.
We make sure in 5 minutes
I am very satisfied with my insurance.</v>
      </c>
    </row>
    <row r="382" ht="15.75" customHeight="1">
      <c r="A382" s="2">
        <v>2.0</v>
      </c>
      <c r="B382" s="2" t="s">
        <v>1164</v>
      </c>
      <c r="C382" s="2" t="s">
        <v>1165</v>
      </c>
      <c r="D382" s="2" t="s">
        <v>483</v>
      </c>
      <c r="E382" s="2" t="s">
        <v>21</v>
      </c>
      <c r="F382" s="2" t="s">
        <v>15</v>
      </c>
      <c r="G382" s="2" t="s">
        <v>1166</v>
      </c>
      <c r="H382" s="2" t="s">
        <v>343</v>
      </c>
      <c r="I382" s="2" t="str">
        <f>IFERROR(__xludf.DUMMYFUNCTION("GOOGLETRANSLATE(C382,""fr"",""en"")"),"The prices have increased without being warned. Inadmissible!
We must rather be rewarded not punished because of the financial losses of the mutual.")</f>
        <v>The prices have increased without being warned. Inadmissible!
We must rather be rewarded not punished because of the financial losses of the mutual.</v>
      </c>
    </row>
    <row r="383" ht="15.75" customHeight="1">
      <c r="A383" s="2">
        <v>3.0</v>
      </c>
      <c r="B383" s="2" t="s">
        <v>1167</v>
      </c>
      <c r="C383" s="2" t="s">
        <v>1168</v>
      </c>
      <c r="D383" s="2" t="s">
        <v>13</v>
      </c>
      <c r="E383" s="2" t="s">
        <v>14</v>
      </c>
      <c r="F383" s="2" t="s">
        <v>15</v>
      </c>
      <c r="G383" s="2" t="s">
        <v>201</v>
      </c>
      <c r="H383" s="2" t="s">
        <v>201</v>
      </c>
      <c r="I383" s="2" t="str">
        <f>IFERROR(__xludf.DUMMYFUNCTION("GOOGLETRANSLATE(C383,""fr"",""en"")"),"I find the formula interesting, I will compare with another insurance and I will probably subscribe.
For the moment, I have not made my decision ...")</f>
        <v>I find the formula interesting, I will compare with another insurance and I will probably subscribe.
For the moment, I have not made my decision ...</v>
      </c>
    </row>
    <row r="384" ht="15.75" customHeight="1">
      <c r="A384" s="2">
        <v>4.0</v>
      </c>
      <c r="B384" s="2" t="s">
        <v>1169</v>
      </c>
      <c r="C384" s="2" t="s">
        <v>1170</v>
      </c>
      <c r="D384" s="2" t="s">
        <v>47</v>
      </c>
      <c r="E384" s="2" t="s">
        <v>14</v>
      </c>
      <c r="F384" s="2" t="s">
        <v>15</v>
      </c>
      <c r="G384" s="2" t="s">
        <v>114</v>
      </c>
      <c r="H384" s="2" t="s">
        <v>17</v>
      </c>
      <c r="I384" s="2" t="str">
        <f>IFERROR(__xludf.DUMMYFUNCTION("GOOGLETRANSLATE(C384,""fr"",""en"")"),"I recommend this insurance. Correct, and competitive price, quickly inform, reception and correct apart from the telephone line which does not pass very well, 3 vehicles at home.")</f>
        <v>I recommend this insurance. Correct, and competitive price, quickly inform, reception and correct apart from the telephone line which does not pass very well, 3 vehicles at home.</v>
      </c>
    </row>
    <row r="385" ht="15.75" customHeight="1">
      <c r="A385" s="2">
        <v>5.0</v>
      </c>
      <c r="B385" s="2" t="s">
        <v>1171</v>
      </c>
      <c r="C385" s="2" t="s">
        <v>1172</v>
      </c>
      <c r="D385" s="2" t="s">
        <v>47</v>
      </c>
      <c r="E385" s="2" t="s">
        <v>14</v>
      </c>
      <c r="F385" s="2" t="s">
        <v>15</v>
      </c>
      <c r="G385" s="2" t="s">
        <v>130</v>
      </c>
      <c r="H385" s="2" t="s">
        <v>60</v>
      </c>
      <c r="I385" s="2" t="str">
        <f>IFERROR(__xludf.DUMMYFUNCTION("GOOGLETRANSLATE(C385,""fr"",""en"")"),"The prices are unbeatable, the staff very courteous and professional. The subscription was done quickly and we did not take for a pigeon, which is quite rare, alas, nowadays. I recommend.")</f>
        <v>The prices are unbeatable, the staff very courteous and professional. The subscription was done quickly and we did not take for a pigeon, which is quite rare, alas, nowadays. I recommend.</v>
      </c>
    </row>
    <row r="386" ht="15.75" customHeight="1">
      <c r="A386" s="2">
        <v>3.0</v>
      </c>
      <c r="B386" s="2" t="s">
        <v>1173</v>
      </c>
      <c r="C386" s="2" t="s">
        <v>1174</v>
      </c>
      <c r="D386" s="2" t="s">
        <v>63</v>
      </c>
      <c r="E386" s="2" t="s">
        <v>14</v>
      </c>
      <c r="F386" s="2" t="s">
        <v>15</v>
      </c>
      <c r="G386" s="2" t="s">
        <v>219</v>
      </c>
      <c r="H386" s="2" t="s">
        <v>220</v>
      </c>
      <c r="I386" s="2" t="str">
        <f>IFERROR(__xludf.DUMMYFUNCTION("GOOGLETRANSLATE(C386,""fr"",""en"")"),"After a claim that immobilized my vehicle at a mechanic far from my home, I used a train ticket to get my vehicle. I sent this ticket to my insurer (to the address that was provided to me). It's been a month. To date, I have neither reimbursement nor news"&amp;" (I contacted the insurer twice by email) ... What to do?")</f>
        <v>After a claim that immobilized my vehicle at a mechanic far from my home, I used a train ticket to get my vehicle. I sent this ticket to my insurer (to the address that was provided to me). It's been a month. To date, I have neither reimbursement nor news (I contacted the insurer twice by email) ... What to do?</v>
      </c>
    </row>
    <row r="387" ht="15.75" customHeight="1">
      <c r="A387" s="2">
        <v>1.0</v>
      </c>
      <c r="B387" s="2" t="s">
        <v>1175</v>
      </c>
      <c r="C387" s="2" t="s">
        <v>1176</v>
      </c>
      <c r="D387" s="2" t="s">
        <v>781</v>
      </c>
      <c r="E387" s="2" t="s">
        <v>21</v>
      </c>
      <c r="F387" s="2" t="s">
        <v>15</v>
      </c>
      <c r="G387" s="2" t="s">
        <v>1177</v>
      </c>
      <c r="H387" s="2" t="s">
        <v>343</v>
      </c>
      <c r="I387" s="2" t="str">
        <f>IFERROR(__xludf.DUMMYFUNCTION("GOOGLETRANSLATE(C387,""fr"",""en"")"),"Very unhappy with this mutual, the service is disastrous. The processing times of requests and complaints via the insured space are terribly long. As for contacts by phone, you must regularly wait 15 minutes before you can contact an advisor. The worst is"&amp;" still the bad will put by Mercer to reimburse me. In short, a mutual to avoid at all costs.
 ")</f>
        <v>Very unhappy with this mutual, the service is disastrous. The processing times of requests and complaints via the insured space are terribly long. As for contacts by phone, you must regularly wait 15 minutes before you can contact an advisor. The worst is still the bad will put by Mercer to reimburse me. In short, a mutual to avoid at all costs.
 </v>
      </c>
    </row>
    <row r="388" ht="15.75" customHeight="1">
      <c r="A388" s="2">
        <v>5.0</v>
      </c>
      <c r="B388" s="2" t="s">
        <v>1178</v>
      </c>
      <c r="C388" s="2" t="s">
        <v>1179</v>
      </c>
      <c r="D388" s="2" t="s">
        <v>13</v>
      </c>
      <c r="E388" s="2" t="s">
        <v>14</v>
      </c>
      <c r="F388" s="2" t="s">
        <v>15</v>
      </c>
      <c r="G388" s="2" t="s">
        <v>1180</v>
      </c>
      <c r="H388" s="2" t="s">
        <v>69</v>
      </c>
      <c r="I388" s="2" t="str">
        <f>IFERROR(__xludf.DUMMYFUNCTION("GOOGLETRANSLATE(C388,""fr"",""en"")"),"Perfect and fast
Clear and simple with the possibility of going back without losing anything that was mentioned. I will recommend your agency")</f>
        <v>Perfect and fast
Clear and simple with the possibility of going back without losing anything that was mentioned. I will recommend your agency</v>
      </c>
    </row>
    <row r="389" ht="15.75" customHeight="1">
      <c r="A389" s="2">
        <v>1.0</v>
      </c>
      <c r="B389" s="2" t="s">
        <v>1181</v>
      </c>
      <c r="C389" s="2" t="s">
        <v>1182</v>
      </c>
      <c r="D389" s="2" t="s">
        <v>803</v>
      </c>
      <c r="E389" s="2" t="s">
        <v>21</v>
      </c>
      <c r="F389" s="2" t="s">
        <v>15</v>
      </c>
      <c r="G389" s="2" t="s">
        <v>1183</v>
      </c>
      <c r="H389" s="2" t="s">
        <v>56</v>
      </c>
      <c r="I389" s="2" t="str">
        <f>IFERROR(__xludf.DUMMYFUNCTION("GOOGLETRANSLATE(C389,""fr"",""en"")"),"Following an unforeseen hospitalization, on May 13, 2021, and following the intervention of the social worker, due to an advanced DMLA which prevents me from reading any document, I received from the Advisor AG2R, a proposal to terminate the contract in r"&amp;"eference, as well as 2 new contract offers.
The latter had been contacted, at the end of obtaining a third -party payment card, and knowing the level of management of medical and hospital care which I have the right to benefit from my membership via heal"&amp;"th, a card that I did not never received.
However, on May 11, 2021, following the request of another social worker during a previous hospitalization, via Health had sent a certificate of membership in Via Sante, without level of care for hospital service"&amp;"s or medical.
I therefore give up today to contact customer advisers.
Since then, thanks to the gaze of a friend, who posts this message on my behalf, I note that, since April 23, 2019, no more refund of my medical expenses has been fired, my samples fo"&amp;"r membership, them, have never stopped.
Despite the precious help of 2 social workers, the AG2R advisers have persisted in answering them, that my Ameli account was not created, remote transmission could not work, without any other explanation.
However,"&amp;" Social Security sent me all the statements of the years 2019, 2020, and 2021, the reimbursements never ceased, on their part, with 100%care, due to another handicap .
Impossible to know why, after so many years, remote transmission has been interrupted?"&amp;"
On June 13, with the help of my friend, I took care to retransmit a certificate of my social security rights ever claimed by Via Sante, through my AG2R account, accompanied by an interrogative message very short.
The following June 15, one of the very "&amp;"charming advisers, reminded me that he did not understand this code of blocking the remote transmission, and that he made my file up in his hierarchy.
Today, and after consulting my personal space on the AG2R site, nothing has moved. I still cannot recov"&amp;"er my paid third party card.
I do not explain this situation, but I want to continue to believe that it is a computer or administrative ""bug"", following the latest technical developments in the dematerialization of services of which AG2R is liable for "&amp;"these members.
The responses of the advisers are more than insufficient, completely inconsistent, even abusive, faced with social workers who strive to help elderly invalid people, a quality of service far below the image of AG2R Global.
By the simple c"&amp;"ontract number via health 57044687, my insurer will be able to find all the information concerning me, so I do not wish to receive the same answer here as those already received many times .... always delaying a concrete act.
The contact details of this "&amp;"post are those of the friend who helps me today in my administrative procedures.
")</f>
        <v>Following an unforeseen hospitalization, on May 13, 2021, and following the intervention of the social worker, due to an advanced DMLA which prevents me from reading any document, I received from the Advisor AG2R, a proposal to terminate the contract in reference, as well as 2 new contract offers.
The latter had been contacted, at the end of obtaining a third -party payment card, and knowing the level of management of medical and hospital care which I have the right to benefit from my membership via health, a card that I did not never received.
However, on May 11, 2021, following the request of another social worker during a previous hospitalization, via Health had sent a certificate of membership in Via Sante, without level of care for hospital services or medical.
I therefore give up today to contact customer advisers.
Since then, thanks to the gaze of a friend, who posts this message on my behalf, I note that, since April 23, 2019, no more refund of my medical expenses has been fired, my samples for membership, them, have never stopped.
Despite the precious help of 2 social workers, the AG2R advisers have persisted in answering them, that my Ameli account was not created, remote transmission could not work, without any other explanation.
However, Social Security sent me all the statements of the years 2019, 2020, and 2021, the reimbursements never ceased, on their part, with 100%care, due to another handicap .
Impossible to know why, after so many years, remote transmission has been interrupted?
On June 13, with the help of my friend, I took care to retransmit a certificate of my social security rights ever claimed by Via Sante, through my AG2R account, accompanied by an interrogative message very short.
The following June 15, one of the very charming advisers, reminded me that he did not understand this code of blocking the remote transmission, and that he made my file up in his hierarchy.
Today, and after consulting my personal space on the AG2R site, nothing has moved. I still cannot recover my paid third party card.
I do not explain this situation, but I want to continue to believe that it is a computer or administrative "bug", following the latest technical developments in the dematerialization of services of which AG2R is liable for these members.
The responses of the advisers are more than insufficient, completely inconsistent, even abusive, faced with social workers who strive to help elderly invalid people, a quality of service far below the image of AG2R Global.
By the simple contract number via health 57044687, my insurer will be able to find all the information concerning me, so I do not wish to receive the same answer here as those already received many times .... always delaying a concrete act.
The contact details of this post are those of the friend who helps me today in my administrative procedures.
</v>
      </c>
    </row>
    <row r="390" ht="15.75" customHeight="1">
      <c r="A390" s="2">
        <v>2.0</v>
      </c>
      <c r="B390" s="2" t="s">
        <v>1184</v>
      </c>
      <c r="C390" s="2" t="s">
        <v>1185</v>
      </c>
      <c r="D390" s="2" t="s">
        <v>13</v>
      </c>
      <c r="E390" s="2" t="s">
        <v>14</v>
      </c>
      <c r="F390" s="2" t="s">
        <v>15</v>
      </c>
      <c r="G390" s="2" t="s">
        <v>1186</v>
      </c>
      <c r="H390" s="2" t="s">
        <v>121</v>
      </c>
      <c r="I390" s="2" t="str">
        <f>IFERROR(__xludf.DUMMYFUNCTION("GOOGLETRANSLATE(C390,""fr"",""en"")"),"Insured any risk and not responsible for the ORS of an accident.
It takes 1 week to have an appointment at the garage just to take photos and send them to the expert.
In the meantime, no loan car while I subscribed to the offer .... so blocked (+1 week "&amp;"just to take photos) forced to put leave because I can't go to work.
Warning !!! Even after that the vehicle will still not be taken into account by the garage no .... it would be too good.
It's never their faults, no commercial gesture .... Ah if you c"&amp;"an rent a car at your expense and it reimburses you after ... release 420 euros at the end of my pocket when I am insured any risk And subscribed for the loan car.
I do not recommend this insurance at all.
Better paying a little more expensive from anot"&amp;"her insurer.
I finish this business and Ciao Direct Assurance!")</f>
        <v>Insured any risk and not responsible for the ORS of an accident.
It takes 1 week to have an appointment at the garage just to take photos and send them to the expert.
In the meantime, no loan car while I subscribed to the offer .... so blocked (+1 week just to take photos) forced to put leave because I can't go to work.
Warning !!! Even after that the vehicle will still not be taken into account by the garage no .... it would be too good.
It's never their faults, no commercial gesture .... Ah if you can rent a car at your expense and it reimburses you after ... release 420 euros at the end of my pocket when I am insured any risk And subscribed for the loan car.
I do not recommend this insurance at all.
Better paying a little more expensive from another insurer.
I finish this business and Ciao Direct Assurance!</v>
      </c>
    </row>
    <row r="391" ht="15.75" customHeight="1">
      <c r="A391" s="2">
        <v>5.0</v>
      </c>
      <c r="B391" s="2" t="s">
        <v>1187</v>
      </c>
      <c r="C391" s="2" t="s">
        <v>1188</v>
      </c>
      <c r="D391" s="2" t="s">
        <v>97</v>
      </c>
      <c r="E391" s="2" t="s">
        <v>43</v>
      </c>
      <c r="F391" s="2" t="s">
        <v>15</v>
      </c>
      <c r="G391" s="2" t="s">
        <v>678</v>
      </c>
      <c r="H391" s="2" t="s">
        <v>56</v>
      </c>
      <c r="I391" s="2" t="str">
        <f>IFERROR(__xludf.DUMMYFUNCTION("GOOGLETRANSLATE(C391,""fr"",""en"")"),"I am satisfied with the effective fast service I hope it continues as that and afterwards if you also insure the cars why not insure my car at home")</f>
        <v>I am satisfied with the effective fast service I hope it continues as that and afterwards if you also insure the cars why not insure my car at home</v>
      </c>
    </row>
    <row r="392" ht="15.75" customHeight="1">
      <c r="A392" s="2">
        <v>1.0</v>
      </c>
      <c r="B392" s="2" t="s">
        <v>1189</v>
      </c>
      <c r="C392" s="2" t="s">
        <v>1190</v>
      </c>
      <c r="D392" s="2" t="s">
        <v>13</v>
      </c>
      <c r="E392" s="2" t="s">
        <v>14</v>
      </c>
      <c r="F392" s="2" t="s">
        <v>15</v>
      </c>
      <c r="G392" s="2" t="s">
        <v>111</v>
      </c>
      <c r="H392" s="2" t="s">
        <v>99</v>
      </c>
      <c r="I392" s="2" t="str">
        <f>IFERROR(__xludf.DUMMYFUNCTION("GOOGLETRANSLATE(C392,""fr"",""en"")"),"Bad communication with the telephone service I am very unhappy I do not understand their services and their lack of professionalism")</f>
        <v>Bad communication with the telephone service I am very unhappy I do not understand their services and their lack of professionalism</v>
      </c>
    </row>
    <row r="393" ht="15.75" customHeight="1">
      <c r="A393" s="2">
        <v>5.0</v>
      </c>
      <c r="B393" s="2" t="s">
        <v>1191</v>
      </c>
      <c r="C393" s="2" t="s">
        <v>1192</v>
      </c>
      <c r="D393" s="2" t="s">
        <v>890</v>
      </c>
      <c r="E393" s="2" t="s">
        <v>32</v>
      </c>
      <c r="F393" s="2" t="s">
        <v>15</v>
      </c>
      <c r="G393" s="2" t="s">
        <v>848</v>
      </c>
      <c r="H393" s="2" t="s">
        <v>99</v>
      </c>
      <c r="I393" s="2" t="str">
        <f>IFERROR(__xludf.DUMMYFUNCTION("GOOGLETRANSLATE(C393,""fr"",""en"")"),"I am satisfied with the service, the telephone reception, the level of responses and the level of listening of my advisor (Jean Martin Saw).
I recommend!!")</f>
        <v>I am satisfied with the service, the telephone reception, the level of responses and the level of listening of my advisor (Jean Martin Saw).
I recommend!!</v>
      </c>
    </row>
    <row r="394" ht="15.75" customHeight="1">
      <c r="A394" s="2">
        <v>5.0</v>
      </c>
      <c r="B394" s="2" t="s">
        <v>1193</v>
      </c>
      <c r="C394" s="2" t="s">
        <v>1194</v>
      </c>
      <c r="D394" s="2" t="s">
        <v>13</v>
      </c>
      <c r="E394" s="2" t="s">
        <v>14</v>
      </c>
      <c r="F394" s="2" t="s">
        <v>15</v>
      </c>
      <c r="G394" s="2" t="s">
        <v>1195</v>
      </c>
      <c r="H394" s="2" t="s">
        <v>87</v>
      </c>
      <c r="I394" s="2" t="str">
        <f>IFERROR(__xludf.DUMMYFUNCTION("GOOGLETRANSLATE(C394,""fr"",""en"")"),"Perfect but a shame to be taken monthly, and that for no reason a month jumps and the following month we are taken from the double to catch up. Without being warned in addition ...")</f>
        <v>Perfect but a shame to be taken monthly, and that for no reason a month jumps and the following month we are taken from the double to catch up. Without being warned in addition ...</v>
      </c>
    </row>
    <row r="395" ht="15.75" customHeight="1">
      <c r="A395" s="2">
        <v>4.0</v>
      </c>
      <c r="B395" s="2" t="s">
        <v>1196</v>
      </c>
      <c r="C395" s="2" t="s">
        <v>1197</v>
      </c>
      <c r="D395" s="2" t="s">
        <v>13</v>
      </c>
      <c r="E395" s="2" t="s">
        <v>14</v>
      </c>
      <c r="F395" s="2" t="s">
        <v>15</v>
      </c>
      <c r="G395" s="2" t="s">
        <v>111</v>
      </c>
      <c r="H395" s="2" t="s">
        <v>99</v>
      </c>
      <c r="I395" s="2" t="str">
        <f>IFERROR(__xludf.DUMMYFUNCTION("GOOGLETRANSLATE(C395,""fr"",""en"")"),"I am a little disappointed that my quote to increase this year. Knowing that I have been a loyal customer since 2016 without a claim, without incident. But a great insurance service.")</f>
        <v>I am a little disappointed that my quote to increase this year. Knowing that I have been a loyal customer since 2016 without a claim, without incident. But a great insurance service.</v>
      </c>
    </row>
    <row r="396" ht="15.75" customHeight="1">
      <c r="A396" s="2">
        <v>1.0</v>
      </c>
      <c r="B396" s="2" t="s">
        <v>1198</v>
      </c>
      <c r="C396" s="2" t="s">
        <v>1199</v>
      </c>
      <c r="D396" s="2" t="s">
        <v>13</v>
      </c>
      <c r="E396" s="2" t="s">
        <v>14</v>
      </c>
      <c r="F396" s="2" t="s">
        <v>15</v>
      </c>
      <c r="G396" s="2" t="s">
        <v>1200</v>
      </c>
      <c r="H396" s="2" t="s">
        <v>150</v>
      </c>
      <c r="I396" s="2" t="str">
        <f>IFERROR(__xludf.DUMMYFUNCTION("GOOGLETRANSLATE(C396,""fr"",""en"")"),"Total lack of professionalism
I am awaiting termination of my auto contract since October 2018 despite 2 recommended letters. They are unable to update my file (be saying techinic problem) suddenly I am blocking me elsewhere
The equally incompetent and "&amp;"useless Moroccan telephonic platform that makes you waste all your time. All this looks like an entouroupe to keep its clients forced. In this obliged to continue with a lawyer to get out of this spiral")</f>
        <v>Total lack of professionalism
I am awaiting termination of my auto contract since October 2018 despite 2 recommended letters. They are unable to update my file (be saying techinic problem) suddenly I am blocking me elsewhere
The equally incompetent and useless Moroccan telephonic platform that makes you waste all your time. All this looks like an entouroupe to keep its clients forced. In this obliged to continue with a lawyer to get out of this spiral</v>
      </c>
    </row>
    <row r="397" ht="15.75" customHeight="1">
      <c r="A397" s="2">
        <v>2.0</v>
      </c>
      <c r="B397" s="2" t="s">
        <v>1201</v>
      </c>
      <c r="C397" s="2" t="s">
        <v>1202</v>
      </c>
      <c r="D397" s="2" t="s">
        <v>63</v>
      </c>
      <c r="E397" s="2" t="s">
        <v>77</v>
      </c>
      <c r="F397" s="2" t="s">
        <v>15</v>
      </c>
      <c r="G397" s="2" t="s">
        <v>362</v>
      </c>
      <c r="H397" s="2" t="s">
        <v>49</v>
      </c>
      <c r="I397" s="2" t="str">
        <f>IFERROR(__xludf.DUMMYFUNCTION("GOOGLETRANSLATE(C397,""fr"",""en"")"),"I terminate my contract started in 1982. The MAIF does not reimburse my radiators which have grid after a variation in tension ... and does not offer to repair them. Go hop! Bin after 6/7 years
Not very militant for a company that presents itself as comm"&amp;"itted.
We are waiting for any mutual solidarity ... The maif algorithm said no.
?????? Sinister response to your disaster.")</f>
        <v>I terminate my contract started in 1982. The MAIF does not reimburse my radiators which have grid after a variation in tension ... and does not offer to repair them. Go hop! Bin after 6/7 years
Not very militant for a company that presents itself as committed.
We are waiting for any mutual solidarity ... The maif algorithm said no.
?????? Sinister response to your disaster.</v>
      </c>
    </row>
    <row r="398" ht="15.75" customHeight="1">
      <c r="A398" s="2">
        <v>4.0</v>
      </c>
      <c r="B398" s="2" t="s">
        <v>1203</v>
      </c>
      <c r="C398" s="2" t="s">
        <v>1204</v>
      </c>
      <c r="D398" s="2" t="s">
        <v>47</v>
      </c>
      <c r="E398" s="2" t="s">
        <v>14</v>
      </c>
      <c r="F398" s="2" t="s">
        <v>15</v>
      </c>
      <c r="G398" s="2" t="s">
        <v>1205</v>
      </c>
      <c r="H398" s="2" t="s">
        <v>99</v>
      </c>
      <c r="I398" s="2" t="str">
        <f>IFERROR(__xludf.DUMMYFUNCTION("GOOGLETRANSLATE(C398,""fr"",""en"")"),"I am satisfied with the service offered simple effective prices do not suit me too excessive for a satisfied first insurance
Simple efficient and quick.")</f>
        <v>I am satisfied with the service offered simple effective prices do not suit me too excessive for a satisfied first insurance
Simple efficient and quick.</v>
      </c>
    </row>
    <row r="399" ht="15.75" customHeight="1">
      <c r="A399" s="2">
        <v>2.0</v>
      </c>
      <c r="B399" s="2" t="s">
        <v>1206</v>
      </c>
      <c r="C399" s="2" t="s">
        <v>1207</v>
      </c>
      <c r="D399" s="2" t="s">
        <v>47</v>
      </c>
      <c r="E399" s="2" t="s">
        <v>14</v>
      </c>
      <c r="F399" s="2" t="s">
        <v>15</v>
      </c>
      <c r="G399" s="2" t="s">
        <v>1208</v>
      </c>
      <c r="H399" s="2" t="s">
        <v>338</v>
      </c>
      <c r="I399" s="2" t="str">
        <f>IFERROR(__xludf.DUMMYFUNCTION("GOOGLETRANSLATE(C399,""fr"",""en"")"),"I had a very unpleasant advisor on the phone. Which takes up the disillusioned air. Unbearable I had to shorten the conversation ... to God the olive assurance;)")</f>
        <v>I had a very unpleasant advisor on the phone. Which takes up the disillusioned air. Unbearable I had to shorten the conversation ... to God the olive assurance;)</v>
      </c>
    </row>
    <row r="400" ht="15.75" customHeight="1">
      <c r="A400" s="2">
        <v>3.0</v>
      </c>
      <c r="B400" s="2" t="s">
        <v>1209</v>
      </c>
      <c r="C400" s="2" t="s">
        <v>1210</v>
      </c>
      <c r="D400" s="2" t="s">
        <v>1046</v>
      </c>
      <c r="E400" s="2" t="s">
        <v>138</v>
      </c>
      <c r="F400" s="2" t="s">
        <v>15</v>
      </c>
      <c r="G400" s="2" t="s">
        <v>1211</v>
      </c>
      <c r="H400" s="2" t="s">
        <v>572</v>
      </c>
      <c r="I400" s="2" t="str">
        <f>IFERROR(__xludf.DUMMYFUNCTION("GOOGLETRANSLATE(C400,""fr"",""en"")"),"Never entrust the slightest euro to this company. They will deploy unimaginable talents so that you never pay you.")</f>
        <v>Never entrust the slightest euro to this company. They will deploy unimaginable talents so that you never pay you.</v>
      </c>
    </row>
    <row r="401" ht="15.75" customHeight="1">
      <c r="A401" s="2">
        <v>4.0</v>
      </c>
      <c r="B401" s="2" t="s">
        <v>1212</v>
      </c>
      <c r="C401" s="2" t="s">
        <v>1213</v>
      </c>
      <c r="D401" s="2" t="s">
        <v>47</v>
      </c>
      <c r="E401" s="2" t="s">
        <v>14</v>
      </c>
      <c r="F401" s="2" t="s">
        <v>15</v>
      </c>
      <c r="G401" s="2" t="s">
        <v>1214</v>
      </c>
      <c r="H401" s="2" t="s">
        <v>338</v>
      </c>
      <c r="I401" s="2" t="str">
        <f>IFERROR(__xludf.DUMMYFUNCTION("GOOGLETRANSLATE(C401,""fr"",""en"")"),"Well and very fast! Only it would be nice not to apply a price so different from the annual means. The difference here is more than 150 € (more than one monthly in +)")</f>
        <v>Well and very fast! Only it would be nice not to apply a price so different from the annual means. The difference here is more than 150 € (more than one monthly in +)</v>
      </c>
    </row>
    <row r="402" ht="15.75" customHeight="1">
      <c r="A402" s="2">
        <v>1.0</v>
      </c>
      <c r="B402" s="2" t="s">
        <v>1215</v>
      </c>
      <c r="C402" s="2" t="s">
        <v>1216</v>
      </c>
      <c r="D402" s="2" t="s">
        <v>253</v>
      </c>
      <c r="E402" s="2" t="s">
        <v>21</v>
      </c>
      <c r="F402" s="2" t="s">
        <v>15</v>
      </c>
      <c r="G402" s="2" t="s">
        <v>1017</v>
      </c>
      <c r="H402" s="2" t="s">
        <v>17</v>
      </c>
      <c r="I402" s="2" t="str">
        <f>IFERROR(__xludf.DUMMYFUNCTION("GOOGLETRANSLATE(C402,""fr"",""en"")"),"Very bad mutual mutual a lot of bad reimbursement of unfit interlocutors and above all check the contracts before signing personal I got trapped")</f>
        <v>Very bad mutual mutual a lot of bad reimbursement of unfit interlocutors and above all check the contracts before signing personal I got trapped</v>
      </c>
    </row>
    <row r="403" ht="15.75" customHeight="1">
      <c r="A403" s="2">
        <v>5.0</v>
      </c>
      <c r="B403" s="2" t="s">
        <v>1217</v>
      </c>
      <c r="C403" s="2" t="s">
        <v>1218</v>
      </c>
      <c r="D403" s="2" t="s">
        <v>47</v>
      </c>
      <c r="E403" s="2" t="s">
        <v>14</v>
      </c>
      <c r="F403" s="2" t="s">
        <v>15</v>
      </c>
      <c r="G403" s="2" t="s">
        <v>1050</v>
      </c>
      <c r="H403" s="2" t="s">
        <v>69</v>
      </c>
      <c r="I403" s="2" t="str">
        <f>IFERROR(__xludf.DUMMYFUNCTION("GOOGLETRANSLATE(C403,""fr"",""en"")"),"I am satisfied with the service and the price offered as well as the contact with the customer manager I had on the phone. Speed, kindness, efficiency.")</f>
        <v>I am satisfied with the service and the price offered as well as the contact with the customer manager I had on the phone. Speed, kindness, efficiency.</v>
      </c>
    </row>
    <row r="404" ht="15.75" customHeight="1">
      <c r="A404" s="2">
        <v>5.0</v>
      </c>
      <c r="B404" s="2" t="s">
        <v>1219</v>
      </c>
      <c r="C404" s="2" t="s">
        <v>1220</v>
      </c>
      <c r="D404" s="2" t="s">
        <v>13</v>
      </c>
      <c r="E404" s="2" t="s">
        <v>14</v>
      </c>
      <c r="F404" s="2" t="s">
        <v>15</v>
      </c>
      <c r="G404" s="2" t="s">
        <v>1221</v>
      </c>
      <c r="H404" s="2" t="s">
        <v>28</v>
      </c>
      <c r="I404" s="2" t="str">
        <f>IFERROR(__xludf.DUMMYFUNCTION("GOOGLETRANSLATE(C404,""fr"",""en"")"),"Super practical and easy to subscribe
I hope I will not be disappointed afterwards
The interface is easy to access and the choices are rather instinctive")</f>
        <v>Super practical and easy to subscribe
I hope I will not be disappointed afterwards
The interface is easy to access and the choices are rather instinctive</v>
      </c>
    </row>
    <row r="405" ht="15.75" customHeight="1">
      <c r="A405" s="2">
        <v>1.0</v>
      </c>
      <c r="B405" s="2" t="s">
        <v>1222</v>
      </c>
      <c r="C405" s="2" t="s">
        <v>1223</v>
      </c>
      <c r="D405" s="2" t="s">
        <v>329</v>
      </c>
      <c r="E405" s="2" t="s">
        <v>138</v>
      </c>
      <c r="F405" s="2" t="s">
        <v>15</v>
      </c>
      <c r="G405" s="2" t="s">
        <v>1224</v>
      </c>
      <c r="H405" s="2" t="s">
        <v>565</v>
      </c>
      <c r="I405" s="2" t="str">
        <f>IFERROR(__xludf.DUMMYFUNCTION("GOOGLETRANSLATE(C405,""fr"",""en"")"),"Three years already, an insurance contract impossible to buy!
Travel to the Caisse d'Epargne, telephone communications, emails, registered mail with A.R;
always nothing.
The contract takes its course ... and no buyout or reimbursement.
")</f>
        <v>Three years already, an insurance contract impossible to buy!
Travel to the Caisse d'Epargne, telephone communications, emails, registered mail with A.R;
always nothing.
The contract takes its course ... and no buyout or reimbursement.
</v>
      </c>
    </row>
    <row r="406" ht="15.75" customHeight="1">
      <c r="A406" s="2">
        <v>5.0</v>
      </c>
      <c r="B406" s="2" t="s">
        <v>1225</v>
      </c>
      <c r="C406" s="2" t="s">
        <v>1226</v>
      </c>
      <c r="D406" s="2" t="s">
        <v>97</v>
      </c>
      <c r="E406" s="2" t="s">
        <v>43</v>
      </c>
      <c r="F406" s="2" t="s">
        <v>15</v>
      </c>
      <c r="G406" s="2" t="s">
        <v>457</v>
      </c>
      <c r="H406" s="2" t="s">
        <v>56</v>
      </c>
      <c r="I406" s="2" t="str">
        <f>IFERROR(__xludf.DUMMYFUNCTION("GOOGLETRANSLATE(C406,""fr"",""en"")"),"I am satisfied with your service and thank you for your confidence and wish you a good day and see you very soon.")</f>
        <v>I am satisfied with your service and thank you for your confidence and wish you a good day and see you very soon.</v>
      </c>
    </row>
    <row r="407" ht="15.75" customHeight="1">
      <c r="A407" s="2">
        <v>4.0</v>
      </c>
      <c r="B407" s="2" t="s">
        <v>1227</v>
      </c>
      <c r="C407" s="2" t="s">
        <v>1228</v>
      </c>
      <c r="D407" s="2" t="s">
        <v>223</v>
      </c>
      <c r="E407" s="2" t="s">
        <v>14</v>
      </c>
      <c r="F407" s="2" t="s">
        <v>15</v>
      </c>
      <c r="G407" s="2" t="s">
        <v>1229</v>
      </c>
      <c r="H407" s="2" t="s">
        <v>83</v>
      </c>
      <c r="I407" s="2" t="str">
        <f>IFERROR(__xludf.DUMMYFUNCTION("GOOGLETRANSLATE(C407,""fr"",""en"")"),"Personalized advice ... Support ... A real served this professional customer and attentive to the customer ... Tais support ...")</f>
        <v>Personalized advice ... Support ... A real served this professional customer and attentive to the customer ... Tais support ...</v>
      </c>
    </row>
    <row r="408" ht="15.75" customHeight="1">
      <c r="A408" s="2">
        <v>1.0</v>
      </c>
      <c r="B408" s="2" t="s">
        <v>1230</v>
      </c>
      <c r="C408" s="2" t="s">
        <v>1231</v>
      </c>
      <c r="D408" s="2" t="s">
        <v>253</v>
      </c>
      <c r="E408" s="2" t="s">
        <v>21</v>
      </c>
      <c r="F408" s="2" t="s">
        <v>15</v>
      </c>
      <c r="G408" s="2" t="s">
        <v>1232</v>
      </c>
      <c r="H408" s="2" t="s">
        <v>805</v>
      </c>
      <c r="I408" s="2" t="str">
        <f>IFERROR(__xludf.DUMMYFUNCTION("GOOGLETRANSLATE(C408,""fr"",""en"")"),"Insatistrate from start to finish with this mutual !!!!
PB to termination: I apply a notice when I leave for a mandatory business mutual !! owe me money !!
told me: at Néoliane we apply a 13 -day notice and the mutual is terminated in the current month "&amp;"of which we sent our termination. (I wrote them and called them at mid December, the day when I received my certificate of the mandatory mutual insurance (entry in force in the company on November 21). They must therefore stop my mutual!
Since when is th"&amp;"e Neoliane law on French law?
 termination to join a business mutual
Since January 1, 2016, the collective mutual has become compulsory for all employees in the private sector.
While certain cases of membership exemption exist, for the majority of empl"&amp;"oyees, this membership in a business mutual is compulsory. In this case, you can send your termination letter at any time, without notice. Your mail must imperatively be accompanied by proof (provided by your employer), proving the compulsory nature of yo"&amp;"ur membership in the collective mutual subscribed by the company.
Your individual mutual insurance contract ends on the effective date of membership in your business mutual.
Source: https://mutuelle.dispofi.fr/resiliation-mutuelle/delai")</f>
        <v>Insatistrate from start to finish with this mutual !!!!
PB to termination: I apply a notice when I leave for a mandatory business mutual !! owe me money !!
told me: at Néoliane we apply a 13 -day notice and the mutual is terminated in the current month of which we sent our termination. (I wrote them and called them at mid December, the day when I received my certificate of the mandatory mutual insurance (entry in force in the company on November 21). They must therefore stop my mutual!
Since when is the Neoliane law on French law?
 termination to join a business mutual
Since January 1, 2016, the collective mutual has become compulsory for all employees in the private sector.
While certain cases of membership exemption exist, for the majority of employees, this membership in a business mutual is compulsory. In this case, you can send your termination letter at any time, without notice. Your mail must imperatively be accompanied by proof (provided by your employer), proving the compulsory nature of your membership in the collective mutual subscribed by the company.
Your individual mutual insurance contract ends on the effective date of membership in your business mutual.
Source: https://mutuelle.dispofi.fr/resiliation-mutuelle/delai</v>
      </c>
    </row>
    <row r="409" ht="15.75" customHeight="1">
      <c r="A409" s="2">
        <v>1.0</v>
      </c>
      <c r="B409" s="2" t="s">
        <v>1233</v>
      </c>
      <c r="C409" s="2" t="s">
        <v>1234</v>
      </c>
      <c r="D409" s="2" t="s">
        <v>26</v>
      </c>
      <c r="E409" s="2" t="s">
        <v>77</v>
      </c>
      <c r="F409" s="2" t="s">
        <v>15</v>
      </c>
      <c r="G409" s="2" t="s">
        <v>1235</v>
      </c>
      <c r="H409" s="2" t="s">
        <v>589</v>
      </c>
      <c r="I409" s="2" t="str">
        <f>IFERROR(__xludf.DUMMYFUNCTION("GOOGLETRANSLATE(C409,""fr"",""en"")"),"I strongly advise against! 513 euros were offered to me by the Macif for a water damage which damaged the entire Studio out of bathroom (kitchen + main room 20m2). Completely flooded everything had to be done again! In addition, the expert mandated by the"&amp;" Macif spent 5 months after my declaration to note the water damage, 5 months during which I could not rent my studio. Nor after her passage, since I still waited for several months their financial proposal to redo the work, naively thinking that she woul"&amp;"d be honest. But following the expertise, the Macif gave me this ridiculous proposal of 513 euros and ... a year later !!!! Finally, I had subscribed to a ""loss of rent"" guarantee which provides for payment of rents in cases like this where I cannot ren"&amp;"t my studio. The warranty is scheduled up to 1 year of loss of rents The Macif offered me compensation of 2 months of rents! Even though their procedures and their inertia forced me to wait a year before renting it. Faced with so much incompetence, see wo"&amp;"rse, I have just seized a lawyer against the Macif.")</f>
        <v>I strongly advise against! 513 euros were offered to me by the Macif for a water damage which damaged the entire Studio out of bathroom (kitchen + main room 20m2). Completely flooded everything had to be done again! In addition, the expert mandated by the Macif spent 5 months after my declaration to note the water damage, 5 months during which I could not rent my studio. Nor after her passage, since I still waited for several months their financial proposal to redo the work, naively thinking that she would be honest. But following the expertise, the Macif gave me this ridiculous proposal of 513 euros and ... a year later !!!! Finally, I had subscribed to a "loss of rent" guarantee which provides for payment of rents in cases like this where I cannot rent my studio. The warranty is scheduled up to 1 year of loss of rents The Macif offered me compensation of 2 months of rents! Even though their procedures and their inertia forced me to wait a year before renting it. Faced with so much incompetence, see worse, I have just seized a lawyer against the Macif.</v>
      </c>
    </row>
    <row r="410" ht="15.75" customHeight="1">
      <c r="A410" s="2">
        <v>2.0</v>
      </c>
      <c r="B410" s="2" t="s">
        <v>1236</v>
      </c>
      <c r="C410" s="2" t="s">
        <v>1237</v>
      </c>
      <c r="D410" s="2" t="s">
        <v>1238</v>
      </c>
      <c r="E410" s="2" t="s">
        <v>77</v>
      </c>
      <c r="F410" s="2" t="s">
        <v>15</v>
      </c>
      <c r="G410" s="2" t="s">
        <v>1239</v>
      </c>
      <c r="H410" s="2" t="s">
        <v>201</v>
      </c>
      <c r="I410" s="2" t="str">
        <f>IFERROR(__xludf.DUMMYFUNCTION("GOOGLETRANSLATE(C410,""fr"",""en"")"),"In the event of theft, the compensation service refuses to take into account all documents of evidence and justification of possession and value of jewelry other than the original invoice in your name! Photos, certificates of the master goldsmith having m"&amp;"ade jewelry with description and value, family jewelry given during their lifetime by your parents with original invoices in their name, nothing is taken into account and when you dispute you are simply informed that your contract is terminated !!!
Amagu"&amp;"iz now become Groupama who confirms this termination without other explanation or commercial proposal is to be avoided to be well assured !!!")</f>
        <v>In the event of theft, the compensation service refuses to take into account all documents of evidence and justification of possession and value of jewelry other than the original invoice in your name! Photos, certificates of the master goldsmith having made jewelry with description and value, family jewelry given during their lifetime by your parents with original invoices in their name, nothing is taken into account and when you dispute you are simply informed that your contract is terminated !!!
Amaguiz now become Groupama who confirms this termination without other explanation or commercial proposal is to be avoided to be well assured !!!</v>
      </c>
    </row>
    <row r="411" ht="15.75" customHeight="1">
      <c r="A411" s="2">
        <v>1.0</v>
      </c>
      <c r="B411" s="2" t="s">
        <v>1240</v>
      </c>
      <c r="C411" s="2" t="s">
        <v>1241</v>
      </c>
      <c r="D411" s="2" t="s">
        <v>37</v>
      </c>
      <c r="E411" s="2" t="s">
        <v>21</v>
      </c>
      <c r="F411" s="2" t="s">
        <v>15</v>
      </c>
      <c r="G411" s="2" t="s">
        <v>1242</v>
      </c>
      <c r="H411" s="2" t="s">
        <v>485</v>
      </c>
      <c r="I411" s="2" t="str">
        <f>IFERROR(__xludf.DUMMYFUNCTION("GOOGLETRANSLATE(C411,""fr"",""en"")"),"2 months to have my card.
Incompetent customer service and again, I remain polite.
Permanently bugged site.
I have never seen a same mutual ... and say that they dare to advertise each other on TV.
To avoid.")</f>
        <v>2 months to have my card.
Incompetent customer service and again, I remain polite.
Permanently bugged site.
I have never seen a same mutual ... and say that they dare to advertise each other on TV.
To avoid.</v>
      </c>
    </row>
    <row r="412" ht="15.75" customHeight="1">
      <c r="A412" s="2">
        <v>4.0</v>
      </c>
      <c r="B412" s="2" t="s">
        <v>1243</v>
      </c>
      <c r="C412" s="2" t="s">
        <v>1244</v>
      </c>
      <c r="D412" s="2" t="s">
        <v>13</v>
      </c>
      <c r="E412" s="2" t="s">
        <v>14</v>
      </c>
      <c r="F412" s="2" t="s">
        <v>15</v>
      </c>
      <c r="G412" s="2" t="s">
        <v>1245</v>
      </c>
      <c r="H412" s="2" t="s">
        <v>69</v>
      </c>
      <c r="I412" s="2" t="str">
        <f>IFERROR(__xludf.DUMMYFUNCTION("GOOGLETRANSLATE(C412,""fr"",""en"")"),"The prices are great. I am satisfied with the care and there are a lot of options for the prices that are offered to us. With maybe some improvements.")</f>
        <v>The prices are great. I am satisfied with the care and there are a lot of options for the prices that are offered to us. With maybe some improvements.</v>
      </c>
    </row>
    <row r="413" ht="15.75" customHeight="1">
      <c r="A413" s="2">
        <v>2.0</v>
      </c>
      <c r="B413" s="2" t="s">
        <v>1246</v>
      </c>
      <c r="C413" s="2" t="s">
        <v>1247</v>
      </c>
      <c r="D413" s="2" t="s">
        <v>26</v>
      </c>
      <c r="E413" s="2" t="s">
        <v>14</v>
      </c>
      <c r="F413" s="2" t="s">
        <v>15</v>
      </c>
      <c r="G413" s="2" t="s">
        <v>1248</v>
      </c>
      <c r="H413" s="2" t="s">
        <v>23</v>
      </c>
      <c r="I413" s="2" t="str">
        <f>IFERROR(__xludf.DUMMYFUNCTION("GOOGLETRANSLATE(C413,""fr"",""en"")"),"I underwent a more fire attempt on my vehicle on 02/03/2020, we are on 05/19/2020 and always no proposals, everyone returns the ball and always the same sentence your file is at the service Technical, why, they do not know, and the worst you are waiting f"&amp;"or a month, and then they send you an email to tell you there is a document missing, then 3 weeks later it is missing a stamp ...... a certain Mme F ... even hung up on me, so I tell you if you think you are well insured at the Macif yes maybe but the day"&amp;" when you will have a disaster you will see what the Macif is really, by Against try to be late on a payment, letters quickly fall what responsiveness but for the management of zero claims then to flee to flee, be careful when you are told you lend you an"&amp;" equivalent vehicle this is never the case, because They will get you out according to availability but in real life there will never be a veh Icule equivalent rather the cheapest of vehicle.")</f>
        <v>I underwent a more fire attempt on my vehicle on 02/03/2020, we are on 05/19/2020 and always no proposals, everyone returns the ball and always the same sentence your file is at the service Technical, why, they do not know, and the worst you are waiting for a month, and then they send you an email to tell you there is a document missing, then 3 weeks later it is missing a stamp ...... a certain Mme F ... even hung up on me, so I tell you if you think you are well insured at the Macif yes maybe but the day when you will have a disaster you will see what the Macif is really, by Against try to be late on a payment, letters quickly fall what responsiveness but for the management of zero claims then to flee to flee, be careful when you are told you lend you an equivalent vehicle this is never the case, because They will get you out according to availability but in real life there will never be a veh Icule equivalent rather the cheapest of vehicle.</v>
      </c>
    </row>
    <row r="414" ht="15.75" customHeight="1">
      <c r="A414" s="2">
        <v>4.0</v>
      </c>
      <c r="B414" s="2" t="s">
        <v>1249</v>
      </c>
      <c r="C414" s="2" t="s">
        <v>1250</v>
      </c>
      <c r="D414" s="2" t="s">
        <v>133</v>
      </c>
      <c r="E414" s="2" t="s">
        <v>14</v>
      </c>
      <c r="F414" s="2" t="s">
        <v>15</v>
      </c>
      <c r="G414" s="2" t="s">
        <v>1251</v>
      </c>
      <c r="H414" s="2" t="s">
        <v>485</v>
      </c>
      <c r="I414" s="2" t="str">
        <f>IFERROR(__xludf.DUMMYFUNCTION("GOOGLETRANSLATE(C414,""fr"",""en"")"),"Goodmorning ladies and gentlemen.
It was following an email received (advertiser) and out of curiosity (confinement). What I contacted with this insurance. I have no intention of changing insurer.
Your agençe is close to my home and its manager is most "&amp;"friendly, competent and available.
I therefore have no reason to change insurance. Only one flat your price, which could be revised downwards.
Wishing you good reception of this greetings
")</f>
        <v>Goodmorning ladies and gentlemen.
It was following an email received (advertiser) and out of curiosity (confinement). What I contacted with this insurance. I have no intention of changing insurer.
Your agençe is close to my home and its manager is most friendly, competent and available.
I therefore have no reason to change insurance. Only one flat your price, which could be revised downwards.
Wishing you good reception of this greetings
</v>
      </c>
    </row>
    <row r="415" ht="15.75" customHeight="1">
      <c r="A415" s="2">
        <v>1.0</v>
      </c>
      <c r="B415" s="2" t="s">
        <v>1252</v>
      </c>
      <c r="C415" s="2" t="s">
        <v>1253</v>
      </c>
      <c r="D415" s="2" t="s">
        <v>196</v>
      </c>
      <c r="E415" s="2" t="s">
        <v>14</v>
      </c>
      <c r="F415" s="2" t="s">
        <v>15</v>
      </c>
      <c r="G415" s="2" t="s">
        <v>276</v>
      </c>
      <c r="H415" s="2" t="s">
        <v>99</v>
      </c>
      <c r="I415" s="2" t="str">
        <f>IFERROR(__xludf.DUMMYFUNCTION("GOOGLETRANSLATE(C415,""fr"",""en"")"),"No claim, bonus 65%, provided for more than 20 years for 2 cars and 2 motorcycles, and yet it is looking for the lice QD we want to insure our son for his car ...
Not friendly on the phone, lunatic, a blow is yes, a blow is no according to the person who"&amp;" responds.
We will see elsewhere, the quotes are underway.")</f>
        <v>No claim, bonus 65%, provided for more than 20 years for 2 cars and 2 motorcycles, and yet it is looking for the lice QD we want to insure our son for his car ...
Not friendly on the phone, lunatic, a blow is yes, a blow is no according to the person who responds.
We will see elsewhere, the quotes are underway.</v>
      </c>
    </row>
    <row r="416" ht="15.75" customHeight="1">
      <c r="A416" s="2">
        <v>3.0</v>
      </c>
      <c r="B416" s="2" t="s">
        <v>1254</v>
      </c>
      <c r="C416" s="2" t="s">
        <v>1255</v>
      </c>
      <c r="D416" s="2" t="s">
        <v>97</v>
      </c>
      <c r="E416" s="2" t="s">
        <v>43</v>
      </c>
      <c r="F416" s="2" t="s">
        <v>15</v>
      </c>
      <c r="G416" s="2" t="s">
        <v>117</v>
      </c>
      <c r="H416" s="2" t="s">
        <v>28</v>
      </c>
      <c r="I416" s="2" t="str">
        <f>IFERROR(__xludf.DUMMYFUNCTION("GOOGLETRANSLATE(C416,""fr"",""en"")"),"I am satisfied with the price for the moment, I am waiting to see later if they will keep their commitments.
It was the best offer I found")</f>
        <v>I am satisfied with the price for the moment, I am waiting to see later if they will keep their commitments.
It was the best offer I found</v>
      </c>
    </row>
    <row r="417" ht="15.75" customHeight="1">
      <c r="A417" s="2">
        <v>5.0</v>
      </c>
      <c r="B417" s="2" t="s">
        <v>1256</v>
      </c>
      <c r="C417" s="2" t="s">
        <v>1257</v>
      </c>
      <c r="D417" s="2" t="s">
        <v>47</v>
      </c>
      <c r="E417" s="2" t="s">
        <v>14</v>
      </c>
      <c r="F417" s="2" t="s">
        <v>15</v>
      </c>
      <c r="G417" s="2" t="s">
        <v>491</v>
      </c>
      <c r="H417" s="2" t="s">
        <v>99</v>
      </c>
      <c r="I417" s="2" t="str">
        <f>IFERROR(__xludf.DUMMYFUNCTION("GOOGLETRANSLATE(C417,""fr"",""en"")"),"Welcome and answers to questions from the shares of your staff, contact super nice for this reason I made the subscription to a new contract today")</f>
        <v>Welcome and answers to questions from the shares of your staff, contact super nice for this reason I made the subscription to a new contract today</v>
      </c>
    </row>
    <row r="418" ht="15.75" customHeight="1">
      <c r="A418" s="2">
        <v>2.0</v>
      </c>
      <c r="B418" s="2" t="s">
        <v>1258</v>
      </c>
      <c r="C418" s="2" t="s">
        <v>1259</v>
      </c>
      <c r="D418" s="2" t="s">
        <v>13</v>
      </c>
      <c r="E418" s="2" t="s">
        <v>14</v>
      </c>
      <c r="F418" s="2" t="s">
        <v>15</v>
      </c>
      <c r="G418" s="2" t="s">
        <v>525</v>
      </c>
      <c r="H418" s="2" t="s">
        <v>60</v>
      </c>
      <c r="I418" s="2" t="str">
        <f>IFERROR(__xludf.DUMMYFUNCTION("GOOGLETRANSLATE(C418,""fr"",""en"")"),"You have increased on my auto and home contract without justifying reasons Your prices are no longer any competence The competitor offers better prices")</f>
        <v>You have increased on my auto and home contract without justifying reasons Your prices are no longer any competence The competitor offers better prices</v>
      </c>
    </row>
    <row r="419" ht="15.75" customHeight="1">
      <c r="A419" s="2">
        <v>4.0</v>
      </c>
      <c r="B419" s="2" t="s">
        <v>1260</v>
      </c>
      <c r="C419" s="2" t="s">
        <v>1261</v>
      </c>
      <c r="D419" s="2" t="s">
        <v>13</v>
      </c>
      <c r="E419" s="2" t="s">
        <v>14</v>
      </c>
      <c r="F419" s="2" t="s">
        <v>15</v>
      </c>
      <c r="G419" s="2" t="s">
        <v>28</v>
      </c>
      <c r="H419" s="2" t="s">
        <v>28</v>
      </c>
      <c r="I419" s="2" t="str">
        <f>IFERROR(__xludf.DUMMYFUNCTION("GOOGLETRANSLATE(C419,""fr"",""en"")"),"The service is fast and efficient. I am satisfied with their website and they are very rectifies to the phone. Hope not to be decreed ......")</f>
        <v>The service is fast and efficient. I am satisfied with their website and they are very rectifies to the phone. Hope not to be decreed ......</v>
      </c>
    </row>
    <row r="420" ht="15.75" customHeight="1">
      <c r="A420" s="2">
        <v>1.0</v>
      </c>
      <c r="B420" s="2" t="s">
        <v>1262</v>
      </c>
      <c r="C420" s="2" t="s">
        <v>1263</v>
      </c>
      <c r="D420" s="2" t="s">
        <v>239</v>
      </c>
      <c r="E420" s="2" t="s">
        <v>21</v>
      </c>
      <c r="F420" s="2" t="s">
        <v>15</v>
      </c>
      <c r="G420" s="2" t="s">
        <v>1264</v>
      </c>
      <c r="H420" s="2" t="s">
        <v>87</v>
      </c>
      <c r="I420" s="2" t="str">
        <f>IFERROR(__xludf.DUMMYFUNCTION("GOOGLETRANSLATE(C420,""fr"",""en"")"),"Totally unhappy !!!! I have rarely used my mutual insurance company, and following personal concerns, the bank refused me 3 payments: result radiation from the mutual and bailiffs who ask me for 865 euros for 2021 without giving me mutual coverage !!!! It"&amp;" is a scandal!!!")</f>
        <v>Totally unhappy !!!! I have rarely used my mutual insurance company, and following personal concerns, the bank refused me 3 payments: result radiation from the mutual and bailiffs who ask me for 865 euros for 2021 without giving me mutual coverage !!!! It is a scandal!!!</v>
      </c>
    </row>
    <row r="421" ht="15.75" customHeight="1">
      <c r="A421" s="2">
        <v>4.0</v>
      </c>
      <c r="B421" s="2" t="s">
        <v>1265</v>
      </c>
      <c r="C421" s="2" t="s">
        <v>1266</v>
      </c>
      <c r="D421" s="2" t="s">
        <v>47</v>
      </c>
      <c r="E421" s="2" t="s">
        <v>14</v>
      </c>
      <c r="F421" s="2" t="s">
        <v>15</v>
      </c>
      <c r="G421" s="2" t="s">
        <v>1267</v>
      </c>
      <c r="H421" s="2" t="s">
        <v>49</v>
      </c>
      <c r="I421" s="2" t="str">
        <f>IFERROR(__xludf.DUMMYFUNCTION("GOOGLETRANSLATE(C421,""fr"",""en"")"),"Satisfied with your prices and what you offer, with any competitor.
Hoping not to be disappointed.
Wishing you a pleasant day
Cordially")</f>
        <v>Satisfied with your prices and what you offer, with any competitor.
Hoping not to be disappointed.
Wishing you a pleasant day
Cordially</v>
      </c>
    </row>
    <row r="422" ht="15.75" customHeight="1">
      <c r="A422" s="2">
        <v>1.0</v>
      </c>
      <c r="B422" s="2" t="s">
        <v>1268</v>
      </c>
      <c r="C422" s="2" t="s">
        <v>1269</v>
      </c>
      <c r="D422" s="2" t="s">
        <v>803</v>
      </c>
      <c r="E422" s="2" t="s">
        <v>21</v>
      </c>
      <c r="F422" s="2" t="s">
        <v>15</v>
      </c>
      <c r="G422" s="2" t="s">
        <v>1270</v>
      </c>
      <c r="H422" s="2" t="s">
        <v>284</v>
      </c>
      <c r="I422" s="2" t="str">
        <f>IFERROR(__xludf.DUMMYFUNCTION("GOOGLETRANSLATE(C422,""fr"",""en"")"),"Avant, I have been desperately trying to stop this mutual since last November. Despite a registered letter sent at the end of October, and a revival later, I am unable to be able to stop it. He asks me for another year. Despite my support on the chatel la"&amp;"w by registered letter and by phone, I am not listened to. We are not customers, we are the milk cows of this capitalist company. I do not receive the contribution call and yet I must continue paid despite the Chatel law. I explain to them that I left Fra"&amp;"nce but no I must continue paid a French mutual that does not listen to me. Ten years that I pay and I am still not a customer, but just a resource so that the CEO is enriched")</f>
        <v>Avant, I have been desperately trying to stop this mutual since last November. Despite a registered letter sent at the end of October, and a revival later, I am unable to be able to stop it. He asks me for another year. Despite my support on the chatel law by registered letter and by phone, I am not listened to. We are not customers, we are the milk cows of this capitalist company. I do not receive the contribution call and yet I must continue paid despite the Chatel law. I explain to them that I left France but no I must continue paid a French mutual that does not listen to me. Ten years that I pay and I am still not a customer, but just a resource so that the CEO is enriched</v>
      </c>
    </row>
    <row r="423" ht="15.75" customHeight="1">
      <c r="A423" s="2">
        <v>3.0</v>
      </c>
      <c r="B423" s="2" t="s">
        <v>1271</v>
      </c>
      <c r="C423" s="2" t="s">
        <v>1272</v>
      </c>
      <c r="D423" s="2" t="s">
        <v>248</v>
      </c>
      <c r="E423" s="2" t="s">
        <v>14</v>
      </c>
      <c r="F423" s="2" t="s">
        <v>15</v>
      </c>
      <c r="G423" s="2" t="s">
        <v>1273</v>
      </c>
      <c r="H423" s="2" t="s">
        <v>485</v>
      </c>
      <c r="I423" s="2" t="str">
        <f>IFERROR(__xludf.DUMMYFUNCTION("GOOGLETRANSLATE(C423,""fr"",""en"")"),"They announce a price we meet all the criteria he asks us and when they saw that we are in good standing there they are looking for the little beast to steal you 1 or 2 € more per month of ever seen. I have provided them with information as they ask me fo"&amp;"r 50% of bonuses they are told OK but we still need to come up to confirm that you have been well insured for more than 3 years. Ok no problem I can understand and suddenly I have provided them with the rest of information. Ba suddenly after they remind m"&amp;"e of telling me that they cannot make me 50% parsque apparently it is not possible I don't know anything about it. Even with the documents before their eyes they don't want to know anything. If they say no ba it's no hat ??????. All its to scratch me 2 € "&amp;"more per month is a shame !!!!")</f>
        <v>They announce a price we meet all the criteria he asks us and when they saw that we are in good standing there they are looking for the little beast to steal you 1 or 2 € more per month of ever seen. I have provided them with information as they ask me for 50% of bonuses they are told OK but we still need to come up to confirm that you have been well insured for more than 3 years. Ok no problem I can understand and suddenly I have provided them with the rest of information. Ba suddenly after they remind me of telling me that they cannot make me 50% parsque apparently it is not possible I don't know anything about it. Even with the documents before their eyes they don't want to know anything. If they say no ba it's no hat ??????. All its to scratch me 2 € more per month is a shame !!!!</v>
      </c>
    </row>
    <row r="424" ht="15.75" customHeight="1">
      <c r="A424" s="2">
        <v>3.0</v>
      </c>
      <c r="B424" s="2" t="s">
        <v>1274</v>
      </c>
      <c r="C424" s="2" t="s">
        <v>1275</v>
      </c>
      <c r="D424" s="2" t="s">
        <v>47</v>
      </c>
      <c r="E424" s="2" t="s">
        <v>14</v>
      </c>
      <c r="F424" s="2" t="s">
        <v>15</v>
      </c>
      <c r="G424" s="2" t="s">
        <v>1276</v>
      </c>
      <c r="H424" s="2" t="s">
        <v>56</v>
      </c>
      <c r="I424" s="2" t="str">
        <f>IFERROR(__xludf.DUMMYFUNCTION("GOOGLETRANSLATE(C424,""fr"",""en"")"),"Establishment of the rapid contract.
Good support for customer service.
Correct price given the car.
To see now monitoring and support in the event of a claim, etc.")</f>
        <v>Establishment of the rapid contract.
Good support for customer service.
Correct price given the car.
To see now monitoring and support in the event of a claim, etc.</v>
      </c>
    </row>
    <row r="425" ht="15.75" customHeight="1">
      <c r="A425" s="2">
        <v>4.0</v>
      </c>
      <c r="B425" s="2" t="s">
        <v>1277</v>
      </c>
      <c r="C425" s="2" t="s">
        <v>1278</v>
      </c>
      <c r="D425" s="2" t="s">
        <v>47</v>
      </c>
      <c r="E425" s="2" t="s">
        <v>14</v>
      </c>
      <c r="F425" s="2" t="s">
        <v>15</v>
      </c>
      <c r="G425" s="2" t="s">
        <v>1177</v>
      </c>
      <c r="H425" s="2" t="s">
        <v>343</v>
      </c>
      <c r="I425" s="2" t="str">
        <f>IFERROR(__xludf.DUMMYFUNCTION("GOOGLETRANSLATE(C425,""fr"",""en"")"),"The advisers I had on the phone knew how to offer me the best guarantees according to my budget and my request (remains reasonable knowing that this is the first vehicle that I assure and that I am a young driver) good guarantees offered .. it remains to "&amp;"be seen now if it follows in case of glitch!
Very available and professional customer service ????
Green card received quickly and even in several times ??
I recommend the olive tree!")</f>
        <v>The advisers I had on the phone knew how to offer me the best guarantees according to my budget and my request (remains reasonable knowing that this is the first vehicle that I assure and that I am a young driver) good guarantees offered .. it remains to be seen now if it follows in case of glitch!
Very available and professional customer service ????
Green card received quickly and even in several times ??
I recommend the olive tree!</v>
      </c>
    </row>
    <row r="426" ht="15.75" customHeight="1">
      <c r="A426" s="2">
        <v>3.0</v>
      </c>
      <c r="B426" s="2" t="s">
        <v>1279</v>
      </c>
      <c r="C426" s="2" t="s">
        <v>1280</v>
      </c>
      <c r="D426" s="2" t="s">
        <v>1134</v>
      </c>
      <c r="E426" s="2" t="s">
        <v>21</v>
      </c>
      <c r="F426" s="2" t="s">
        <v>15</v>
      </c>
      <c r="G426" s="2" t="s">
        <v>1281</v>
      </c>
      <c r="H426" s="2" t="s">
        <v>343</v>
      </c>
      <c r="I426" s="2" t="str">
        <f>IFERROR(__xludf.DUMMYFUNCTION("GOOGLETRANSLATE(C426,""fr"",""en"")"),"I was two years affiliated with them. It was the first and last time. Really we can't do worse. You do not have an interlocutor in the event of problems, all administrative procedures are endless and their personal internet space is a concentrate of malfu"&amp;"nction with deplorable ergonomics. An example ? I asked several takeover (email and telephone) a breach of the contract because I left my post, but nothing done, I find myself paying four months of additional contributions for nothing. To Cella is added a"&amp;" refund to flush for huge contributions! I have one thing to say ""flee poor crazy"" ...")</f>
        <v>I was two years affiliated with them. It was the first and last time. Really we can't do worse. You do not have an interlocutor in the event of problems, all administrative procedures are endless and their personal internet space is a concentrate of malfunction with deplorable ergonomics. An example ? I asked several takeover (email and telephone) a breach of the contract because I left my post, but nothing done, I find myself paying four months of additional contributions for nothing. To Cella is added a refund to flush for huge contributions! I have one thing to say "flee poor crazy" ...</v>
      </c>
    </row>
    <row r="427" ht="15.75" customHeight="1">
      <c r="A427" s="2">
        <v>4.0</v>
      </c>
      <c r="B427" s="2" t="s">
        <v>1282</v>
      </c>
      <c r="C427" s="2" t="s">
        <v>1283</v>
      </c>
      <c r="D427" s="2" t="s">
        <v>47</v>
      </c>
      <c r="E427" s="2" t="s">
        <v>14</v>
      </c>
      <c r="F427" s="2" t="s">
        <v>15</v>
      </c>
      <c r="G427" s="2" t="s">
        <v>170</v>
      </c>
      <c r="H427" s="2" t="s">
        <v>17</v>
      </c>
      <c r="I427" s="2" t="str">
        <f>IFERROR(__xludf.DUMMYFUNCTION("GOOGLETRANSLATE(C427,""fr"",""en"")"),"I am a young license and this is my first insurance.
For the moment I am satisfied.
The prices seem correct, and it's very easy to make your quote.")</f>
        <v>I am a young license and this is my first insurance.
For the moment I am satisfied.
The prices seem correct, and it's very easy to make your quote.</v>
      </c>
    </row>
    <row r="428" ht="15.75" customHeight="1">
      <c r="A428" s="2">
        <v>2.0</v>
      </c>
      <c r="B428" s="2" t="s">
        <v>1284</v>
      </c>
      <c r="C428" s="2" t="s">
        <v>1285</v>
      </c>
      <c r="D428" s="2" t="s">
        <v>47</v>
      </c>
      <c r="E428" s="2" t="s">
        <v>14</v>
      </c>
      <c r="F428" s="2" t="s">
        <v>15</v>
      </c>
      <c r="G428" s="2" t="s">
        <v>1286</v>
      </c>
      <c r="H428" s="2" t="s">
        <v>125</v>
      </c>
      <c r="I428" s="2" t="str">
        <f>IFERROR(__xludf.DUMMYFUNCTION("GOOGLETRANSLATE(C428,""fr"",""en"")"),"And another 1 star for satisfaction is for example that we cannot leave less.")</f>
        <v>And another 1 star for satisfaction is for example that we cannot leave less.</v>
      </c>
    </row>
    <row r="429" ht="15.75" customHeight="1">
      <c r="A429" s="2">
        <v>3.0</v>
      </c>
      <c r="B429" s="2" t="s">
        <v>1287</v>
      </c>
      <c r="C429" s="2" t="s">
        <v>1288</v>
      </c>
      <c r="D429" s="2" t="s">
        <v>47</v>
      </c>
      <c r="E429" s="2" t="s">
        <v>14</v>
      </c>
      <c r="F429" s="2" t="s">
        <v>15</v>
      </c>
      <c r="G429" s="2" t="s">
        <v>1289</v>
      </c>
      <c r="H429" s="2" t="s">
        <v>69</v>
      </c>
      <c r="I429" s="2" t="str">
        <f>IFERROR(__xludf.DUMMYFUNCTION("GOOGLETRANSLATE(C429,""fr"",""en"")"),"Too bad not to take into account all the details mentioned during the interview: the one who should have had the management of this personal space is our daughter Amélie on her email address as had been stipulated.")</f>
        <v>Too bad not to take into account all the details mentioned during the interview: the one who should have had the management of this personal space is our daughter Amélie on her email address as had been stipulated.</v>
      </c>
    </row>
    <row r="430" ht="15.75" customHeight="1">
      <c r="A430" s="2">
        <v>3.0</v>
      </c>
      <c r="B430" s="2" t="s">
        <v>1290</v>
      </c>
      <c r="C430" s="2" t="s">
        <v>1291</v>
      </c>
      <c r="D430" s="2" t="s">
        <v>13</v>
      </c>
      <c r="E430" s="2" t="s">
        <v>14</v>
      </c>
      <c r="F430" s="2" t="s">
        <v>15</v>
      </c>
      <c r="G430" s="2" t="s">
        <v>1292</v>
      </c>
      <c r="H430" s="2" t="s">
        <v>69</v>
      </c>
      <c r="I430" s="2" t="str">
        <f>IFERROR(__xludf.DUMMYFUNCTION("GOOGLETRANSLATE(C430,""fr"",""en"")"),"The price level is very expensive, and more competitive now compared to other organizations and customer service is average, not attentive")</f>
        <v>The price level is very expensive, and more competitive now compared to other organizations and customer service is average, not attentive</v>
      </c>
    </row>
    <row r="431" ht="15.75" customHeight="1">
      <c r="A431" s="2">
        <v>1.0</v>
      </c>
      <c r="B431" s="2" t="s">
        <v>1293</v>
      </c>
      <c r="C431" s="2" t="s">
        <v>1294</v>
      </c>
      <c r="D431" s="2" t="s">
        <v>133</v>
      </c>
      <c r="E431" s="2" t="s">
        <v>77</v>
      </c>
      <c r="F431" s="2" t="s">
        <v>15</v>
      </c>
      <c r="G431" s="2" t="s">
        <v>1295</v>
      </c>
      <c r="H431" s="2" t="s">
        <v>49</v>
      </c>
      <c r="I431" s="2" t="str">
        <f>IFERROR(__xludf.DUMMYFUNCTION("GOOGLETRANSLATE(C431,""fr"",""en"")"),"A catastrophic disaster management, a waste of time and an incompetent Elex expertise company who do not want to take into account their multiple errors.
In addition I invite all the assures to review their contract in detail, read the dozens of pages we"&amp;"ll to ensure that your contract covers your loss.
I will make more comments with precision next time so that I can help these assures.
In addition, to note in passing a very strong increase in contributions for 2021/2022.
You can make sure much better "&amp;"elsewhere and for cheaper.")</f>
        <v>A catastrophic disaster management, a waste of time and an incompetent Elex expertise company who do not want to take into account their multiple errors.
In addition I invite all the assures to review their contract in detail, read the dozens of pages well to ensure that your contract covers your loss.
I will make more comments with precision next time so that I can help these assures.
In addition, to note in passing a very strong increase in contributions for 2021/2022.
You can make sure much better elsewhere and for cheaper.</v>
      </c>
    </row>
    <row r="432" ht="15.75" customHeight="1">
      <c r="A432" s="2">
        <v>2.0</v>
      </c>
      <c r="B432" s="2" t="s">
        <v>1296</v>
      </c>
      <c r="C432" s="2" t="s">
        <v>1297</v>
      </c>
      <c r="D432" s="2" t="s">
        <v>47</v>
      </c>
      <c r="E432" s="2" t="s">
        <v>14</v>
      </c>
      <c r="F432" s="2" t="s">
        <v>15</v>
      </c>
      <c r="G432" s="2" t="s">
        <v>337</v>
      </c>
      <c r="H432" s="2" t="s">
        <v>69</v>
      </c>
      <c r="I432" s="2" t="str">
        <f>IFERROR(__xludf.DUMMYFUNCTION("GOOGLETRANSLATE(C432,""fr"",""en"")"),"Having subscribed to the Insurance Olivier thanks to a premium of € 50 promised to subscribe to car insurance for an electric vehicle (all the conditions being met).
I disillusion very quickly, in fact this premium has never been paid to me despite multi"&amp;"ple calls, apologies are always found by the advisers, and the latter having to keep me informed never.
After a few hours, in cumulative, spent on the phone with their service, the transfer is supposedly made on 10/26, but more than 15 days after nothing"&amp;" from my side. The continuous show .. 3 months after the theoretical date of payment of this bonus.
I really feel like you are openly making fun of me!")</f>
        <v>Having subscribed to the Insurance Olivier thanks to a premium of € 50 promised to subscribe to car insurance for an electric vehicle (all the conditions being met).
I disillusion very quickly, in fact this premium has never been paid to me despite multiple calls, apologies are always found by the advisers, and the latter having to keep me informed never.
After a few hours, in cumulative, spent on the phone with their service, the transfer is supposedly made on 10/26, but more than 15 days after nothing from my side. The continuous show .. 3 months after the theoretical date of payment of this bonus.
I really feel like you are openly making fun of me!</v>
      </c>
    </row>
    <row r="433" ht="15.75" customHeight="1">
      <c r="A433" s="2">
        <v>3.0</v>
      </c>
      <c r="B433" s="2" t="s">
        <v>1298</v>
      </c>
      <c r="C433" s="2" t="s">
        <v>1299</v>
      </c>
      <c r="D433" s="2" t="s">
        <v>13</v>
      </c>
      <c r="E433" s="2" t="s">
        <v>14</v>
      </c>
      <c r="F433" s="2" t="s">
        <v>15</v>
      </c>
      <c r="G433" s="2" t="s">
        <v>1300</v>
      </c>
      <c r="H433" s="2" t="s">
        <v>245</v>
      </c>
      <c r="I433" s="2" t="str">
        <f>IFERROR(__xludf.DUMMYFUNCTION("GOOGLETRANSLATE(C433,""fr"",""en"")"),"Hello, I have 2 cars and DA sent me 2 quotes at unbeatable prices. I called this morning to find out the % increase in the last 5 years of car contracts. ""Impossible to give them to you"" we answered me. Wouldn't it be because the increases are very high"&amp;" after the price of calling for subscription? This is surely the answer. Therefore I think I don't subscribe to Direct Insurance.")</f>
        <v>Hello, I have 2 cars and DA sent me 2 quotes at unbeatable prices. I called this morning to find out the % increase in the last 5 years of car contracts. "Impossible to give them to you" we answered me. Wouldn't it be because the increases are very high after the price of calling for subscription? This is surely the answer. Therefore I think I don't subscribe to Direct Insurance.</v>
      </c>
    </row>
    <row r="434" ht="15.75" customHeight="1">
      <c r="A434" s="2">
        <v>1.0</v>
      </c>
      <c r="B434" s="2" t="s">
        <v>1301</v>
      </c>
      <c r="C434" s="2" t="s">
        <v>1302</v>
      </c>
      <c r="D434" s="2" t="s">
        <v>196</v>
      </c>
      <c r="E434" s="2" t="s">
        <v>14</v>
      </c>
      <c r="F434" s="2" t="s">
        <v>15</v>
      </c>
      <c r="G434" s="2" t="s">
        <v>1303</v>
      </c>
      <c r="H434" s="2" t="s">
        <v>60</v>
      </c>
      <c r="I434" s="2" t="str">
        <f>IFERROR(__xludf.DUMMYFUNCTION("GOOGLETRANSLATE(C434,""fr"",""en"")"),"My brother underwent a very serious accident (cranial tromatization) in 1999
Permanent functional deficit (DFP) 80%.
Matmut ranked his file and took advantage of his very fragile situation (unable to manage his business).
We seized Matmut before the co"&amp;"urt, the latter accepted legal expertise.
Matmut never accepted the court decision and initiated a private detecting to spy on my brother's privacy and his family.
Matmut dealt with my brother's case with great baseness and they refused compensation and"&amp;" worsening.
")</f>
        <v>My brother underwent a very serious accident (cranial tromatization) in 1999
Permanent functional deficit (DFP) 80%.
Matmut ranked his file and took advantage of his very fragile situation (unable to manage his business).
We seized Matmut before the court, the latter accepted legal expertise.
Matmut never accepted the court decision and initiated a private detecting to spy on my brother's privacy and his family.
Matmut dealt with my brother's case with great baseness and they refused compensation and worsening.
</v>
      </c>
    </row>
    <row r="435" ht="15.75" customHeight="1">
      <c r="A435" s="2">
        <v>3.0</v>
      </c>
      <c r="B435" s="2" t="s">
        <v>1304</v>
      </c>
      <c r="C435" s="2" t="s">
        <v>1305</v>
      </c>
      <c r="D435" s="2" t="s">
        <v>13</v>
      </c>
      <c r="E435" s="2" t="s">
        <v>14</v>
      </c>
      <c r="F435" s="2" t="s">
        <v>15</v>
      </c>
      <c r="G435" s="2" t="s">
        <v>1306</v>
      </c>
      <c r="H435" s="2" t="s">
        <v>23</v>
      </c>
      <c r="I435" s="2" t="str">
        <f>IFERROR(__xludf.DUMMYFUNCTION("GOOGLETRANSLATE(C435,""fr"",""en"")"),"I signed up 1 week ago I asked them for a professional certificate that attests that I use my vehicle in the professional context I am auxiliary of life and they do not want it is normal?
When I see all the negative comments I'm afraid ...")</f>
        <v>I signed up 1 week ago I asked them for a professional certificate that attests that I use my vehicle in the professional context I am auxiliary of life and they do not want it is normal?
When I see all the negative comments I'm afraid ...</v>
      </c>
    </row>
    <row r="436" ht="15.75" customHeight="1">
      <c r="A436" s="2">
        <v>1.0</v>
      </c>
      <c r="B436" s="2" t="s">
        <v>1307</v>
      </c>
      <c r="C436" s="2" t="s">
        <v>1308</v>
      </c>
      <c r="D436" s="2" t="s">
        <v>47</v>
      </c>
      <c r="E436" s="2" t="s">
        <v>14</v>
      </c>
      <c r="F436" s="2" t="s">
        <v>15</v>
      </c>
      <c r="G436" s="2" t="s">
        <v>1309</v>
      </c>
      <c r="H436" s="2" t="s">
        <v>565</v>
      </c>
      <c r="I436" s="2" t="str">
        <f>IFERROR(__xludf.DUMMYFUNCTION("GOOGLETRANSLATE(C436,""fr"",""en"")"),"Long wait to have your receipt and green vignette. There is always a lack of paper to finalize even when you send them in a recommanate letter and you receive the notice of reception we reply to you we have not received them
Lamentable")</f>
        <v>Long wait to have your receipt and green vignette. There is always a lack of paper to finalize even when you send them in a recommanate letter and you receive the notice of reception we reply to you we have not received them
Lamentable</v>
      </c>
    </row>
    <row r="437" ht="15.75" customHeight="1">
      <c r="A437" s="2">
        <v>5.0</v>
      </c>
      <c r="B437" s="2" t="s">
        <v>1310</v>
      </c>
      <c r="C437" s="2" t="s">
        <v>1311</v>
      </c>
      <c r="D437" s="2" t="s">
        <v>13</v>
      </c>
      <c r="E437" s="2" t="s">
        <v>14</v>
      </c>
      <c r="F437" s="2" t="s">
        <v>15</v>
      </c>
      <c r="G437" s="2" t="s">
        <v>68</v>
      </c>
      <c r="H437" s="2" t="s">
        <v>69</v>
      </c>
      <c r="I437" s="2" t="str">
        <f>IFERROR(__xludf.DUMMYFUNCTION("GOOGLETRANSLATE(C437,""fr"",""en"")"),"I find that Direct Insurance service answers my questions very clearly, I am satisfied and easy to manage on the Internet, no difficulty in choosing insurance.")</f>
        <v>I find that Direct Insurance service answers my questions very clearly, I am satisfied and easy to manage on the Internet, no difficulty in choosing insurance.</v>
      </c>
    </row>
    <row r="438" ht="15.75" customHeight="1">
      <c r="A438" s="2">
        <v>2.0</v>
      </c>
      <c r="B438" s="2" t="s">
        <v>1312</v>
      </c>
      <c r="C438" s="2" t="s">
        <v>1313</v>
      </c>
      <c r="D438" s="2" t="s">
        <v>63</v>
      </c>
      <c r="E438" s="2" t="s">
        <v>14</v>
      </c>
      <c r="F438" s="2" t="s">
        <v>15</v>
      </c>
      <c r="G438" s="2" t="s">
        <v>1314</v>
      </c>
      <c r="H438" s="2" t="s">
        <v>34</v>
      </c>
      <c r="I438" s="2" t="str">
        <f>IFERROR(__xludf.DUMMYFUNCTION("GOOGLETRANSLATE(C438,""fr"",""en"")"),"Very unhappy with the care of my broken down vehicle. 3 calls from assistance and more than 2 hours of waiting with an infant by 4 degrees. All this because of an error of the advisers
In short, I don't recommend")</f>
        <v>Very unhappy with the care of my broken down vehicle. 3 calls from assistance and more than 2 hours of waiting with an infant by 4 degrees. All this because of an error of the advisers
In short, I don't recommend</v>
      </c>
    </row>
    <row r="439" ht="15.75" customHeight="1">
      <c r="A439" s="2">
        <v>3.0</v>
      </c>
      <c r="B439" s="2" t="s">
        <v>1315</v>
      </c>
      <c r="C439" s="2" t="s">
        <v>1316</v>
      </c>
      <c r="D439" s="2" t="s">
        <v>1134</v>
      </c>
      <c r="E439" s="2" t="s">
        <v>21</v>
      </c>
      <c r="F439" s="2" t="s">
        <v>15</v>
      </c>
      <c r="G439" s="2" t="s">
        <v>1317</v>
      </c>
      <c r="H439" s="2" t="s">
        <v>245</v>
      </c>
      <c r="I439" s="2" t="str">
        <f>IFERROR(__xludf.DUMMYFUNCTION("GOOGLETRANSLATE(C439,""fr"",""en"")"),"Problem of third -party payment with essentially private health establishments (lack of agreement) obligation to advance what is quite penalizing +")</f>
        <v>Problem of third -party payment with essentially private health establishments (lack of agreement) obligation to advance what is quite penalizing +</v>
      </c>
    </row>
    <row r="440" ht="15.75" customHeight="1">
      <c r="A440" s="2">
        <v>3.0</v>
      </c>
      <c r="B440" s="2" t="s">
        <v>1318</v>
      </c>
      <c r="C440" s="2" t="s">
        <v>1319</v>
      </c>
      <c r="D440" s="2" t="s">
        <v>253</v>
      </c>
      <c r="E440" s="2" t="s">
        <v>21</v>
      </c>
      <c r="F440" s="2" t="s">
        <v>15</v>
      </c>
      <c r="G440" s="2" t="s">
        <v>1320</v>
      </c>
      <c r="H440" s="2" t="s">
        <v>220</v>
      </c>
      <c r="I440" s="2" t="str">
        <f>IFERROR(__xludf.DUMMYFUNCTION("GOOGLETRANSLATE(C440,""fr"",""en"")"),"Lamia, thank you for your telephone reception today.")</f>
        <v>Lamia, thank you for your telephone reception today.</v>
      </c>
    </row>
    <row r="441" ht="15.75" customHeight="1">
      <c r="A441" s="2">
        <v>1.0</v>
      </c>
      <c r="B441" s="2" t="s">
        <v>1321</v>
      </c>
      <c r="C441" s="2" t="s">
        <v>1322</v>
      </c>
      <c r="D441" s="2" t="s">
        <v>1323</v>
      </c>
      <c r="E441" s="2" t="s">
        <v>159</v>
      </c>
      <c r="F441" s="2" t="s">
        <v>15</v>
      </c>
      <c r="G441" s="2" t="s">
        <v>290</v>
      </c>
      <c r="H441" s="2" t="s">
        <v>201</v>
      </c>
      <c r="I441" s="2" t="str">
        <f>IFERROR(__xludf.DUMMYFUNCTION("GOOGLETRANSLATE(C441,""fr"",""en"")"),"It is a shame that he neither y and not zero star because this health insurancevet does not even worth them. Ghost insurance unable to respond to emails or telephone calls I hope they will see my message and will remind me of so that I explain my dissatis"&amp;"faction and their incompetent level.
To flee to banish.")</f>
        <v>It is a shame that he neither y and not zero star because this health insurancevet does not even worth them. Ghost insurance unable to respond to emails or telephone calls I hope they will see my message and will remind me of so that I explain my dissatisfaction and their incompetent level.
To flee to banish.</v>
      </c>
    </row>
    <row r="442" ht="15.75" customHeight="1">
      <c r="A442" s="2">
        <v>2.0</v>
      </c>
      <c r="B442" s="2" t="s">
        <v>1324</v>
      </c>
      <c r="C442" s="2" t="s">
        <v>1325</v>
      </c>
      <c r="D442" s="2" t="s">
        <v>361</v>
      </c>
      <c r="E442" s="2" t="s">
        <v>159</v>
      </c>
      <c r="F442" s="2" t="s">
        <v>15</v>
      </c>
      <c r="G442" s="2" t="s">
        <v>1326</v>
      </c>
      <c r="H442" s="2" t="s">
        <v>741</v>
      </c>
      <c r="I442" s="2" t="str">
        <f>IFERROR(__xludf.DUMMYFUNCTION("GOOGLETRANSLATE(C442,""fr"",""en"")"),"This insurance is one more way to extract money from the owners concerned about the health of their companions. They are unable to receive documents via the Internet. And do not reimburse you what they say in the terms of their contract. Fit castrate my d"&amp;"og ​​with a contract or 100% of care minus a deductible of 20% and of course 260 euros they kindly granted me 60 euros because it is a castration of convenience and that it is price in account by a package and not by covering surgical care !!!!
Do not "&amp;"assure yourself at home !!!!!")</f>
        <v>This insurance is one more way to extract money from the owners concerned about the health of their companions. They are unable to receive documents via the Internet. And do not reimburse you what they say in the terms of their contract. Fit castrate my dog ​​with a contract or 100% of care minus a deductible of 20% and of course 260 euros they kindly granted me 60 euros because it is a castration of convenience and that it is price in account by a package and not by covering surgical care !!!!
Do not assure yourself at home !!!!!</v>
      </c>
    </row>
    <row r="443" ht="15.75" customHeight="1">
      <c r="A443" s="2">
        <v>4.0</v>
      </c>
      <c r="B443" s="2" t="s">
        <v>1327</v>
      </c>
      <c r="C443" s="2" t="s">
        <v>1328</v>
      </c>
      <c r="D443" s="2" t="s">
        <v>13</v>
      </c>
      <c r="E443" s="2" t="s">
        <v>14</v>
      </c>
      <c r="F443" s="2" t="s">
        <v>15</v>
      </c>
      <c r="G443" s="2" t="s">
        <v>68</v>
      </c>
      <c r="H443" s="2" t="s">
        <v>69</v>
      </c>
      <c r="I443" s="2" t="str">
        <f>IFERROR(__xludf.DUMMYFUNCTION("GOOGLETRANSLATE(C443,""fr"",""en"")"),"Very satisfied with the site (very clear and complete) and the exchanges with the advisers,
A very good value for money
Very professional work
I advise direct insurance")</f>
        <v>Very satisfied with the site (very clear and complete) and the exchanges with the advisers,
A very good value for money
Very professional work
I advise direct insurance</v>
      </c>
    </row>
    <row r="444" ht="15.75" customHeight="1">
      <c r="A444" s="2">
        <v>5.0</v>
      </c>
      <c r="B444" s="2" t="s">
        <v>1329</v>
      </c>
      <c r="C444" s="2" t="s">
        <v>1330</v>
      </c>
      <c r="D444" s="2" t="s">
        <v>13</v>
      </c>
      <c r="E444" s="2" t="s">
        <v>14</v>
      </c>
      <c r="F444" s="2" t="s">
        <v>15</v>
      </c>
      <c r="G444" s="2" t="s">
        <v>1331</v>
      </c>
      <c r="H444" s="2" t="s">
        <v>56</v>
      </c>
      <c r="I444" s="2" t="str">
        <f>IFERROR(__xludf.DUMMYFUNCTION("GOOGLETRANSLATE(C444,""fr"",""en"")"),"The prices are very attractive for the various covers offered.
Fast and effective troubleshooting with regard to one of my vehicles.
Nice and very explicit staff on the phone.")</f>
        <v>The prices are very attractive for the various covers offered.
Fast and effective troubleshooting with regard to one of my vehicles.
Nice and very explicit staff on the phone.</v>
      </c>
    </row>
    <row r="445" ht="15.75" customHeight="1">
      <c r="A445" s="2">
        <v>1.0</v>
      </c>
      <c r="B445" s="2" t="s">
        <v>1332</v>
      </c>
      <c r="C445" s="2" t="s">
        <v>1333</v>
      </c>
      <c r="D445" s="2" t="s">
        <v>223</v>
      </c>
      <c r="E445" s="2" t="s">
        <v>14</v>
      </c>
      <c r="F445" s="2" t="s">
        <v>15</v>
      </c>
      <c r="G445" s="2" t="s">
        <v>1334</v>
      </c>
      <c r="H445" s="2" t="s">
        <v>125</v>
      </c>
      <c r="I445" s="2" t="str">
        <f>IFERROR(__xludf.DUMMYFUNCTION("GOOGLETRANSLATE(C445,""fr"",""en"")"),"Currently at Pacifica, my husband and I meet problems following our car in September. In, effect it is very complicated to have news of their pars and they do not take steps in so and on time. Leaving things out, still now June 2020. We are waiting for a "&amp;"refund from our car rental organization. They had estimated a certain amounts, which they did not honor and respond when we try to contact them. We even had to pay monthly payments for our stolen car for 6 months, without reimbursement of their pars.
We "&amp;"are furious, because still paying a stolen car.")</f>
        <v>Currently at Pacifica, my husband and I meet problems following our car in September. In, effect it is very complicated to have news of their pars and they do not take steps in so and on time. Leaving things out, still now June 2020. We are waiting for a refund from our car rental organization. They had estimated a certain amounts, which they did not honor and respond when we try to contact them. We even had to pay monthly payments for our stolen car for 6 months, without reimbursement of their pars.
We are furious, because still paying a stolen car.</v>
      </c>
    </row>
    <row r="446" ht="15.75" customHeight="1">
      <c r="A446" s="2">
        <v>4.0</v>
      </c>
      <c r="B446" s="2" t="s">
        <v>1335</v>
      </c>
      <c r="C446" s="2" t="s">
        <v>1336</v>
      </c>
      <c r="D446" s="2" t="s">
        <v>47</v>
      </c>
      <c r="E446" s="2" t="s">
        <v>14</v>
      </c>
      <c r="F446" s="2" t="s">
        <v>15</v>
      </c>
      <c r="G446" s="2" t="s">
        <v>1337</v>
      </c>
      <c r="H446" s="2" t="s">
        <v>99</v>
      </c>
      <c r="I446" s="2" t="str">
        <f>IFERROR(__xludf.DUMMYFUNCTION("GOOGLETRANSLATE(C446,""fr"",""en"")"),"I am satisfied with customer service. Welcome telephone, clear explanation, specific answers to all my questions. Nothing more to add.")</f>
        <v>I am satisfied with customer service. Welcome telephone, clear explanation, specific answers to all my questions. Nothing more to add.</v>
      </c>
    </row>
    <row r="447" ht="15.75" customHeight="1">
      <c r="A447" s="2">
        <v>5.0</v>
      </c>
      <c r="B447" s="2" t="s">
        <v>1338</v>
      </c>
      <c r="C447" s="2" t="s">
        <v>1339</v>
      </c>
      <c r="D447" s="2" t="s">
        <v>890</v>
      </c>
      <c r="E447" s="2" t="s">
        <v>32</v>
      </c>
      <c r="F447" s="2" t="s">
        <v>15</v>
      </c>
      <c r="G447" s="2" t="s">
        <v>1340</v>
      </c>
      <c r="H447" s="2" t="s">
        <v>56</v>
      </c>
      <c r="I447" s="2" t="str">
        <f>IFERROR(__xludf.DUMMYFUNCTION("GOOGLETRANSLATE(C447,""fr"",""en"")"),"Simple, efficient and practical.
Very nice home.
Competitive and responsive.
I recommend and will not hesitate to contact them again if the opportunity arises.")</f>
        <v>Simple, efficient and practical.
Very nice home.
Competitive and responsive.
I recommend and will not hesitate to contact them again if the opportunity arises.</v>
      </c>
    </row>
    <row r="448" ht="15.75" customHeight="1">
      <c r="A448" s="2">
        <v>5.0</v>
      </c>
      <c r="B448" s="2" t="s">
        <v>1341</v>
      </c>
      <c r="C448" s="2" t="s">
        <v>1342</v>
      </c>
      <c r="D448" s="2" t="s">
        <v>133</v>
      </c>
      <c r="E448" s="2" t="s">
        <v>14</v>
      </c>
      <c r="F448" s="2" t="s">
        <v>15</v>
      </c>
      <c r="G448" s="2" t="s">
        <v>1020</v>
      </c>
      <c r="H448" s="2" t="s">
        <v>220</v>
      </c>
      <c r="I448" s="2" t="str">
        <f>IFERROR(__xludf.DUMMYFUNCTION("GOOGLETRANSLATE(C448,""fr"",""en"")"),"Perfect. Company. At l, listening to people and very patient. I am really satisfied with this performance. I recommend this insurer and invite you to do the same.")</f>
        <v>Perfect. Company. At l, listening to people and very patient. I am really satisfied with this performance. I recommend this insurer and invite you to do the same.</v>
      </c>
    </row>
    <row r="449" ht="15.75" customHeight="1">
      <c r="A449" s="2">
        <v>1.0</v>
      </c>
      <c r="B449" s="2" t="s">
        <v>1343</v>
      </c>
      <c r="C449" s="2" t="s">
        <v>1344</v>
      </c>
      <c r="D449" s="2" t="s">
        <v>26</v>
      </c>
      <c r="E449" s="2" t="s">
        <v>77</v>
      </c>
      <c r="F449" s="2" t="s">
        <v>15</v>
      </c>
      <c r="G449" s="2" t="s">
        <v>1345</v>
      </c>
      <c r="H449" s="2" t="s">
        <v>538</v>
      </c>
      <c r="I449" s="2" t="str">
        <f>IFERROR(__xludf.DUMMYFUNCTION("GOOGLETRANSLATE(C449,""fr"",""en"")")," Little story of a lambda insured
        Insured at the Macif since January 1994, I have never had the slightest claim during these 24 years.
On Saturday May 27, 2017 we are robbed in the middle of the night during our sleep.
Awakened by the noise"&amp;" of burglary, I manage to master the burglar and fortunately for us, we collect the entire loot ... Dams: a broken tile and traces of blows on different openings of the house, a little fright , of the time spent at the gendarmerie and then in court becaus"&amp;"e the burglar will be tried in immediate appearance on Monday and sentenced to two years in prison.
Cost of repairs evaluated by the MACIF expert around € 1,000.
No company contacts us because normally for the concern of costs of costs Les Assurance"&amp;"s offer their own craftsmen. Faced with the lack of reaction and follow -up, I order and I myself put the double glazing which was fractured because the window remained without repair for more than three weeks.
I decide to assume the repairs being a hand"&amp;"yman.
No repair is made, no compensation is paid, cost for the Macif Zero.
 I receive this day a letter of termination of my home insurance for a dark story
Garage transformed supposedly into commercial premises by my daughter autoentrepreneur.
"&amp;"And all this according to the declaration of an expert who has never done his follow -up work but he certainly billed his intervention seriously.
I help my daughter who embarks on entrepreneurship and crafts and cost you have to pay insurance.
She would"&amp;" have worked in her room, it would also have been to pay ??
The Macif asks me even if my daughter uses one of my vehicles for professional purposes while she has her own car. The suspicion is total Mrs. X.
I wish you good luck to reassure you when you"&amp;" have been terminated.
I have to make sure and I no longer enter the criteria because terminated.
A small insured person who does not like problems and assumes these responsibilities.
")</f>
        <v> Little story of a lambda insured
        Insured at the Macif since January 1994, I have never had the slightest claim during these 24 years.
On Saturday May 27, 2017 we are robbed in the middle of the night during our sleep.
Awakened by the noise of burglary, I manage to master the burglar and fortunately for us, we collect the entire loot ... Dams: a broken tile and traces of blows on different openings of the house, a little fright , of the time spent at the gendarmerie and then in court because the burglar will be tried in immediate appearance on Monday and sentenced to two years in prison.
Cost of repairs evaluated by the MACIF expert around € 1,000.
No company contacts us because normally for the concern of costs of costs Les Assurances offer their own craftsmen. Faced with the lack of reaction and follow -up, I order and I myself put the double glazing which was fractured because the window remained without repair for more than three weeks.
I decide to assume the repairs being a handyman.
No repair is made, no compensation is paid, cost for the Macif Zero.
 I receive this day a letter of termination of my home insurance for a dark story
Garage transformed supposedly into commercial premises by my daughter autoentrepreneur.
And all this according to the declaration of an expert who has never done his follow -up work but he certainly billed his intervention seriously.
I help my daughter who embarks on entrepreneurship and crafts and cost you have to pay insurance.
She would have worked in her room, it would also have been to pay ??
The Macif asks me even if my daughter uses one of my vehicles for professional purposes while she has her own car. The suspicion is total Mrs. X.
I wish you good luck to reassure you when you have been terminated.
I have to make sure and I no longer enter the criteria because terminated.
A small insured person who does not like problems and assumes these responsibilities.
</v>
      </c>
    </row>
    <row r="450" ht="15.75" customHeight="1">
      <c r="A450" s="2">
        <v>5.0</v>
      </c>
      <c r="B450" s="2" t="s">
        <v>1346</v>
      </c>
      <c r="C450" s="2" t="s">
        <v>1347</v>
      </c>
      <c r="D450" s="2" t="s">
        <v>253</v>
      </c>
      <c r="E450" s="2" t="s">
        <v>21</v>
      </c>
      <c r="F450" s="2" t="s">
        <v>15</v>
      </c>
      <c r="G450" s="2" t="s">
        <v>741</v>
      </c>
      <c r="H450" s="2" t="s">
        <v>741</v>
      </c>
      <c r="I450" s="2" t="str">
        <f>IFERROR(__xludf.DUMMYFUNCTION("GOOGLETRANSLATE(C450,""fr"",""en"")"),"I was redirected to this forum by the browser, I was surprised to read the comments. I am a broker and I work with several insurance companies to compare quotes and sincerely I think that in the majority of cases the contract is chosen only according to t"&amp;"he price and not the needs of the customer. The different needs from one person to another and from one year to another and also depending on the age. You have to choose your contract according to what you consume (dental care, or hospitalization, if you "&amp;"have redone the glasses then the year after I will lower this warrant Clearly even if we only see percentages but there is no harm to ask the advisor to explain them and give examples of reimbursement.
 ")</f>
        <v>I was redirected to this forum by the browser, I was surprised to read the comments. I am a broker and I work with several insurance companies to compare quotes and sincerely I think that in the majority of cases the contract is chosen only according to the price and not the needs of the customer. The different needs from one person to another and from one year to another and also depending on the age. You have to choose your contract according to what you consume (dental care, or hospitalization, if you have redone the glasses then the year after I will lower this warrant Clearly even if we only see percentages but there is no harm to ask the advisor to explain them and give examples of reimbursement.
 </v>
      </c>
    </row>
    <row r="451" ht="15.75" customHeight="1">
      <c r="A451" s="2">
        <v>2.0</v>
      </c>
      <c r="B451" s="2" t="s">
        <v>1348</v>
      </c>
      <c r="C451" s="2" t="s">
        <v>1349</v>
      </c>
      <c r="D451" s="2" t="s">
        <v>1046</v>
      </c>
      <c r="E451" s="2" t="s">
        <v>32</v>
      </c>
      <c r="F451" s="2" t="s">
        <v>15</v>
      </c>
      <c r="G451" s="2" t="s">
        <v>1350</v>
      </c>
      <c r="H451" s="2" t="s">
        <v>79</v>
      </c>
      <c r="I451" s="2" t="str">
        <f>IFERROR(__xludf.DUMMYFUNCTION("GOOGLETRANSLATE(C451,""fr"",""en"")"),"In dispute for disability, after expertise and against expertise for a disabling and evolving neurological disease: refusal of care; Denial of diagnosis of neurologist, inconsistency in the account of the expert. 2 years1/2 of procedures and refusals")</f>
        <v>In dispute for disability, after expertise and against expertise for a disabling and evolving neurological disease: refusal of care; Denial of diagnosis of neurologist, inconsistency in the account of the expert. 2 years1/2 of procedures and refusals</v>
      </c>
    </row>
    <row r="452" ht="15.75" customHeight="1">
      <c r="A452" s="2">
        <v>5.0</v>
      </c>
      <c r="B452" s="2" t="s">
        <v>1351</v>
      </c>
      <c r="C452" s="2" t="s">
        <v>1352</v>
      </c>
      <c r="D452" s="2" t="s">
        <v>47</v>
      </c>
      <c r="E452" s="2" t="s">
        <v>14</v>
      </c>
      <c r="F452" s="2" t="s">
        <v>15</v>
      </c>
      <c r="G452" s="2" t="s">
        <v>1353</v>
      </c>
      <c r="H452" s="2" t="s">
        <v>270</v>
      </c>
      <c r="I452" s="2" t="str">
        <f>IFERROR(__xludf.DUMMYFUNCTION("GOOGLETRANSLATE(C452,""fr"",""en"")"),"Have always been there when I needed it, helpful and reassuring
And in addition offers discounts for your loyalty what no other insurer has ever done me")</f>
        <v>Have always been there when I needed it, helpful and reassuring
And in addition offers discounts for your loyalty what no other insurer has ever done me</v>
      </c>
    </row>
    <row r="453" ht="15.75" customHeight="1">
      <c r="A453" s="2">
        <v>1.0</v>
      </c>
      <c r="B453" s="2" t="s">
        <v>1354</v>
      </c>
      <c r="C453" s="2" t="s">
        <v>1355</v>
      </c>
      <c r="D453" s="2" t="s">
        <v>781</v>
      </c>
      <c r="E453" s="2" t="s">
        <v>21</v>
      </c>
      <c r="F453" s="2" t="s">
        <v>15</v>
      </c>
      <c r="G453" s="2" t="s">
        <v>1356</v>
      </c>
      <c r="H453" s="2" t="s">
        <v>49</v>
      </c>
      <c r="I453" s="2" t="str">
        <f>IFERROR(__xludf.DUMMYFUNCTION("GOOGLETRANSLATE(C453,""fr"",""en"")"),"Lots of concern with this mutual. Unreachable customer service and which must miss a way since the answers are never clear. Price according to your contract.
Difficult to be reimbursed, invoices are often called into question. Very difficult to make a co"&amp;"mplaint.")</f>
        <v>Lots of concern with this mutual. Unreachable customer service and which must miss a way since the answers are never clear. Price according to your contract.
Difficult to be reimbursed, invoices are often called into question. Very difficult to make a complaint.</v>
      </c>
    </row>
    <row r="454" ht="15.75" customHeight="1">
      <c r="A454" s="2">
        <v>4.0</v>
      </c>
      <c r="B454" s="2" t="s">
        <v>1357</v>
      </c>
      <c r="C454" s="2" t="s">
        <v>1358</v>
      </c>
      <c r="D454" s="2" t="s">
        <v>72</v>
      </c>
      <c r="E454" s="2" t="s">
        <v>21</v>
      </c>
      <c r="F454" s="2" t="s">
        <v>15</v>
      </c>
      <c r="G454" s="2" t="s">
        <v>1359</v>
      </c>
      <c r="H454" s="2" t="s">
        <v>270</v>
      </c>
      <c r="I454" s="2" t="str">
        <f>IFERROR(__xludf.DUMMYFUNCTION("GOOGLETRANSLATE(C454,""fr"",""en"")"),"Trais satisfied with esterification gave by my speaker")</f>
        <v>Trais satisfied with esterification gave by my speaker</v>
      </c>
    </row>
    <row r="455" ht="15.75" customHeight="1">
      <c r="A455" s="2">
        <v>1.0</v>
      </c>
      <c r="B455" s="2" t="s">
        <v>1360</v>
      </c>
      <c r="C455" s="2" t="s">
        <v>1361</v>
      </c>
      <c r="D455" s="2" t="s">
        <v>133</v>
      </c>
      <c r="E455" s="2" t="s">
        <v>14</v>
      </c>
      <c r="F455" s="2" t="s">
        <v>15</v>
      </c>
      <c r="G455" s="2" t="s">
        <v>1362</v>
      </c>
      <c r="H455" s="2" t="s">
        <v>220</v>
      </c>
      <c r="I455" s="2" t="str">
        <f>IFERROR(__xludf.DUMMYFUNCTION("GOOGLETRANSLATE(C455,""fr"",""en"")"),"I asked for a quote and I am surprised by the prices, 2 to 3 times more expensive as with other insurers for the same car and the same conditions. No doubt there are fools in his client")</f>
        <v>I asked for a quote and I am surprised by the prices, 2 to 3 times more expensive as with other insurers for the same car and the same conditions. No doubt there are fools in his client</v>
      </c>
    </row>
    <row r="456" ht="15.75" customHeight="1">
      <c r="A456" s="2">
        <v>5.0</v>
      </c>
      <c r="B456" s="2" t="s">
        <v>1363</v>
      </c>
      <c r="C456" s="2" t="s">
        <v>1364</v>
      </c>
      <c r="D456" s="2" t="s">
        <v>47</v>
      </c>
      <c r="E456" s="2" t="s">
        <v>14</v>
      </c>
      <c r="F456" s="2" t="s">
        <v>15</v>
      </c>
      <c r="G456" s="2" t="s">
        <v>1276</v>
      </c>
      <c r="H456" s="2" t="s">
        <v>56</v>
      </c>
      <c r="I456" s="2" t="str">
        <f>IFERROR(__xludf.DUMMYFUNCTION("GOOGLETRANSLATE(C456,""fr"",""en"")"),"Simple and unbeatable price, I recommend! The advisers are friendly and listening to customers, a big thank you to them and especially to Maxime!")</f>
        <v>Simple and unbeatable price, I recommend! The advisers are friendly and listening to customers, a big thank you to them and especially to Maxime!</v>
      </c>
    </row>
    <row r="457" ht="15.75" customHeight="1">
      <c r="A457" s="2">
        <v>5.0</v>
      </c>
      <c r="B457" s="2" t="s">
        <v>1365</v>
      </c>
      <c r="C457" s="2" t="s">
        <v>1366</v>
      </c>
      <c r="D457" s="2" t="s">
        <v>13</v>
      </c>
      <c r="E457" s="2" t="s">
        <v>14</v>
      </c>
      <c r="F457" s="2" t="s">
        <v>15</v>
      </c>
      <c r="G457" s="2" t="s">
        <v>1367</v>
      </c>
      <c r="H457" s="2" t="s">
        <v>87</v>
      </c>
      <c r="I457" s="2" t="str">
        <f>IFERROR(__xludf.DUMMYFUNCTION("GOOGLETRANSLATE(C457,""fr"",""en"")"),"Very good contact for subscription, good information to the questions.
For the moment everything is simple, and more than correct prices.
To be tested now on the long term.
I recommend.")</f>
        <v>Very good contact for subscription, good information to the questions.
For the moment everything is simple, and more than correct prices.
To be tested now on the long term.
I recommend.</v>
      </c>
    </row>
    <row r="458" ht="15.75" customHeight="1">
      <c r="A458" s="2">
        <v>1.0</v>
      </c>
      <c r="B458" s="2" t="s">
        <v>1368</v>
      </c>
      <c r="C458" s="2" t="s">
        <v>1369</v>
      </c>
      <c r="D458" s="2" t="s">
        <v>397</v>
      </c>
      <c r="E458" s="2" t="s">
        <v>138</v>
      </c>
      <c r="F458" s="2" t="s">
        <v>15</v>
      </c>
      <c r="G458" s="2" t="s">
        <v>1370</v>
      </c>
      <c r="H458" s="2" t="s">
        <v>670</v>
      </c>
      <c r="I458" s="2" t="str">
        <f>IFERROR(__xludf.DUMMYFUNCTION("GOOGLETRANSLATE(C458,""fr"",""en"")"),"Provident for TNS inific and not respected.
Hello Mr or md I am deadlocked by the father who writes my son to you being in the incapacitated to take care of these documents is of him even I held him in my house.
My son reversed by a car on 02/12/2016 "&amp;"He was traveling in a motorcycle, hospitalized 1 month at the Timone Hospital Marseille, then 1 month Psyiatric Center Valvert in Marseille, physical levels it's much better
But psykologically he received a serious post -crossed shock he is depressive ha"&amp;"s become very violent, he is followed by a psykiatre. Is he very sick.
My son had a company in the construction industry is subscribed with the insurer Swisslif Provident insurance loss of income is explore € 360 per month after 6 months work stoppage in"&amp;" totality by Swisslif € 6000 months.
Expertise with their expert has been placed is the psykiatre recognized our patholigie agrees to continue the work stopping.
Swisslif stops paying by saying that this not proven that the motorcycle accident is the ca"&amp;"use of pathology is that the opposite must be proven with medical certificate.
My son never had a health problem he is only 24 years old, what to do to defend myself thank you for answering me.
Conserze you an association or a lawyer who can defend me
"&amp;"My most distinguished greetings.
Please accept my most distinguished greetings.
")</f>
        <v>Provident for TNS inific and not respected.
Hello Mr or md I am deadlocked by the father who writes my son to you being in the incapacitated to take care of these documents is of him even I held him in my house.
My son reversed by a car on 02/12/2016 He was traveling in a motorcycle, hospitalized 1 month at the Timone Hospital Marseille, then 1 month Psyiatric Center Valvert in Marseille, physical levels it's much better
But psykologically he received a serious post -crossed shock he is depressive has become very violent, he is followed by a psykiatre. Is he very sick.
My son had a company in the construction industry is subscribed with the insurer Swisslif Provident insurance loss of income is explore € 360 per month after 6 months work stoppage in totality by Swisslif € 6000 months.
Expertise with their expert has been placed is the psykiatre recognized our patholigie agrees to continue the work stopping.
Swisslif stops paying by saying that this not proven that the motorcycle accident is the cause of pathology is that the opposite must be proven with medical certificate.
My son never had a health problem he is only 24 years old, what to do to defend myself thank you for answering me.
Conserze you an association or a lawyer who can defend me
My most distinguished greetings.
Please accept my most distinguished greetings.
</v>
      </c>
    </row>
    <row r="459" ht="15.75" customHeight="1">
      <c r="A459" s="2">
        <v>1.0</v>
      </c>
      <c r="B459" s="2" t="s">
        <v>1371</v>
      </c>
      <c r="C459" s="2" t="s">
        <v>1372</v>
      </c>
      <c r="D459" s="2" t="s">
        <v>13</v>
      </c>
      <c r="E459" s="2" t="s">
        <v>14</v>
      </c>
      <c r="F459" s="2" t="s">
        <v>15</v>
      </c>
      <c r="G459" s="2" t="s">
        <v>1373</v>
      </c>
      <c r="H459" s="2" t="s">
        <v>74</v>
      </c>
      <c r="I459" s="2" t="str">
        <f>IFERROR(__xludf.DUMMYFUNCTION("GOOGLETRANSLATE(C459,""fr"",""en"")"),"I had a sinister following a spread on my vehicle on 12/31/2020 and I am always waiting for my refund the expert to validate everything it is 30 days that direct insurance makes me turn straight the left Expert revives them every week my he does not respo"&amp;"nd to the expert or me I come across inexperienced people from Morocco alor that I am supposed to have French advisers to flee this insurance can push you to suicide especially in this COVID period")</f>
        <v>I had a sinister following a spread on my vehicle on 12/31/2020 and I am always waiting for my refund the expert to validate everything it is 30 days that direct insurance makes me turn straight the left Expert revives them every week my he does not respond to the expert or me I come across inexperienced people from Morocco alor that I am supposed to have French advisers to flee this insurance can push you to suicide especially in this COVID period</v>
      </c>
    </row>
    <row r="460" ht="15.75" customHeight="1">
      <c r="A460" s="2">
        <v>2.0</v>
      </c>
      <c r="B460" s="2" t="s">
        <v>1374</v>
      </c>
      <c r="C460" s="2" t="s">
        <v>1375</v>
      </c>
      <c r="D460" s="2" t="s">
        <v>1376</v>
      </c>
      <c r="E460" s="2" t="s">
        <v>32</v>
      </c>
      <c r="F460" s="2" t="s">
        <v>15</v>
      </c>
      <c r="G460" s="2" t="s">
        <v>1377</v>
      </c>
      <c r="H460" s="2" t="s">
        <v>161</v>
      </c>
      <c r="I460" s="2" t="str">
        <f>IFERROR(__xludf.DUMMYFUNCTION("GOOGLETRANSLATE(C460,""fr"",""en"")"),"Failing customer service No response to my recommended during my total loan repurchase, ditto on contact by email, ditto via broker. To flee.
Insurance company which is quick to claim the annual insurance premium, less then to respond to its customers .."&amp;".")</f>
        <v>Failing customer service No response to my recommended during my total loan repurchase, ditto on contact by email, ditto via broker. To flee.
Insurance company which is quick to claim the annual insurance premium, less then to respond to its customers ...</v>
      </c>
    </row>
    <row r="461" ht="15.75" customHeight="1">
      <c r="A461" s="2">
        <v>1.0</v>
      </c>
      <c r="B461" s="2" t="s">
        <v>1378</v>
      </c>
      <c r="C461" s="2" t="s">
        <v>1379</v>
      </c>
      <c r="D461" s="2" t="s">
        <v>13</v>
      </c>
      <c r="E461" s="2" t="s">
        <v>14</v>
      </c>
      <c r="F461" s="2" t="s">
        <v>15</v>
      </c>
      <c r="G461" s="2" t="s">
        <v>828</v>
      </c>
      <c r="H461" s="2" t="s">
        <v>87</v>
      </c>
      <c r="I461" s="2" t="str">
        <f>IFERROR(__xludf.DUMMYFUNCTION("GOOGLETRANSLATE(C461,""fr"",""en"")"),"I am not satisfied with the price
Because an increase of 20% on the price between 2019 and 2020 is not acceptable.
I'm trying to change insurance
")</f>
        <v>I am not satisfied with the price
Because an increase of 20% on the price between 2019 and 2020 is not acceptable.
I'm trying to change insurance
</v>
      </c>
    </row>
    <row r="462" ht="15.75" customHeight="1">
      <c r="A462" s="2">
        <v>1.0</v>
      </c>
      <c r="B462" s="2" t="s">
        <v>1380</v>
      </c>
      <c r="C462" s="2" t="s">
        <v>1381</v>
      </c>
      <c r="D462" s="2" t="s">
        <v>1382</v>
      </c>
      <c r="E462" s="2" t="s">
        <v>138</v>
      </c>
      <c r="F462" s="2" t="s">
        <v>15</v>
      </c>
      <c r="G462" s="2" t="s">
        <v>1383</v>
      </c>
      <c r="H462" s="2" t="s">
        <v>609</v>
      </c>
      <c r="I462" s="2" t="str">
        <f>IFERROR(__xludf.DUMMYFUNCTION("GOOGLETRANSLATE(C462,""fr"",""en"")"),"To flee as quickly as possible, following the deception of their member, the Carac took 6 weeks more to process the file that the other companies and has still not set 3 1/2 after the members of the member.")</f>
        <v>To flee as quickly as possible, following the deception of their member, the Carac took 6 weeks more to process the file that the other companies and has still not set 3 1/2 after the members of the member.</v>
      </c>
    </row>
    <row r="463" ht="15.75" customHeight="1">
      <c r="A463" s="2">
        <v>5.0</v>
      </c>
      <c r="B463" s="2" t="s">
        <v>1384</v>
      </c>
      <c r="C463" s="2" t="s">
        <v>1385</v>
      </c>
      <c r="D463" s="2" t="s">
        <v>42</v>
      </c>
      <c r="E463" s="2" t="s">
        <v>43</v>
      </c>
      <c r="F463" s="2" t="s">
        <v>15</v>
      </c>
      <c r="G463" s="2" t="s">
        <v>551</v>
      </c>
      <c r="H463" s="2" t="s">
        <v>17</v>
      </c>
      <c r="I463" s="2" t="str">
        <f>IFERROR(__xludf.DUMMYFUNCTION("GOOGLETRANSLATE(C463,""fr"",""en"")"),"Customer for years with 3 contracts today I am satisfied with the telephone welcome, advice and prices which allow several contracts.")</f>
        <v>Customer for years with 3 contracts today I am satisfied with the telephone welcome, advice and prices which allow several contracts.</v>
      </c>
    </row>
    <row r="464" ht="15.75" customHeight="1">
      <c r="A464" s="2">
        <v>2.0</v>
      </c>
      <c r="B464" s="2" t="s">
        <v>1386</v>
      </c>
      <c r="C464" s="2" t="s">
        <v>1387</v>
      </c>
      <c r="D464" s="2" t="s">
        <v>287</v>
      </c>
      <c r="E464" s="2" t="s">
        <v>77</v>
      </c>
      <c r="F464" s="2" t="s">
        <v>15</v>
      </c>
      <c r="G464" s="2" t="s">
        <v>1388</v>
      </c>
      <c r="H464" s="2" t="s">
        <v>270</v>
      </c>
      <c r="I464" s="2" t="str">
        <f>IFERROR(__xludf.DUMMYFUNCTION("GOOGLETRANSLATE(C464,""fr"",""en"")"),"Laxism incompetence bad faith a disaster management manage leading to a responsibility action after 3 years of calamitous and irresponsible management in hell
")</f>
        <v>Laxism incompetence bad faith a disaster management manage leading to a responsibility action after 3 years of calamitous and irresponsible management in hell
</v>
      </c>
    </row>
    <row r="465" ht="15.75" customHeight="1">
      <c r="A465" s="2">
        <v>1.0</v>
      </c>
      <c r="B465" s="2" t="s">
        <v>1389</v>
      </c>
      <c r="C465" s="2" t="s">
        <v>1390</v>
      </c>
      <c r="D465" s="2" t="s">
        <v>287</v>
      </c>
      <c r="E465" s="2" t="s">
        <v>77</v>
      </c>
      <c r="F465" s="2" t="s">
        <v>15</v>
      </c>
      <c r="G465" s="2" t="s">
        <v>1391</v>
      </c>
      <c r="H465" s="2" t="s">
        <v>266</v>
      </c>
      <c r="I465" s="2" t="str">
        <f>IFERROR(__xludf.DUMMYFUNCTION("GOOGLETRANSLATE(C465,""fr"",""en"")"),"Insurer that provides nothing at all. The disaster bathroom, mold, gondola tiles is not serious. The expert believes that I can pass the bleach myself, yes yes. It makes everyone laugh at the story of bleach on tiling joints. But the GMF believes it.
I a"&amp;"m sure reconstruction value to new, but GMF still applies a dilapidation.
Impossible to reach an advisor to discuss.
The file is transferred from services to services.
")</f>
        <v>Insurer that provides nothing at all. The disaster bathroom, mold, gondola tiles is not serious. The expert believes that I can pass the bleach myself, yes yes. It makes everyone laugh at the story of bleach on tiling joints. But the GMF believes it.
I am sure reconstruction value to new, but GMF still applies a dilapidation.
Impossible to reach an advisor to discuss.
The file is transferred from services to services.
</v>
      </c>
    </row>
    <row r="466" ht="15.75" customHeight="1">
      <c r="A466" s="2">
        <v>3.0</v>
      </c>
      <c r="B466" s="2" t="s">
        <v>1392</v>
      </c>
      <c r="C466" s="2" t="s">
        <v>1393</v>
      </c>
      <c r="D466" s="2" t="s">
        <v>13</v>
      </c>
      <c r="E466" s="2" t="s">
        <v>14</v>
      </c>
      <c r="F466" s="2" t="s">
        <v>15</v>
      </c>
      <c r="G466" s="2" t="s">
        <v>1012</v>
      </c>
      <c r="H466" s="2" t="s">
        <v>17</v>
      </c>
      <c r="I466" s="2" t="str">
        <f>IFERROR(__xludf.DUMMYFUNCTION("GOOGLETRANSLATE(C466,""fr"",""en"")"),"Attractive price at registration but which increases quickly from year to year.
Not on advising this insurance to those around me, moreover, seeing to change.")</f>
        <v>Attractive price at registration but which increases quickly from year to year.
Not on advising this insurance to those around me, moreover, seeing to change.</v>
      </c>
    </row>
    <row r="467" ht="15.75" customHeight="1">
      <c r="A467" s="2">
        <v>5.0</v>
      </c>
      <c r="B467" s="2" t="s">
        <v>1394</v>
      </c>
      <c r="C467" s="2" t="s">
        <v>1395</v>
      </c>
      <c r="D467" s="2" t="s">
        <v>47</v>
      </c>
      <c r="E467" s="2" t="s">
        <v>14</v>
      </c>
      <c r="F467" s="2" t="s">
        <v>15</v>
      </c>
      <c r="G467" s="2" t="s">
        <v>1396</v>
      </c>
      <c r="H467" s="2" t="s">
        <v>343</v>
      </c>
      <c r="I467" s="2" t="str">
        <f>IFERROR(__xludf.DUMMYFUNCTION("GOOGLETRANSLATE(C467,""fr"",""en"")"),"I am not disappointed with the loss management and the speed it is done without worry or unpleasant surprises. As well as monitoring of my. Thank you.")</f>
        <v>I am not disappointed with the loss management and the speed it is done without worry or unpleasant surprises. As well as monitoring of my. Thank you.</v>
      </c>
    </row>
    <row r="468" ht="15.75" customHeight="1">
      <c r="A468" s="2">
        <v>2.0</v>
      </c>
      <c r="B468" s="2" t="s">
        <v>1397</v>
      </c>
      <c r="C468" s="2" t="s">
        <v>1398</v>
      </c>
      <c r="D468" s="2" t="s">
        <v>63</v>
      </c>
      <c r="E468" s="2" t="s">
        <v>14</v>
      </c>
      <c r="F468" s="2" t="s">
        <v>15</v>
      </c>
      <c r="G468" s="2" t="s">
        <v>1399</v>
      </c>
      <c r="H468" s="2" t="s">
        <v>485</v>
      </c>
      <c r="I468" s="2" t="str">
        <f>IFERROR(__xludf.DUMMYFUNCTION("GOOGLETRANSLATE(C468,""fr"",""en"")"),"Communication outright in incompetence.
Perpetual change of interlocutor which even more harms communication.
No mutualist spirit despite the advertising made.
Better not to have a claim, because it becomes a hell. This was not the case a decade ago.
"&amp;"MAIF has become an insurer like another see worse with their incompetence.
Finally, it is better to know the general conditions because, they do not know them.
")</f>
        <v>Communication outright in incompetence.
Perpetual change of interlocutor which even more harms communication.
No mutualist spirit despite the advertising made.
Better not to have a claim, because it becomes a hell. This was not the case a decade ago.
MAIF has become an insurer like another see worse with their incompetence.
Finally, it is better to know the general conditions because, they do not know them.
</v>
      </c>
    </row>
    <row r="469" ht="15.75" customHeight="1">
      <c r="A469" s="2">
        <v>5.0</v>
      </c>
      <c r="B469" s="2" t="s">
        <v>1400</v>
      </c>
      <c r="C469" s="2" t="s">
        <v>1401</v>
      </c>
      <c r="D469" s="2" t="s">
        <v>97</v>
      </c>
      <c r="E469" s="2" t="s">
        <v>43</v>
      </c>
      <c r="F469" s="2" t="s">
        <v>15</v>
      </c>
      <c r="G469" s="2" t="s">
        <v>1402</v>
      </c>
      <c r="H469" s="2" t="s">
        <v>56</v>
      </c>
      <c r="I469" s="2" t="str">
        <f>IFERROR(__xludf.DUMMYFUNCTION("GOOGLETRANSLATE(C469,""fr"",""en"")"),"Very good fast and simple insurance I recommend more almost take the road for good walking with friends by being well covered with my April insurance")</f>
        <v>Very good fast and simple insurance I recommend more almost take the road for good walking with friends by being well covered with my April insurance</v>
      </c>
    </row>
    <row r="470" ht="15.75" customHeight="1">
      <c r="A470" s="2">
        <v>3.0</v>
      </c>
      <c r="B470" s="2" t="s">
        <v>1403</v>
      </c>
      <c r="C470" s="2" t="s">
        <v>1404</v>
      </c>
      <c r="D470" s="2" t="s">
        <v>13</v>
      </c>
      <c r="E470" s="2" t="s">
        <v>14</v>
      </c>
      <c r="F470" s="2" t="s">
        <v>15</v>
      </c>
      <c r="G470" s="2" t="s">
        <v>1405</v>
      </c>
      <c r="H470" s="2" t="s">
        <v>60</v>
      </c>
      <c r="I470" s="2" t="str">
        <f>IFERROR(__xludf.DUMMYFUNCTION("GOOGLETRANSLATE(C470,""fr"",""en"")"),"Too bad you do not provide all the vehicles because I have a Range Rover that you do not provide. Also the price is sometimes correct on some vehicles not on others. Thanks")</f>
        <v>Too bad you do not provide all the vehicles because I have a Range Rover that you do not provide. Also the price is sometimes correct on some vehicles not on others. Thanks</v>
      </c>
    </row>
    <row r="471" ht="15.75" customHeight="1">
      <c r="A471" s="2">
        <v>2.0</v>
      </c>
      <c r="B471" s="2" t="s">
        <v>1406</v>
      </c>
      <c r="C471" s="2" t="s">
        <v>1407</v>
      </c>
      <c r="D471" s="2" t="s">
        <v>13</v>
      </c>
      <c r="E471" s="2" t="s">
        <v>14</v>
      </c>
      <c r="F471" s="2" t="s">
        <v>15</v>
      </c>
      <c r="G471" s="2" t="s">
        <v>1408</v>
      </c>
      <c r="H471" s="2" t="s">
        <v>60</v>
      </c>
      <c r="I471" s="2" t="str">
        <f>IFERROR(__xludf.DUMMYFUNCTION("GOOGLETRANSLATE(C471,""fr"",""en"")"),"There is no customer assistance service (I was double cash, and all my letters were ignored). The types of the contract cannot be modified. It is extremely difficult to close it. I will start from Direct Insurance as soon as possible.")</f>
        <v>There is no customer assistance service (I was double cash, and all my letters were ignored). The types of the contract cannot be modified. It is extremely difficult to close it. I will start from Direct Insurance as soon as possible.</v>
      </c>
    </row>
    <row r="472" ht="15.75" customHeight="1">
      <c r="A472" s="2">
        <v>5.0</v>
      </c>
      <c r="B472" s="2" t="s">
        <v>1409</v>
      </c>
      <c r="C472" s="2" t="s">
        <v>1410</v>
      </c>
      <c r="D472" s="2" t="s">
        <v>13</v>
      </c>
      <c r="E472" s="2" t="s">
        <v>14</v>
      </c>
      <c r="F472" s="2" t="s">
        <v>15</v>
      </c>
      <c r="G472" s="2" t="s">
        <v>659</v>
      </c>
      <c r="H472" s="2" t="s">
        <v>99</v>
      </c>
      <c r="I472" s="2" t="str">
        <f>IFERROR(__xludf.DUMMYFUNCTION("GOOGLETRANSLATE(C472,""fr"",""en"")"),"I am satisfied with the service
Prices suit me
simple and fast
I am satisfied with the service
Prices suit me
simple and fast
I am satisfied with the service
Prices suit me
simple and fast
")</f>
        <v>I am satisfied with the service
Prices suit me
simple and fast
I am satisfied with the service
Prices suit me
simple and fast
I am satisfied with the service
Prices suit me
simple and fast
</v>
      </c>
    </row>
    <row r="473" ht="15.75" customHeight="1">
      <c r="A473" s="2">
        <v>1.0</v>
      </c>
      <c r="B473" s="2" t="s">
        <v>1411</v>
      </c>
      <c r="C473" s="2" t="s">
        <v>1412</v>
      </c>
      <c r="D473" s="2" t="s">
        <v>168</v>
      </c>
      <c r="E473" s="2" t="s">
        <v>14</v>
      </c>
      <c r="F473" s="2" t="s">
        <v>15</v>
      </c>
      <c r="G473" s="2" t="s">
        <v>662</v>
      </c>
      <c r="H473" s="2" t="s">
        <v>99</v>
      </c>
      <c r="I473" s="2" t="str">
        <f>IFERROR(__xludf.DUMMYFUNCTION("GOOGLETRANSLATE(C473,""fr"",""en"")"),"Very bad he makes me pay the fees file plus 2 months of insurance to tell me after that he could not assure me so no refund for me it remains beautiful speaker")</f>
        <v>Very bad he makes me pay the fees file plus 2 months of insurance to tell me after that he could not assure me so no refund for me it remains beautiful speaker</v>
      </c>
    </row>
    <row r="474" ht="15.75" customHeight="1">
      <c r="A474" s="2">
        <v>3.0</v>
      </c>
      <c r="B474" s="2" t="s">
        <v>1413</v>
      </c>
      <c r="C474" s="2" t="s">
        <v>1414</v>
      </c>
      <c r="D474" s="2" t="s">
        <v>47</v>
      </c>
      <c r="E474" s="2" t="s">
        <v>14</v>
      </c>
      <c r="F474" s="2" t="s">
        <v>15</v>
      </c>
      <c r="G474" s="2" t="s">
        <v>1116</v>
      </c>
      <c r="H474" s="2" t="s">
        <v>17</v>
      </c>
      <c r="I474" s="2" t="str">
        <f>IFERROR(__xludf.DUMMYFUNCTION("GOOGLETRANSLATE(C474,""fr"",""en"")"),"I am satisfied with the service good value for money just a little expensive franchise however I will recommend the olive tree to my friends
Regards Mrs. Bon")</f>
        <v>I am satisfied with the service good value for money just a little expensive franchise however I will recommend the olive tree to my friends
Regards Mrs. Bon</v>
      </c>
    </row>
    <row r="475" ht="15.75" customHeight="1">
      <c r="A475" s="2">
        <v>5.0</v>
      </c>
      <c r="B475" s="2" t="s">
        <v>1415</v>
      </c>
      <c r="C475" s="2" t="s">
        <v>1416</v>
      </c>
      <c r="D475" s="2" t="s">
        <v>47</v>
      </c>
      <c r="E475" s="2" t="s">
        <v>14</v>
      </c>
      <c r="F475" s="2" t="s">
        <v>15</v>
      </c>
      <c r="G475" s="2" t="s">
        <v>1043</v>
      </c>
      <c r="H475" s="2" t="s">
        <v>69</v>
      </c>
      <c r="I475" s="2" t="str">
        <f>IFERROR(__xludf.DUMMYFUNCTION("GOOGLETRANSLATE(C475,""fr"",""en"")"),"Very competent, kind, and efficient interlocutor on the phone. The price is attractive and the criticisms of Internet users are generally elegant.")</f>
        <v>Very competent, kind, and efficient interlocutor on the phone. The price is attractive and the criticisms of Internet users are generally elegant.</v>
      </c>
    </row>
    <row r="476" ht="15.75" customHeight="1">
      <c r="A476" s="2">
        <v>5.0</v>
      </c>
      <c r="B476" s="2" t="s">
        <v>1417</v>
      </c>
      <c r="C476" s="2" t="s">
        <v>1418</v>
      </c>
      <c r="D476" s="2" t="s">
        <v>97</v>
      </c>
      <c r="E476" s="2" t="s">
        <v>43</v>
      </c>
      <c r="F476" s="2" t="s">
        <v>15</v>
      </c>
      <c r="G476" s="2" t="s">
        <v>1419</v>
      </c>
      <c r="H476" s="2" t="s">
        <v>17</v>
      </c>
      <c r="I476" s="2" t="str">
        <f>IFERROR(__xludf.DUMMYFUNCTION("GOOGLETRANSLATE(C476,""fr"",""en"")"),"Good price the site is quite easy to use I recommend April Moto to young biker not having a lot of means the prices are very reasonable!")</f>
        <v>Good price the site is quite easy to use I recommend April Moto to young biker not having a lot of means the prices are very reasonable!</v>
      </c>
    </row>
    <row r="477" ht="15.75" customHeight="1">
      <c r="A477" s="2">
        <v>4.0</v>
      </c>
      <c r="B477" s="2" t="s">
        <v>1420</v>
      </c>
      <c r="C477" s="2" t="s">
        <v>1421</v>
      </c>
      <c r="D477" s="2" t="s">
        <v>13</v>
      </c>
      <c r="E477" s="2" t="s">
        <v>14</v>
      </c>
      <c r="F477" s="2" t="s">
        <v>15</v>
      </c>
      <c r="G477" s="2" t="s">
        <v>1422</v>
      </c>
      <c r="H477" s="2" t="s">
        <v>87</v>
      </c>
      <c r="I477" s="2" t="str">
        <f>IFERROR(__xludf.DUMMYFUNCTION("GOOGLETRANSLATE(C477,""fr"",""en"")"),"Speed, effective. Allows young drivers to have low -cost insurance.
Subscription of insurance quickly and very good responsiveness of salespeople.")</f>
        <v>Speed, effective. Allows young drivers to have low -cost insurance.
Subscription of insurance quickly and very good responsiveness of salespeople.</v>
      </c>
    </row>
    <row r="478" ht="15.75" customHeight="1">
      <c r="A478" s="2">
        <v>1.0</v>
      </c>
      <c r="B478" s="2" t="s">
        <v>1423</v>
      </c>
      <c r="C478" s="2" t="s">
        <v>1424</v>
      </c>
      <c r="D478" s="2" t="s">
        <v>287</v>
      </c>
      <c r="E478" s="2" t="s">
        <v>77</v>
      </c>
      <c r="F478" s="2" t="s">
        <v>15</v>
      </c>
      <c r="G478" s="2" t="s">
        <v>1425</v>
      </c>
      <c r="H478" s="2" t="s">
        <v>609</v>
      </c>
      <c r="I478" s="2" t="str">
        <f>IFERROR(__xludf.DUMMYFUNCTION("GOOGLETRANSLATE(C478,""fr"",""en"")"),"Today it's been more than 2 months that I am waiting for a return from the GMF to a WC loss no new ones
I have been paying insurance that has been doing nothing for its customers for 10 years
in addition to that it does not take the damage at their expe"&amp;"nse
I hallucinated because they took two months to tell me that and in addition the disaster increased given the reactivity time
I strongly recommend this insurance")</f>
        <v>Today it's been more than 2 months that I am waiting for a return from the GMF to a WC loss no new ones
I have been paying insurance that has been doing nothing for its customers for 10 years
in addition to that it does not take the damage at their expense
I hallucinated because they took two months to tell me that and in addition the disaster increased given the reactivity time
I strongly recommend this insurance</v>
      </c>
    </row>
    <row r="479" ht="15.75" customHeight="1">
      <c r="A479" s="2">
        <v>1.0</v>
      </c>
      <c r="B479" s="2" t="s">
        <v>1426</v>
      </c>
      <c r="C479" s="2" t="s">
        <v>1427</v>
      </c>
      <c r="D479" s="2" t="s">
        <v>223</v>
      </c>
      <c r="E479" s="2" t="s">
        <v>14</v>
      </c>
      <c r="F479" s="2" t="s">
        <v>15</v>
      </c>
      <c r="G479" s="2" t="s">
        <v>1428</v>
      </c>
      <c r="H479" s="2" t="s">
        <v>485</v>
      </c>
      <c r="I479" s="2" t="str">
        <f>IFERROR(__xludf.DUMMYFUNCTION("GOOGLETRANSLATE(C479,""fr"",""en"")"),"I am disappointed, when wanting to leave their home, they always find a missing paper, my deceased father he does not want to stop insurance, even there car to break.")</f>
        <v>I am disappointed, when wanting to leave their home, they always find a missing paper, my deceased father he does not want to stop insurance, even there car to break.</v>
      </c>
    </row>
    <row r="480" ht="15.75" customHeight="1">
      <c r="A480" s="2">
        <v>1.0</v>
      </c>
      <c r="B480" s="2" t="s">
        <v>1429</v>
      </c>
      <c r="C480" s="2" t="s">
        <v>1430</v>
      </c>
      <c r="D480" s="2" t="s">
        <v>287</v>
      </c>
      <c r="E480" s="2" t="s">
        <v>14</v>
      </c>
      <c r="F480" s="2" t="s">
        <v>15</v>
      </c>
      <c r="G480" s="2" t="s">
        <v>448</v>
      </c>
      <c r="H480" s="2" t="s">
        <v>17</v>
      </c>
      <c r="I480" s="2" t="str">
        <f>IFERROR(__xludf.DUMMYFUNCTION("GOOGLETRANSLATE(C480,""fr"",""en"")"),"A valid quote on the phone which is no longer in agency!
Impossible to chat with the agent locked in his software and his standards!
Undoubtedly inhuman")</f>
        <v>A valid quote on the phone which is no longer in agency!
Impossible to chat with the agent locked in his software and his standards!
Undoubtedly inhuman</v>
      </c>
    </row>
    <row r="481" ht="15.75" customHeight="1">
      <c r="A481" s="2">
        <v>5.0</v>
      </c>
      <c r="B481" s="2" t="s">
        <v>1431</v>
      </c>
      <c r="C481" s="2" t="s">
        <v>1432</v>
      </c>
      <c r="D481" s="2" t="s">
        <v>97</v>
      </c>
      <c r="E481" s="2" t="s">
        <v>43</v>
      </c>
      <c r="F481" s="2" t="s">
        <v>15</v>
      </c>
      <c r="G481" s="2" t="s">
        <v>1433</v>
      </c>
      <c r="H481" s="2" t="s">
        <v>60</v>
      </c>
      <c r="I481" s="2" t="str">
        <f>IFERROR(__xludf.DUMMYFUNCTION("GOOGLETRANSLATE(C481,""fr"",""en"")"),"Interesting rates.
Speed ​​of subscription.
I would see the rest in use, the quality of the services if I must one day have use of it, and especially the quality of the reimbursements if applicable.
")</f>
        <v>Interesting rates.
Speed ​​of subscription.
I would see the rest in use, the quality of the services if I must one day have use of it, and especially the quality of the reimbursements if applicable.
</v>
      </c>
    </row>
    <row r="482" ht="15.75" customHeight="1">
      <c r="A482" s="2">
        <v>1.0</v>
      </c>
      <c r="B482" s="2" t="s">
        <v>1434</v>
      </c>
      <c r="C482" s="2" t="s">
        <v>1435</v>
      </c>
      <c r="D482" s="2" t="s">
        <v>13</v>
      </c>
      <c r="E482" s="2" t="s">
        <v>14</v>
      </c>
      <c r="F482" s="2" t="s">
        <v>15</v>
      </c>
      <c r="G482" s="2" t="s">
        <v>457</v>
      </c>
      <c r="H482" s="2" t="s">
        <v>56</v>
      </c>
      <c r="I482" s="2" t="str">
        <f>IFERROR(__xludf.DUMMYFUNCTION("GOOGLETRANSLATE(C482,""fr"",""en"")"),"Too expensive, I changed the windshield and € 128 franchise!
1400 € of insurance and pay a deductible of € 128 for a windshield at € 400 is too much.
I change.")</f>
        <v>Too expensive, I changed the windshield and € 128 franchise!
1400 € of insurance and pay a deductible of € 128 for a windshield at € 400 is too much.
I change.</v>
      </c>
    </row>
    <row r="483" ht="15.75" customHeight="1">
      <c r="A483" s="2">
        <v>5.0</v>
      </c>
      <c r="B483" s="2" t="s">
        <v>1436</v>
      </c>
      <c r="C483" s="2" t="s">
        <v>1437</v>
      </c>
      <c r="D483" s="2" t="s">
        <v>890</v>
      </c>
      <c r="E483" s="2" t="s">
        <v>32</v>
      </c>
      <c r="F483" s="2" t="s">
        <v>15</v>
      </c>
      <c r="G483" s="2" t="s">
        <v>1053</v>
      </c>
      <c r="H483" s="2" t="s">
        <v>60</v>
      </c>
      <c r="I483" s="2" t="str">
        <f>IFERROR(__xludf.DUMMYFUNCTION("GOOGLETRANSLATE(C483,""fr"",""en"")"),"I am satisfied with the service and the advice given to me.
Competent and efficient staff, the prices are very attractive.
I highly recommend.")</f>
        <v>I am satisfied with the service and the advice given to me.
Competent and efficient staff, the prices are very attractive.
I highly recommend.</v>
      </c>
    </row>
    <row r="484" ht="15.75" customHeight="1">
      <c r="A484" s="2">
        <v>1.0</v>
      </c>
      <c r="B484" s="2" t="s">
        <v>1438</v>
      </c>
      <c r="C484" s="2" t="s">
        <v>1439</v>
      </c>
      <c r="D484" s="2" t="s">
        <v>341</v>
      </c>
      <c r="E484" s="2" t="s">
        <v>77</v>
      </c>
      <c r="F484" s="2" t="s">
        <v>15</v>
      </c>
      <c r="G484" s="2" t="s">
        <v>1440</v>
      </c>
      <c r="H484" s="2" t="s">
        <v>572</v>
      </c>
      <c r="I484" s="2" t="str">
        <f>IFERROR(__xludf.DUMMYFUNCTION("GOOGLETRANSLATE(C484,""fr"",""en"")"),"Pay home insurance with flight option.
Being flyless, gendarmerie complaint etc.
Maaf does not want to know, reason: you do not have a jewelry option, but you cannot subscribe only if their value exceeds 1000 euros, less than 1000 steps of jewelry optio"&amp;"n, so no reimbursement ... we shoot Round ... What is the flight option in this case?!
: Zero. We are just milk cows! Goodbye the maaf!
")</f>
        <v>Pay home insurance with flight option.
Being flyless, gendarmerie complaint etc.
Maaf does not want to know, reason: you do not have a jewelry option, but you cannot subscribe only if their value exceeds 1000 euros, less than 1000 steps of jewelry option, so no reimbursement ... we shoot Round ... What is the flight option in this case?!
: Zero. We are just milk cows! Goodbye the maaf!
</v>
      </c>
    </row>
    <row r="485" ht="15.75" customHeight="1">
      <c r="A485" s="2">
        <v>1.0</v>
      </c>
      <c r="B485" s="2" t="s">
        <v>1441</v>
      </c>
      <c r="C485" s="2" t="s">
        <v>1442</v>
      </c>
      <c r="D485" s="2" t="s">
        <v>13</v>
      </c>
      <c r="E485" s="2" t="s">
        <v>14</v>
      </c>
      <c r="F485" s="2" t="s">
        <v>15</v>
      </c>
      <c r="G485" s="2" t="s">
        <v>1443</v>
      </c>
      <c r="H485" s="2" t="s">
        <v>394</v>
      </c>
      <c r="I485" s="2" t="str">
        <f>IFERROR(__xludf.DUMMYFUNCTION("GOOGLETRANSLATE(C485,""fr"",""en"")"),"My car has been insured at Direct Insurance All Risks and Assistance 0 km for more than 2 years. I never had problems until last Monday or I came back from my vacation after the Ile de Ré I went up to Paris and on Monday it was the return to Bordeaux. On "&amp;"the Departmental 2020 on a climb has a double direction without land full of my left front tire bursts while I was 110 km/h and my vehicle is deported to the left path. Since it was a descent for the users of this path I supported with all my strength on "&amp;"the mushroom to degasse this path and take refuge on a small path that led to a farm. I called the insurance that asked me to call the assistance who did not want to know anything because: according to them ... listen well ... I was out of the fast way so"&amp;" they (the assistance) could do nothing. It was failed to stay on the fast track even if the cars went down to 110 km/h. As I had taken this intersection just to put the fast way for protected me and well the assistance refused to help me. And on Tuesday "&amp;"when I explained my dissatisfaction to customer service they supported the advice of the assistance. I had to stay on the fast track even if the vehicles went down quickly, I had to leave it even my life to be assisted ..... do you understand that ... ???"&amp;"?? I refrain from defining them. I'm just waiting for my RI.")</f>
        <v>My car has been insured at Direct Insurance All Risks and Assistance 0 km for more than 2 years. I never had problems until last Monday or I came back from my vacation after the Ile de Ré I went up to Paris and on Monday it was the return to Bordeaux. On the Departmental 2020 on a climb has a double direction without land full of my left front tire bursts while I was 110 km/h and my vehicle is deported to the left path. Since it was a descent for the users of this path I supported with all my strength on the mushroom to degasse this path and take refuge on a small path that led to a farm. I called the insurance that asked me to call the assistance who did not want to know anything because: according to them ... listen well ... I was out of the fast way so they (the assistance) could do nothing. It was failed to stay on the fast track even if the cars went down to 110 km/h. As I had taken this intersection just to put the fast way for protected me and well the assistance refused to help me. And on Tuesday when I explained my dissatisfaction to customer service they supported the advice of the assistance. I had to stay on the fast track even if the vehicles went down quickly, I had to leave it even my life to be assisted ..... do you understand that ... ????? I refrain from defining them. I'm just waiting for my RI.</v>
      </c>
    </row>
    <row r="486" ht="15.75" customHeight="1">
      <c r="A486" s="2">
        <v>2.0</v>
      </c>
      <c r="B486" s="2" t="s">
        <v>1444</v>
      </c>
      <c r="C486" s="2" t="s">
        <v>1445</v>
      </c>
      <c r="D486" s="2" t="s">
        <v>1063</v>
      </c>
      <c r="E486" s="2" t="s">
        <v>159</v>
      </c>
      <c r="F486" s="2" t="s">
        <v>15</v>
      </c>
      <c r="G486" s="2" t="s">
        <v>534</v>
      </c>
      <c r="H486" s="2" t="s">
        <v>87</v>
      </c>
      <c r="I486" s="2" t="str">
        <f>IFERROR(__xludf.DUMMYFUNCTION("GOOGLETRANSLATE(C486,""fr"",""en"")"),"Nullissime customer service! Contact by emails several times, no answer if not a questionnaire of satisfaction on the service !!
How do they make reimbursement accounts? Very opaque, no statement ... On the other hand, many coiups of wires to adhere to a"&amp;" higher care ... very disappointed, to avoid +++")</f>
        <v>Nullissime customer service! Contact by emails several times, no answer if not a questionnaire of satisfaction on the service !!
How do they make reimbursement accounts? Very opaque, no statement ... On the other hand, many coiups of wires to adhere to a higher care ... very disappointed, to avoid +++</v>
      </c>
    </row>
    <row r="487" ht="15.75" customHeight="1">
      <c r="A487" s="2">
        <v>1.0</v>
      </c>
      <c r="B487" s="2" t="s">
        <v>1446</v>
      </c>
      <c r="C487" s="2" t="s">
        <v>1447</v>
      </c>
      <c r="D487" s="2" t="s">
        <v>1323</v>
      </c>
      <c r="E487" s="2" t="s">
        <v>159</v>
      </c>
      <c r="F487" s="2" t="s">
        <v>15</v>
      </c>
      <c r="G487" s="2" t="s">
        <v>1448</v>
      </c>
      <c r="H487" s="2" t="s">
        <v>74</v>
      </c>
      <c r="I487" s="2" t="str">
        <f>IFERROR(__xludf.DUMMYFUNCTION("GOOGLETRANSLATE(C487,""fr"",""en"")"),"This is the so -called insurer is reluctant to repay as soon as the invoice exceeds the amount you have contributed!
Execlable telephone exchange with incentive to change insurer.
Too easy !
No interest in taking such insurance")</f>
        <v>This is the so -called insurer is reluctant to repay as soon as the invoice exceeds the amount you have contributed!
Execlable telephone exchange with incentive to change insurer.
Too easy !
No interest in taking such insurance</v>
      </c>
    </row>
    <row r="488" ht="15.75" customHeight="1">
      <c r="A488" s="2">
        <v>1.0</v>
      </c>
      <c r="B488" s="2" t="s">
        <v>1449</v>
      </c>
      <c r="C488" s="2" t="s">
        <v>1450</v>
      </c>
      <c r="D488" s="2" t="s">
        <v>1046</v>
      </c>
      <c r="E488" s="2" t="s">
        <v>1451</v>
      </c>
      <c r="F488" s="2" t="s">
        <v>15</v>
      </c>
      <c r="G488" s="2" t="s">
        <v>1452</v>
      </c>
      <c r="H488" s="2" t="s">
        <v>741</v>
      </c>
      <c r="I488" s="2" t="str">
        <f>IFERROR(__xludf.DUMMYFUNCTION("GOOGLETRANSLATE(C488,""fr"",""en"")"),"Despite several emails and mail by registered mail no response. Request for buying COVID Payment deadline not to respect to date. Insurer to avoid. No telephone line does not respond to a real scandal in 2020. Fortunately that Generali does not manage eme"&amp;"rgencies in hospitals at the moment .... what regret to have taken health, provident and retirement contracts by my company. Insurer to banish from all shops")</f>
        <v>Despite several emails and mail by registered mail no response. Request for buying COVID Payment deadline not to respect to date. Insurer to avoid. No telephone line does not respond to a real scandal in 2020. Fortunately that Generali does not manage emergencies in hospitals at the moment .... what regret to have taken health, provident and retirement contracts by my company. Insurer to banish from all shops</v>
      </c>
    </row>
    <row r="489" ht="15.75" customHeight="1">
      <c r="A489" s="2">
        <v>4.0</v>
      </c>
      <c r="B489" s="2" t="s">
        <v>1453</v>
      </c>
      <c r="C489" s="2" t="s">
        <v>1454</v>
      </c>
      <c r="D489" s="2" t="s">
        <v>72</v>
      </c>
      <c r="E489" s="2" t="s">
        <v>21</v>
      </c>
      <c r="F489" s="2" t="s">
        <v>15</v>
      </c>
      <c r="G489" s="2" t="s">
        <v>1455</v>
      </c>
      <c r="H489" s="2" t="s">
        <v>270</v>
      </c>
      <c r="I489" s="2" t="str">
        <f>IFERROR(__xludf.DUMMYFUNCTION("GOOGLETRANSLATE(C489,""fr"",""en"")"),"Very good care from Erika, very professional welcome and advice. Thanks.")</f>
        <v>Very good care from Erika, very professional welcome and advice. Thanks.</v>
      </c>
    </row>
    <row r="490" ht="15.75" customHeight="1">
      <c r="A490" s="2">
        <v>2.0</v>
      </c>
      <c r="B490" s="2" t="s">
        <v>1456</v>
      </c>
      <c r="C490" s="2" t="s">
        <v>1457</v>
      </c>
      <c r="D490" s="2" t="s">
        <v>13</v>
      </c>
      <c r="E490" s="2" t="s">
        <v>14</v>
      </c>
      <c r="F490" s="2" t="s">
        <v>15</v>
      </c>
      <c r="G490" s="2" t="s">
        <v>1458</v>
      </c>
      <c r="H490" s="2" t="s">
        <v>805</v>
      </c>
      <c r="I490" s="2" t="str">
        <f>IFERROR(__xludf.DUMMYFUNCTION("GOOGLETRANSLATE(C490,""fr"",""en"")"),"Very disappointed, zero communication, does not defend his insured people even when on a roundabout we refuse you the priority!")</f>
        <v>Very disappointed, zero communication, does not defend his insured people even when on a roundabout we refuse you the priority!</v>
      </c>
    </row>
    <row r="491" ht="15.75" customHeight="1">
      <c r="A491" s="2">
        <v>2.0</v>
      </c>
      <c r="B491" s="2" t="s">
        <v>1459</v>
      </c>
      <c r="C491" s="2" t="s">
        <v>1460</v>
      </c>
      <c r="D491" s="2" t="s">
        <v>196</v>
      </c>
      <c r="E491" s="2" t="s">
        <v>77</v>
      </c>
      <c r="F491" s="2" t="s">
        <v>15</v>
      </c>
      <c r="G491" s="2" t="s">
        <v>384</v>
      </c>
      <c r="H491" s="2" t="s">
        <v>23</v>
      </c>
      <c r="I491" s="2" t="str">
        <f>IFERROR(__xludf.DUMMYFUNCTION("GOOGLETRANSLATE(C491,""fr"",""en"")"),"In my home contract I am assured for nomadic devices, my daughter is robbed of her Huawei P10 Pro € 699 in 2017. Refunded 24 €
Current estimate MATMUT 299 € without any explanation and despite the supporting documents - 40% Vetusted - 150 € deductible, s"&amp;"candalous compensation for a contribution of € 10 monthly.
I asked for a review of compensation")</f>
        <v>In my home contract I am assured for nomadic devices, my daughter is robbed of her Huawei P10 Pro € 699 in 2017. Refunded 24 €
Current estimate MATMUT 299 € without any explanation and despite the supporting documents - 40% Vetusted - 150 € deductible, scandalous compensation for a contribution of € 10 monthly.
I asked for a review of compensation</v>
      </c>
    </row>
    <row r="492" ht="15.75" customHeight="1">
      <c r="A492" s="2">
        <v>1.0</v>
      </c>
      <c r="B492" s="2" t="s">
        <v>1461</v>
      </c>
      <c r="C492" s="2" t="s">
        <v>1462</v>
      </c>
      <c r="D492" s="2" t="s">
        <v>239</v>
      </c>
      <c r="E492" s="2" t="s">
        <v>21</v>
      </c>
      <c r="F492" s="2" t="s">
        <v>15</v>
      </c>
      <c r="G492" s="2" t="s">
        <v>1463</v>
      </c>
      <c r="H492" s="2" t="s">
        <v>34</v>
      </c>
      <c r="I492" s="2" t="str">
        <f>IFERROR(__xludf.DUMMYFUNCTION("GOOGLETRANSLATE(C492,""fr"",""en"")"),"Customer service of complementary health of very bad faith, be wary. I terminated by simple mail in September 2018 for December (I believe that it is very serious), I received in January 2019 a letter refusing my termination of September on the grounds th"&amp;"at the mail received in September with my request for termination was not by registered mail !!!! They claim to have responded to my paper mail by email to me and my insurer. Neither of us received emails. In short, to be quiet I have unilaterally put an "&amp;"end to the samples. Mutual to avoid.
Christophe Havard
")</f>
        <v>Customer service of complementary health of very bad faith, be wary. I terminated by simple mail in September 2018 for December (I believe that it is very serious), I received in January 2019 a letter refusing my termination of September on the grounds that the mail received in September with my request for termination was not by registered mail !!!! They claim to have responded to my paper mail by email to me and my insurer. Neither of us received emails. In short, to be quiet I have unilaterally put an end to the samples. Mutual to avoid.
Christophe Havard
</v>
      </c>
    </row>
    <row r="493" ht="15.75" customHeight="1">
      <c r="A493" s="2">
        <v>2.0</v>
      </c>
      <c r="B493" s="2" t="s">
        <v>1464</v>
      </c>
      <c r="C493" s="2" t="s">
        <v>1465</v>
      </c>
      <c r="D493" s="2" t="s">
        <v>63</v>
      </c>
      <c r="E493" s="2" t="s">
        <v>77</v>
      </c>
      <c r="F493" s="2" t="s">
        <v>15</v>
      </c>
      <c r="G493" s="2" t="s">
        <v>1466</v>
      </c>
      <c r="H493" s="2" t="s">
        <v>330</v>
      </c>
      <c r="I493" s="2" t="str">
        <f>IFERROR(__xludf.DUMMYFUNCTION("GOOGLETRANSLATE(C493,""fr"",""en"")"),"MAIF legal protection is useless because MAIF is content to write a typical letter that you can easily find on the Internet. Maif does not respond to his members when it's a bit complicated.")</f>
        <v>MAIF legal protection is useless because MAIF is content to write a typical letter that you can easily find on the Internet. Maif does not respond to his members when it's a bit complicated.</v>
      </c>
    </row>
    <row r="494" ht="15.75" customHeight="1">
      <c r="A494" s="2">
        <v>2.0</v>
      </c>
      <c r="B494" s="2" t="s">
        <v>1467</v>
      </c>
      <c r="C494" s="2" t="s">
        <v>1468</v>
      </c>
      <c r="D494" s="2" t="s">
        <v>13</v>
      </c>
      <c r="E494" s="2" t="s">
        <v>14</v>
      </c>
      <c r="F494" s="2" t="s">
        <v>15</v>
      </c>
      <c r="G494" s="2" t="s">
        <v>1264</v>
      </c>
      <c r="H494" s="2" t="s">
        <v>87</v>
      </c>
      <c r="I494" s="2" t="str">
        <f>IFERROR(__xludf.DUMMYFUNCTION("GOOGLETRANSLATE(C494,""fr"",""en"")"),"This year you have increased the auto contract by 3] °. I did 1500kms in the year. This increase is not justified for this year. Being a subscriber to a car more insurance did not increase after the newspaper.")</f>
        <v>This year you have increased the auto contract by 3] °. I did 1500kms in the year. This increase is not justified for this year. Being a subscriber to a car more insurance did not increase after the newspaper.</v>
      </c>
    </row>
    <row r="495" ht="15.75" customHeight="1">
      <c r="A495" s="2">
        <v>1.0</v>
      </c>
      <c r="B495" s="2" t="s">
        <v>1469</v>
      </c>
      <c r="C495" s="2" t="s">
        <v>1470</v>
      </c>
      <c r="D495" s="2" t="s">
        <v>37</v>
      </c>
      <c r="E495" s="2" t="s">
        <v>21</v>
      </c>
      <c r="F495" s="2" t="s">
        <v>15</v>
      </c>
      <c r="G495" s="2" t="s">
        <v>1471</v>
      </c>
      <c r="H495" s="2" t="s">
        <v>220</v>
      </c>
      <c r="I495" s="2" t="str">
        <f>IFERROR(__xludf.DUMMYFUNCTION("GOOGLETRANSLATE(C495,""fr"",""en"")"),"Catastrophic for 3 months, I am supposed to be 14 euros per month with ACS but I am levied 67 euros. No positive interlocutor, it's been 5 times that I go to my agency but the staff do not know what to say to me, I will terminate!")</f>
        <v>Catastrophic for 3 months, I am supposed to be 14 euros per month with ACS but I am levied 67 euros. No positive interlocutor, it's been 5 times that I go to my agency but the staff do not know what to say to me, I will terminate!</v>
      </c>
    </row>
    <row r="496" ht="15.75" customHeight="1">
      <c r="A496" s="2">
        <v>5.0</v>
      </c>
      <c r="B496" s="2" t="s">
        <v>1472</v>
      </c>
      <c r="C496" s="2" t="s">
        <v>1473</v>
      </c>
      <c r="D496" s="2" t="s">
        <v>97</v>
      </c>
      <c r="E496" s="2" t="s">
        <v>43</v>
      </c>
      <c r="F496" s="2" t="s">
        <v>15</v>
      </c>
      <c r="G496" s="2" t="s">
        <v>16</v>
      </c>
      <c r="H496" s="2" t="s">
        <v>17</v>
      </c>
      <c r="I496" s="2" t="str">
        <f>IFERROR(__xludf.DUMMYFUNCTION("GOOGLETRANSLATE(C496,""fr"",""en"")"),"Fast, simple and efficient
I did not know this insurance, thanks to the lynx it is done
If however I had to advise her to a third person, I would do it without hesitation")</f>
        <v>Fast, simple and efficient
I did not know this insurance, thanks to the lynx it is done
If however I had to advise her to a third person, I would do it without hesitation</v>
      </c>
    </row>
    <row r="497" ht="15.75" customHeight="1">
      <c r="A497" s="2">
        <v>5.0</v>
      </c>
      <c r="B497" s="2" t="s">
        <v>1474</v>
      </c>
      <c r="C497" s="2" t="s">
        <v>1475</v>
      </c>
      <c r="D497" s="2" t="s">
        <v>63</v>
      </c>
      <c r="E497" s="2" t="s">
        <v>77</v>
      </c>
      <c r="F497" s="2" t="s">
        <v>15</v>
      </c>
      <c r="G497" s="2" t="s">
        <v>1476</v>
      </c>
      <c r="H497" s="2" t="s">
        <v>266</v>
      </c>
      <c r="I497" s="2" t="str">
        <f>IFERROR(__xludf.DUMMYFUNCTION("GOOGLETRANSLATE(C497,""fr"",""en"")"),"Excellent coverage for a family")</f>
        <v>Excellent coverage for a family</v>
      </c>
    </row>
    <row r="498" ht="15.75" customHeight="1">
      <c r="A498" s="2">
        <v>4.0</v>
      </c>
      <c r="B498" s="2" t="s">
        <v>1477</v>
      </c>
      <c r="C498" s="2" t="s">
        <v>1478</v>
      </c>
      <c r="D498" s="2" t="s">
        <v>13</v>
      </c>
      <c r="E498" s="2" t="s">
        <v>14</v>
      </c>
      <c r="F498" s="2" t="s">
        <v>15</v>
      </c>
      <c r="G498" s="2" t="s">
        <v>373</v>
      </c>
      <c r="H498" s="2" t="s">
        <v>28</v>
      </c>
      <c r="I498" s="2" t="str">
        <f>IFERROR(__xludf.DUMMYFUNCTION("GOOGLETRANSLATE(C498,""fr"",""en"")"),"It's a little too early to put an opinion, but for the moment I can say that Direct Insurance is cheaper than competitors. Here is for the moment I have no concrete reviews")</f>
        <v>It's a little too early to put an opinion, but for the moment I can say that Direct Insurance is cheaper than competitors. Here is for the moment I have no concrete reviews</v>
      </c>
    </row>
    <row r="499" ht="15.75" customHeight="1">
      <c r="A499" s="2">
        <v>2.0</v>
      </c>
      <c r="B499" s="2" t="s">
        <v>1479</v>
      </c>
      <c r="C499" s="2" t="s">
        <v>1480</v>
      </c>
      <c r="D499" s="2" t="s">
        <v>20</v>
      </c>
      <c r="E499" s="2" t="s">
        <v>21</v>
      </c>
      <c r="F499" s="2" t="s">
        <v>15</v>
      </c>
      <c r="G499" s="2" t="s">
        <v>1481</v>
      </c>
      <c r="H499" s="2" t="s">
        <v>161</v>
      </c>
      <c r="I499" s="2" t="str">
        <f>IFERROR(__xludf.DUMMYFUNCTION("GOOGLETRANSLATE(C499,""fr"",""en"")"),"Waiting far too long to do this refund and also when you send a letter I do not advise this mutual a lot of the advertising at all they said quick reimbursements ?? I think I'm going to change my deadline for December")</f>
        <v>Waiting far too long to do this refund and also when you send a letter I do not advise this mutual a lot of the advertising at all they said quick reimbursements ?? I think I'm going to change my deadline for December</v>
      </c>
    </row>
    <row r="500" ht="15.75" customHeight="1">
      <c r="A500" s="2">
        <v>2.0</v>
      </c>
      <c r="B500" s="2" t="s">
        <v>1482</v>
      </c>
      <c r="C500" s="2" t="s">
        <v>1483</v>
      </c>
      <c r="D500" s="2" t="s">
        <v>13</v>
      </c>
      <c r="E500" s="2" t="s">
        <v>14</v>
      </c>
      <c r="F500" s="2" t="s">
        <v>15</v>
      </c>
      <c r="G500" s="2" t="s">
        <v>1484</v>
      </c>
      <c r="H500" s="2" t="s">
        <v>69</v>
      </c>
      <c r="I500" s="2" t="str">
        <f>IFERROR(__xludf.DUMMYFUNCTION("GOOGLETRANSLATE(C500,""fr"",""en"")"),"Uns about satisfied with a deduction problem no new presentation which is not commercial for me or at least warn it before!")</f>
        <v>Uns about satisfied with a deduction problem no new presentation which is not commercial for me or at least warn it before!</v>
      </c>
    </row>
    <row r="501" ht="15.75" customHeight="1">
      <c r="A501" s="2">
        <v>4.0</v>
      </c>
      <c r="B501" s="2" t="s">
        <v>1485</v>
      </c>
      <c r="C501" s="2" t="s">
        <v>1486</v>
      </c>
      <c r="D501" s="2" t="s">
        <v>47</v>
      </c>
      <c r="E501" s="2" t="s">
        <v>14</v>
      </c>
      <c r="F501" s="2" t="s">
        <v>15</v>
      </c>
      <c r="G501" s="2" t="s">
        <v>1487</v>
      </c>
      <c r="H501" s="2" t="s">
        <v>17</v>
      </c>
      <c r="I501" s="2" t="str">
        <f>IFERROR(__xludf.DUMMYFUNCTION("GOOGLETRANSLATE(C501,""fr"",""en"")"),"The price suits me, sends very simple documents, nickel electronic signature.
The 1st contact by phone was fast, to see over time.")</f>
        <v>The price suits me, sends very simple documents, nickel electronic signature.
The 1st contact by phone was fast, to see over time.</v>
      </c>
    </row>
    <row r="502" ht="15.75" customHeight="1">
      <c r="A502" s="2">
        <v>3.0</v>
      </c>
      <c r="B502" s="2" t="s">
        <v>1488</v>
      </c>
      <c r="C502" s="2" t="s">
        <v>1489</v>
      </c>
      <c r="D502" s="2" t="s">
        <v>13</v>
      </c>
      <c r="E502" s="2" t="s">
        <v>14</v>
      </c>
      <c r="F502" s="2" t="s">
        <v>15</v>
      </c>
      <c r="G502" s="2" t="s">
        <v>1490</v>
      </c>
      <c r="H502" s="2" t="s">
        <v>60</v>
      </c>
      <c r="I502" s="2" t="str">
        <f>IFERROR(__xludf.DUMMYFUNCTION("GOOGLETRANSLATE(C502,""fr"",""en"")"),"The prizes do not reward loyalty or the number of contracts subscribed.
They increase each year while the bonus increases. They should at least be stable")</f>
        <v>The prizes do not reward loyalty or the number of contracts subscribed.
They increase each year while the bonus increases. They should at least be stable</v>
      </c>
    </row>
    <row r="503" ht="15.75" customHeight="1">
      <c r="A503" s="2">
        <v>4.0</v>
      </c>
      <c r="B503" s="2" t="s">
        <v>1491</v>
      </c>
      <c r="C503" s="2" t="s">
        <v>1492</v>
      </c>
      <c r="D503" s="2" t="s">
        <v>47</v>
      </c>
      <c r="E503" s="2" t="s">
        <v>14</v>
      </c>
      <c r="F503" s="2" t="s">
        <v>15</v>
      </c>
      <c r="G503" s="2" t="s">
        <v>1047</v>
      </c>
      <c r="H503" s="2" t="s">
        <v>56</v>
      </c>
      <c r="I503" s="2" t="str">
        <f>IFERROR(__xludf.DUMMYFUNCTION("GOOGLETRANSLATE(C503,""fr"",""en"")"),"I am satisfied with the service.
I was very well received and I would like it to continue like this.
I delighted to be insured by you.")</f>
        <v>I am satisfied with the service.
I was very well received and I would like it to continue like this.
I delighted to be insured by you.</v>
      </c>
    </row>
    <row r="504" ht="15.75" customHeight="1">
      <c r="A504" s="2">
        <v>5.0</v>
      </c>
      <c r="B504" s="2" t="s">
        <v>1493</v>
      </c>
      <c r="C504" s="2" t="s">
        <v>1494</v>
      </c>
      <c r="D504" s="2" t="s">
        <v>47</v>
      </c>
      <c r="E504" s="2" t="s">
        <v>14</v>
      </c>
      <c r="F504" s="2" t="s">
        <v>15</v>
      </c>
      <c r="G504" s="2" t="s">
        <v>1495</v>
      </c>
      <c r="H504" s="2" t="s">
        <v>56</v>
      </c>
      <c r="I504" s="2" t="str">
        <f>IFERROR(__xludf.DUMMYFUNCTION("GOOGLETRANSLATE(C504,""fr"",""en"")"),"The price is very attractive much cheaper than other insurances, I recommend, the price on options are not high. The quote is fast")</f>
        <v>The price is very attractive much cheaper than other insurances, I recommend, the price on options are not high. The quote is fast</v>
      </c>
    </row>
    <row r="505" ht="15.75" customHeight="1">
      <c r="A505" s="2">
        <v>2.0</v>
      </c>
      <c r="B505" s="2" t="s">
        <v>1496</v>
      </c>
      <c r="C505" s="2" t="s">
        <v>1497</v>
      </c>
      <c r="D505" s="2" t="s">
        <v>13</v>
      </c>
      <c r="E505" s="2" t="s">
        <v>14</v>
      </c>
      <c r="F505" s="2" t="s">
        <v>15</v>
      </c>
      <c r="G505" s="2" t="s">
        <v>1498</v>
      </c>
      <c r="H505" s="2" t="s">
        <v>201</v>
      </c>
      <c r="I505" s="2" t="str">
        <f>IFERROR(__xludf.DUMMYFUNCTION("GOOGLETRANSLATE(C505,""fr"",""en"")"),"quote quickly established but I found best prices in other insurance
Especially since my concubine is already client at home!
You should make better prices when you are several in the same accommodation
")</f>
        <v>quote quickly established but I found best prices in other insurance
Especially since my concubine is already client at home!
You should make better prices when you are several in the same accommodation
</v>
      </c>
    </row>
    <row r="506" ht="15.75" customHeight="1">
      <c r="A506" s="2">
        <v>4.0</v>
      </c>
      <c r="B506" s="2" t="s">
        <v>1499</v>
      </c>
      <c r="C506" s="2" t="s">
        <v>1500</v>
      </c>
      <c r="D506" s="2" t="s">
        <v>97</v>
      </c>
      <c r="E506" s="2" t="s">
        <v>43</v>
      </c>
      <c r="F506" s="2" t="s">
        <v>15</v>
      </c>
      <c r="G506" s="2" t="s">
        <v>437</v>
      </c>
      <c r="H506" s="2" t="s">
        <v>56</v>
      </c>
      <c r="I506" s="2" t="str">
        <f>IFERROR(__xludf.DUMMYFUNCTION("GOOGLETRANSLATE(C506,""fr"",""en"")"),"The price is very good compared to other insurances. The subscription is easy and quick, I will be able to quickly recover my motorcycle. Some options are interesting to take.")</f>
        <v>The price is very good compared to other insurances. The subscription is easy and quick, I will be able to quickly recover my motorcycle. Some options are interesting to take.</v>
      </c>
    </row>
    <row r="507" ht="15.75" customHeight="1">
      <c r="A507" s="2">
        <v>4.0</v>
      </c>
      <c r="B507" s="2" t="s">
        <v>1501</v>
      </c>
      <c r="C507" s="2" t="s">
        <v>1502</v>
      </c>
      <c r="D507" s="2" t="s">
        <v>13</v>
      </c>
      <c r="E507" s="2" t="s">
        <v>14</v>
      </c>
      <c r="F507" s="2" t="s">
        <v>15</v>
      </c>
      <c r="G507" s="2" t="s">
        <v>848</v>
      </c>
      <c r="H507" s="2" t="s">
        <v>99</v>
      </c>
      <c r="I507" s="2" t="str">
        <f>IFERROR(__xludf.DUMMYFUNCTION("GOOGLETRANSLATE(C507,""fr"",""en"")"),"I am satisfied with the price.
I haven't had special requests to make for the moment.
We will see in use if the guarantees are good and customer service too.")</f>
        <v>I am satisfied with the price.
I haven't had special requests to make for the moment.
We will see in use if the guarantees are good and customer service too.</v>
      </c>
    </row>
    <row r="508" ht="15.75" customHeight="1">
      <c r="A508" s="2">
        <v>4.0</v>
      </c>
      <c r="B508" s="2" t="s">
        <v>1503</v>
      </c>
      <c r="C508" s="2" t="s">
        <v>1504</v>
      </c>
      <c r="D508" s="2" t="s">
        <v>97</v>
      </c>
      <c r="E508" s="2" t="s">
        <v>43</v>
      </c>
      <c r="F508" s="2" t="s">
        <v>15</v>
      </c>
      <c r="G508" s="2" t="s">
        <v>1289</v>
      </c>
      <c r="H508" s="2" t="s">
        <v>69</v>
      </c>
      <c r="I508" s="2" t="str">
        <f>IFERROR(__xludf.DUMMYFUNCTION("GOOGLETRANSLATE(C508,""fr"",""en"")"),"Very happy with the price and to be able to modify your contract with the options that can be removed and adjusted to the desire.")</f>
        <v>Very happy with the price and to be able to modify your contract with the options that can be removed and adjusted to the desire.</v>
      </c>
    </row>
    <row r="509" ht="15.75" customHeight="1">
      <c r="A509" s="2">
        <v>5.0</v>
      </c>
      <c r="B509" s="2" t="s">
        <v>1505</v>
      </c>
      <c r="C509" s="2" t="s">
        <v>1506</v>
      </c>
      <c r="D509" s="2" t="s">
        <v>97</v>
      </c>
      <c r="E509" s="2" t="s">
        <v>43</v>
      </c>
      <c r="F509" s="2" t="s">
        <v>15</v>
      </c>
      <c r="G509" s="2" t="s">
        <v>1490</v>
      </c>
      <c r="H509" s="2" t="s">
        <v>60</v>
      </c>
      <c r="I509" s="2" t="str">
        <f>IFERROR(__xludf.DUMMYFUNCTION("GOOGLETRANSLATE(C509,""fr"",""en"")"),"I am satisfied with the price is the quality of the quote and the prices are interesting and very satisfied with the service and the proposals of the price and very satisfactory")</f>
        <v>I am satisfied with the price is the quality of the quote and the prices are interesting and very satisfied with the service and the proposals of the price and very satisfactory</v>
      </c>
    </row>
    <row r="510" ht="15.75" customHeight="1">
      <c r="A510" s="2">
        <v>5.0</v>
      </c>
      <c r="B510" s="2" t="s">
        <v>1507</v>
      </c>
      <c r="C510" s="2" t="s">
        <v>1508</v>
      </c>
      <c r="D510" s="2" t="s">
        <v>13</v>
      </c>
      <c r="E510" s="2" t="s">
        <v>14</v>
      </c>
      <c r="F510" s="2" t="s">
        <v>15</v>
      </c>
      <c r="G510" s="2" t="s">
        <v>1081</v>
      </c>
      <c r="H510" s="2" t="s">
        <v>17</v>
      </c>
      <c r="I510" s="2" t="str">
        <f>IFERROR(__xludf.DUMMYFUNCTION("GOOGLETRANSLATE(C510,""fr"",""en"")"),"Good car insurance service with very attractive rates. Bon car insurance service with interesting rates and a good very simplified site.")</f>
        <v>Good car insurance service with very attractive rates. Bon car insurance service with interesting rates and a good very simplified site.</v>
      </c>
    </row>
    <row r="511" ht="15.75" customHeight="1">
      <c r="A511" s="2">
        <v>5.0</v>
      </c>
      <c r="B511" s="2" t="s">
        <v>1509</v>
      </c>
      <c r="C511" s="2" t="s">
        <v>1510</v>
      </c>
      <c r="D511" s="2" t="s">
        <v>287</v>
      </c>
      <c r="E511" s="2" t="s">
        <v>14</v>
      </c>
      <c r="F511" s="2" t="s">
        <v>15</v>
      </c>
      <c r="G511" s="2" t="s">
        <v>273</v>
      </c>
      <c r="H511" s="2" t="s">
        <v>28</v>
      </c>
      <c r="I511" s="2" t="str">
        <f>IFERROR(__xludf.DUMMYFUNCTION("GOOGLETRANSLATE(C511,""fr"",""en"")"),"Very happy with the quality of your service after many years, the prices are correct and you are very responsive in the event of a problem !!
GMF is an insurance that we can count on !!")</f>
        <v>Very happy with the quality of your service after many years, the prices are correct and you are very responsive in the event of a problem !!
GMF is an insurance that we can count on !!</v>
      </c>
    </row>
    <row r="512" ht="15.75" customHeight="1">
      <c r="A512" s="2">
        <v>2.0</v>
      </c>
      <c r="B512" s="2" t="s">
        <v>1511</v>
      </c>
      <c r="C512" s="2" t="s">
        <v>1512</v>
      </c>
      <c r="D512" s="2" t="s">
        <v>168</v>
      </c>
      <c r="E512" s="2" t="s">
        <v>14</v>
      </c>
      <c r="F512" s="2" t="s">
        <v>15</v>
      </c>
      <c r="G512" s="2" t="s">
        <v>1513</v>
      </c>
      <c r="H512" s="2" t="s">
        <v>572</v>
      </c>
      <c r="I512" s="2" t="str">
        <f>IFERROR(__xludf.DUMMYFUNCTION("GOOGLETRANSLATE(C512,""fr"",""en"")"),"Hello,
Today I wish to share my experience as a customer in this insurance company.
Following a sinister donation I am not responsible, I contact my agency or everything is very good at first.
Then come the relay of the service supported for repairing "&amp;"my vehicle and when I explain to them that I do not wish to put my car in their approved garage they explain to you when the expert does not pass that I must Facing the procedures myself to make a quote and their faxes ....
I put in the morning complet"&amp;"e to receive and re -make the same thing.
 Frankly I do not advise you at all.
")</f>
        <v>Hello,
Today I wish to share my experience as a customer in this insurance company.
Following a sinister donation I am not responsible, I contact my agency or everything is very good at first.
Then come the relay of the service supported for repairing my vehicle and when I explain to them that I do not wish to put my car in their approved garage they explain to you when the expert does not pass that I must Facing the procedures myself to make a quote and their faxes ....
I put in the morning complete to receive and re -make the same thing.
 Frankly I do not advise you at all.
</v>
      </c>
    </row>
    <row r="513" ht="15.75" customHeight="1">
      <c r="A513" s="2">
        <v>3.0</v>
      </c>
      <c r="B513" s="2" t="s">
        <v>1514</v>
      </c>
      <c r="C513" s="2" t="s">
        <v>1515</v>
      </c>
      <c r="D513" s="2" t="s">
        <v>72</v>
      </c>
      <c r="E513" s="2" t="s">
        <v>21</v>
      </c>
      <c r="F513" s="2" t="s">
        <v>15</v>
      </c>
      <c r="G513" s="2" t="s">
        <v>1516</v>
      </c>
      <c r="H513" s="2" t="s">
        <v>39</v>
      </c>
      <c r="I513" s="2" t="str">
        <f>IFERROR(__xludf.DUMMYFUNCTION("GOOGLETRANSLATE(C513,""fr"",""en"")"),"Thank you very much Sabrina, you brought me a lot of information!")</f>
        <v>Thank you very much Sabrina, you brought me a lot of information!</v>
      </c>
    </row>
    <row r="514" ht="15.75" customHeight="1">
      <c r="A514" s="2">
        <v>1.0</v>
      </c>
      <c r="B514" s="2" t="s">
        <v>1517</v>
      </c>
      <c r="C514" s="2" t="s">
        <v>1518</v>
      </c>
      <c r="D514" s="2" t="s">
        <v>341</v>
      </c>
      <c r="E514" s="2" t="s">
        <v>14</v>
      </c>
      <c r="F514" s="2" t="s">
        <v>15</v>
      </c>
      <c r="G514" s="2" t="s">
        <v>1362</v>
      </c>
      <c r="H514" s="2" t="s">
        <v>220</v>
      </c>
      <c r="I514" s="2" t="str">
        <f>IFERROR(__xludf.DUMMYFUNCTION("GOOGLETRANSLATE(C514,""fr"",""en"")"),"Bonus to the maximum. 2 ice breaks at 8 months apart have earned me an abusive termination. The only justification for the advisor: ""You had two too close ice of ice is a computer that calculates"". Scandalous")</f>
        <v>Bonus to the maximum. 2 ice breaks at 8 months apart have earned me an abusive termination. The only justification for the advisor: "You had two too close ice of ice is a computer that calculates". Scandalous</v>
      </c>
    </row>
    <row r="515" ht="15.75" customHeight="1">
      <c r="A515" s="2">
        <v>4.0</v>
      </c>
      <c r="B515" s="2" t="s">
        <v>1519</v>
      </c>
      <c r="C515" s="2" t="s">
        <v>1520</v>
      </c>
      <c r="D515" s="2" t="s">
        <v>13</v>
      </c>
      <c r="E515" s="2" t="s">
        <v>14</v>
      </c>
      <c r="F515" s="2" t="s">
        <v>15</v>
      </c>
      <c r="G515" s="2" t="s">
        <v>1521</v>
      </c>
      <c r="H515" s="2" t="s">
        <v>17</v>
      </c>
      <c r="I515" s="2" t="str">
        <f>IFERROR(__xludf.DUMMYFUNCTION("GOOGLETRANSLATE(C515,""fr"",""en"")"),"Super efficient and fast experience thank you very much and we already have a car and we renew the contract with you. Everything is very good and very clear.")</f>
        <v>Super efficient and fast experience thank you very much and we already have a car and we renew the contract with you. Everything is very good and very clear.</v>
      </c>
    </row>
    <row r="516" ht="15.75" customHeight="1">
      <c r="A516" s="2">
        <v>4.0</v>
      </c>
      <c r="B516" s="2" t="s">
        <v>1522</v>
      </c>
      <c r="C516" s="2" t="s">
        <v>1523</v>
      </c>
      <c r="D516" s="2" t="s">
        <v>253</v>
      </c>
      <c r="E516" s="2" t="s">
        <v>21</v>
      </c>
      <c r="F516" s="2" t="s">
        <v>15</v>
      </c>
      <c r="G516" s="2" t="s">
        <v>1524</v>
      </c>
      <c r="H516" s="2" t="s">
        <v>589</v>
      </c>
      <c r="I516" s="2" t="str">
        <f>IFERROR(__xludf.DUMMYFUNCTION("GOOGLETRANSLATE(C516,""fr"",""en"")"),"Client since 2014")</f>
        <v>Client since 2014</v>
      </c>
    </row>
    <row r="517" ht="15.75" customHeight="1">
      <c r="A517" s="2">
        <v>5.0</v>
      </c>
      <c r="B517" s="2" t="s">
        <v>1525</v>
      </c>
      <c r="C517" s="2" t="s">
        <v>1526</v>
      </c>
      <c r="D517" s="2" t="s">
        <v>97</v>
      </c>
      <c r="E517" s="2" t="s">
        <v>43</v>
      </c>
      <c r="F517" s="2" t="s">
        <v>15</v>
      </c>
      <c r="G517" s="2" t="s">
        <v>1527</v>
      </c>
      <c r="H517" s="2" t="s">
        <v>56</v>
      </c>
      <c r="I517" s="2" t="str">
        <f>IFERROR(__xludf.DUMMYFUNCTION("GOOGLETRANSLATE(C517,""fr"",""en"")"),"Very satisfied, preferential price compared to the quote of my current insurance (-250 euros over the year), I will look at what it is for my other vehicles.")</f>
        <v>Very satisfied, preferential price compared to the quote of my current insurance (-250 euros over the year), I will look at what it is for my other vehicles.</v>
      </c>
    </row>
    <row r="518" ht="15.75" customHeight="1">
      <c r="A518" s="2">
        <v>2.0</v>
      </c>
      <c r="B518" s="2" t="s">
        <v>1528</v>
      </c>
      <c r="C518" s="2" t="s">
        <v>1529</v>
      </c>
      <c r="D518" s="2" t="s">
        <v>287</v>
      </c>
      <c r="E518" s="2" t="s">
        <v>77</v>
      </c>
      <c r="F518" s="2" t="s">
        <v>15</v>
      </c>
      <c r="G518" s="2" t="s">
        <v>48</v>
      </c>
      <c r="H518" s="2" t="s">
        <v>49</v>
      </c>
      <c r="I518" s="2" t="str">
        <f>IFERROR(__xludf.DUMMYFUNCTION("GOOGLETRANSLATE(C518,""fr"",""en"")"),"Crail sinister in August 2020. Delegation of works to the Domus provider to facilitate the management of repairs. My contract specifies compensation without application of obsolete rate. Visit the expert who took the trouble to check the damage on the roo"&amp;"f but could note the apparent damage under the veranda. To date, no repair, no follow -up, no letter by mail or by email. The 4 quotes of the craftsmen are systematically refused because the amount of compensation proposed by the GMF does not take into ac"&amp;"count all of the damage to be repaired. Yet the craftsmen came to see with precision the reality of the damage by climbing on the roof. Worse, as soon as I call, GMF agents (which are never the same and are very difficult to reach - 20 minutes of waiting "&amp;"or message to recall) hang up on the nose during conversation or do not give me a satisfactory response And this despite a letter sent with the photos. Finally, the GMF litigation department offers me to pay for a counter expertise at my expense. I conclu"&amp;"de, after a year and a half (period during which, it rained, snowed, etc.) that the damage is still there and perhaps even accentuated.
Conclusion: inexpensive insurance but which compensates you badly or not at all. To flee")</f>
        <v>Crail sinister in August 2020. Delegation of works to the Domus provider to facilitate the management of repairs. My contract specifies compensation without application of obsolete rate. Visit the expert who took the trouble to check the damage on the roof but could note the apparent damage under the veranda. To date, no repair, no follow -up, no letter by mail or by email. The 4 quotes of the craftsmen are systematically refused because the amount of compensation proposed by the GMF does not take into account all of the damage to be repaired. Yet the craftsmen came to see with precision the reality of the damage by climbing on the roof. Worse, as soon as I call, GMF agents (which are never the same and are very difficult to reach - 20 minutes of waiting or message to recall) hang up on the nose during conversation or do not give me a satisfactory response And this despite a letter sent with the photos. Finally, the GMF litigation department offers me to pay for a counter expertise at my expense. I conclude, after a year and a half (period during which, it rained, snowed, etc.) that the damage is still there and perhaps even accentuated.
Conclusion: inexpensive insurance but which compensates you badly or not at all. To flee</v>
      </c>
    </row>
    <row r="519" ht="15.75" customHeight="1">
      <c r="A519" s="2">
        <v>2.0</v>
      </c>
      <c r="B519" s="2" t="s">
        <v>1530</v>
      </c>
      <c r="C519" s="2" t="s">
        <v>1531</v>
      </c>
      <c r="D519" s="2" t="s">
        <v>13</v>
      </c>
      <c r="E519" s="2" t="s">
        <v>14</v>
      </c>
      <c r="F519" s="2" t="s">
        <v>15</v>
      </c>
      <c r="G519" s="2" t="s">
        <v>1166</v>
      </c>
      <c r="H519" s="2" t="s">
        <v>343</v>
      </c>
      <c r="I519" s="2" t="str">
        <f>IFERROR(__xludf.DUMMYFUNCTION("GOOGLETRANSLATE(C519,""fr"",""en"")"),"Hello ... I am assured at Direct Insurance since February 2016 ... The initial contract was at the price of 301 euros ... and it increases all years of significant way ... since for 2017..346 euros .... 2018 ... 363 euros ... 2019 ... 374 euros ... 2020 ."&amp;".. 407 euros ... 2021 ... 440 euros ... I arrive to date at the price of competitors with better guarantees and Management .. I will therefore change insurance .... !!!!")</f>
        <v>Hello ... I am assured at Direct Insurance since February 2016 ... The initial contract was at the price of 301 euros ... and it increases all years of significant way ... since for 2017..346 euros .... 2018 ... 363 euros ... 2019 ... 374 euros ... 2020 ... 407 euros ... 2021 ... 440 euros ... I arrive to date at the price of competitors with better guarantees and Management .. I will therefore change insurance .... !!!!</v>
      </c>
    </row>
    <row r="520" ht="15.75" customHeight="1">
      <c r="A520" s="2">
        <v>2.0</v>
      </c>
      <c r="B520" s="2" t="s">
        <v>1532</v>
      </c>
      <c r="C520" s="2" t="s">
        <v>1533</v>
      </c>
      <c r="D520" s="2" t="s">
        <v>1134</v>
      </c>
      <c r="E520" s="2" t="s">
        <v>21</v>
      </c>
      <c r="F520" s="2" t="s">
        <v>15</v>
      </c>
      <c r="G520" s="2" t="s">
        <v>917</v>
      </c>
      <c r="H520" s="2" t="s">
        <v>845</v>
      </c>
      <c r="I520" s="2" t="str">
        <f>IFERROR(__xludf.DUMMYFUNCTION("GOOGLETRANSLATE(C520,""fr"",""en"")"),"If I could put 0 on satisfaction, it would be done. I have an ALD for my thyroid cancer and since March 2018: reimbursements are in all directions, sometimes the next day, sometimes months later. Gynecology without honorary exceeding, ophthalmologist, etc"&amp;"., we take you out of the ""flat -rate deductions"", based on the costs inherent in my ALD. The joke .... A quote has been submitted since March, I still have no answer. Ah yes, sorry .... that of the CPAM (yes yes) saying no. Well yes, I am not affiliate"&amp;"d to your center but my security center + mutual delivery returns the ball to the CPAM ...
In short, appreciation: has reached the bottom but continues to dig.
If you prospect, if you hesitate on the Mgen .... Foyez, poor madmen.")</f>
        <v>If I could put 0 on satisfaction, it would be done. I have an ALD for my thyroid cancer and since March 2018: reimbursements are in all directions, sometimes the next day, sometimes months later. Gynecology without honorary exceeding, ophthalmologist, etc., we take you out of the "flat -rate deductions", based on the costs inherent in my ALD. The joke .... A quote has been submitted since March, I still have no answer. Ah yes, sorry .... that of the CPAM (yes yes) saying no. Well yes, I am not affiliated to your center but my security center + mutual delivery returns the ball to the CPAM ...
In short, appreciation: has reached the bottom but continues to dig.
If you prospect, if you hesitate on the Mgen .... Foyez, poor madmen.</v>
      </c>
    </row>
    <row r="521" ht="15.75" customHeight="1">
      <c r="A521" s="2">
        <v>1.0</v>
      </c>
      <c r="B521" s="2" t="s">
        <v>1534</v>
      </c>
      <c r="C521" s="2" t="s">
        <v>1535</v>
      </c>
      <c r="D521" s="2" t="s">
        <v>72</v>
      </c>
      <c r="E521" s="2" t="s">
        <v>21</v>
      </c>
      <c r="F521" s="2" t="s">
        <v>15</v>
      </c>
      <c r="G521" s="2" t="s">
        <v>1536</v>
      </c>
      <c r="H521" s="2" t="s">
        <v>191</v>
      </c>
      <c r="I521" s="2" t="str">
        <f>IFERROR(__xludf.DUMMYFUNCTION("GOOGLETRANSLATE(C521,""fr"",""en"")"),"We were assured without our agreement when we had a mutual at work and impossible to stop we have been glued to a subscription for daily allowances hospitalization without anything and bous call you we tell you to pay when we asked nothing Just a quote in"&amp;" anticipation of my husband retirement ....")</f>
        <v>We were assured without our agreement when we had a mutual at work and impossible to stop we have been glued to a subscription for daily allowances hospitalization without anything and bous call you we tell you to pay when we asked nothing Just a quote in anticipation of my husband retirement ....</v>
      </c>
    </row>
    <row r="522" ht="15.75" customHeight="1">
      <c r="A522" s="2">
        <v>2.0</v>
      </c>
      <c r="B522" s="2" t="s">
        <v>1537</v>
      </c>
      <c r="C522" s="2" t="s">
        <v>1538</v>
      </c>
      <c r="D522" s="2" t="s">
        <v>312</v>
      </c>
      <c r="E522" s="2" t="s">
        <v>43</v>
      </c>
      <c r="F522" s="2" t="s">
        <v>15</v>
      </c>
      <c r="G522" s="2" t="s">
        <v>1370</v>
      </c>
      <c r="H522" s="2" t="s">
        <v>670</v>
      </c>
      <c r="I522" s="2" t="str">
        <f>IFERROR(__xludf.DUMMYFUNCTION("GOOGLETRANSLATE(C522,""fr"",""en"")"),"To flee to flee! I was fooled by the attractive prices on the comparator but it is a trap. Pay the double but flee this insurance. I had the total, after I saw everything and saw more than 1 hour 40 on the phone, I provided all the requested parts, I boug"&amp;"ht my motorcycle. The next day they inform me that I am no longer insured. Unpleasant advisers. Even after my request to terminate the contract they do not hesitate to make you pay a monthly payment. A avoids at all costs. Fortunately I did not have a dis"&amp;"aster with them, because I think is incompetence in its best form.")</f>
        <v>To flee to flee! I was fooled by the attractive prices on the comparator but it is a trap. Pay the double but flee this insurance. I had the total, after I saw everything and saw more than 1 hour 40 on the phone, I provided all the requested parts, I bought my motorcycle. The next day they inform me that I am no longer insured. Unpleasant advisers. Even after my request to terminate the contract they do not hesitate to make you pay a monthly payment. A avoids at all costs. Fortunately I did not have a disaster with them, because I think is incompetence in its best form.</v>
      </c>
    </row>
    <row r="523" ht="15.75" customHeight="1">
      <c r="A523" s="2">
        <v>3.0</v>
      </c>
      <c r="B523" s="2" t="s">
        <v>1539</v>
      </c>
      <c r="C523" s="2" t="s">
        <v>1540</v>
      </c>
      <c r="D523" s="2" t="s">
        <v>253</v>
      </c>
      <c r="E523" s="2" t="s">
        <v>21</v>
      </c>
      <c r="F523" s="2" t="s">
        <v>15</v>
      </c>
      <c r="G523" s="2" t="s">
        <v>457</v>
      </c>
      <c r="H523" s="2" t="s">
        <v>56</v>
      </c>
      <c r="I523" s="2" t="str">
        <f>IFERROR(__xludf.DUMMYFUNCTION("GOOGLETRANSLATE(C523,""fr"",""en"")"),"Following my telephone communication the person with whom I conversed, in this case Aminata, was perfect and gave me with great kindness all the information I wanted. I thank him very much.
Serge Rippert.")</f>
        <v>Following my telephone communication the person with whom I conversed, in this case Aminata, was perfect and gave me with great kindness all the information I wanted. I thank him very much.
Serge Rippert.</v>
      </c>
    </row>
    <row r="524" ht="15.75" customHeight="1">
      <c r="A524" s="2">
        <v>3.0</v>
      </c>
      <c r="B524" s="2" t="s">
        <v>1541</v>
      </c>
      <c r="C524" s="2" t="s">
        <v>1542</v>
      </c>
      <c r="D524" s="2" t="s">
        <v>13</v>
      </c>
      <c r="E524" s="2" t="s">
        <v>14</v>
      </c>
      <c r="F524" s="2" t="s">
        <v>15</v>
      </c>
      <c r="G524" s="2" t="s">
        <v>401</v>
      </c>
      <c r="H524" s="2" t="s">
        <v>60</v>
      </c>
      <c r="I524" s="2" t="str">
        <f>IFERROR(__xludf.DUMMYFUNCTION("GOOGLETRANSLATE(C524,""fr"",""en"")"),"I am satisfied with the service. The price seems correct. I never had a claim so I can't say more since I have never made a request.
")</f>
        <v>I am satisfied with the service. The price seems correct. I never had a claim so I can't say more since I have never made a request.
</v>
      </c>
    </row>
    <row r="525" ht="15.75" customHeight="1">
      <c r="A525" s="2">
        <v>2.0</v>
      </c>
      <c r="B525" s="2" t="s">
        <v>1543</v>
      </c>
      <c r="C525" s="2" t="s">
        <v>1544</v>
      </c>
      <c r="D525" s="2" t="s">
        <v>168</v>
      </c>
      <c r="E525" s="2" t="s">
        <v>77</v>
      </c>
      <c r="F525" s="2" t="s">
        <v>15</v>
      </c>
      <c r="G525" s="2" t="s">
        <v>1545</v>
      </c>
      <c r="H525" s="2" t="s">
        <v>670</v>
      </c>
      <c r="I525" s="2" t="str">
        <f>IFERROR(__xludf.DUMMYFUNCTION("GOOGLETRANSLATE(C525,""fr"",""en"")"),"mauvaise assurance xxxxxxxxxxxxxxxxxxxxxxxxxxxxxxxxxxxxxxxxxxxxxxxxxxxxxxxxx")</f>
        <v>mauvaise assurance xxxxxxxxxxxxxxxxxxxxxxxxxxxxxxxxxxxxxxxxxxxxxxxxxxxxxxxxx</v>
      </c>
    </row>
    <row r="526" ht="15.75" customHeight="1">
      <c r="A526" s="2">
        <v>2.0</v>
      </c>
      <c r="B526" s="2" t="s">
        <v>1546</v>
      </c>
      <c r="C526" s="2" t="s">
        <v>1547</v>
      </c>
      <c r="D526" s="2" t="s">
        <v>13</v>
      </c>
      <c r="E526" s="2" t="s">
        <v>14</v>
      </c>
      <c r="F526" s="2" t="s">
        <v>15</v>
      </c>
      <c r="G526" s="2" t="s">
        <v>87</v>
      </c>
      <c r="H526" s="2" t="s">
        <v>87</v>
      </c>
      <c r="I526" s="2" t="str">
        <f>IFERROR(__xludf.DUMMYFUNCTION("GOOGLETRANSLATE(C526,""fr"",""en"")"),"Dissatisfied to have to undergo an increase of 30% on an all-line (I think because of 2 repaired windshield impacts ???) theoretically taken care of but in the end paid by the insured.")</f>
        <v>Dissatisfied to have to undergo an increase of 30% on an all-line (I think because of 2 repaired windshield impacts ???) theoretically taken care of but in the end paid by the insured.</v>
      </c>
    </row>
    <row r="527" ht="15.75" customHeight="1">
      <c r="A527" s="2">
        <v>2.0</v>
      </c>
      <c r="B527" s="2" t="s">
        <v>1548</v>
      </c>
      <c r="C527" s="2" t="s">
        <v>1549</v>
      </c>
      <c r="D527" s="2" t="s">
        <v>341</v>
      </c>
      <c r="E527" s="2" t="s">
        <v>43</v>
      </c>
      <c r="F527" s="2" t="s">
        <v>15</v>
      </c>
      <c r="G527" s="2" t="s">
        <v>1550</v>
      </c>
      <c r="H527" s="2" t="s">
        <v>760</v>
      </c>
      <c r="I527" s="2" t="str">
        <f>IFERROR(__xludf.DUMMYFUNCTION("GOOGLETRANSLATE(C527,""fr"",""en"")"),"The MAAF takes its customers lightly. They make provisional contracts of 1 month to block the customer and engage him and then during this month they allow themselves to do everything as I do not validate the contract if they seem at risk as for young dri"&amp;"vers or other.")</f>
        <v>The MAAF takes its customers lightly. They make provisional contracts of 1 month to block the customer and engage him and then during this month they allow themselves to do everything as I do not validate the contract if they seem at risk as for young drivers or other.</v>
      </c>
    </row>
    <row r="528" ht="15.75" customHeight="1">
      <c r="A528" s="2">
        <v>5.0</v>
      </c>
      <c r="B528" s="2" t="s">
        <v>1551</v>
      </c>
      <c r="C528" s="2" t="s">
        <v>1552</v>
      </c>
      <c r="D528" s="2" t="s">
        <v>13</v>
      </c>
      <c r="E528" s="2" t="s">
        <v>14</v>
      </c>
      <c r="F528" s="2" t="s">
        <v>15</v>
      </c>
      <c r="G528" s="2" t="s">
        <v>992</v>
      </c>
      <c r="H528" s="2" t="s">
        <v>69</v>
      </c>
      <c r="I528" s="2" t="str">
        <f>IFERROR(__xludf.DUMMYFUNCTION("GOOGLETRANSLATE(C528,""fr"",""en"")"),"As usual simple quick is adviser to the top I recommend because I have no problems with Direct Insurance and my 3 contracts Price Clarete and Rapiditis")</f>
        <v>As usual simple quick is adviser to the top I recommend because I have no problems with Direct Insurance and my 3 contracts Price Clarete and Rapiditis</v>
      </c>
    </row>
    <row r="529" ht="15.75" customHeight="1">
      <c r="A529" s="2">
        <v>5.0</v>
      </c>
      <c r="B529" s="2" t="s">
        <v>1553</v>
      </c>
      <c r="C529" s="2" t="s">
        <v>1554</v>
      </c>
      <c r="D529" s="2" t="s">
        <v>282</v>
      </c>
      <c r="E529" s="2" t="s">
        <v>21</v>
      </c>
      <c r="F529" s="2" t="s">
        <v>15</v>
      </c>
      <c r="G529" s="2" t="s">
        <v>740</v>
      </c>
      <c r="H529" s="2" t="s">
        <v>741</v>
      </c>
      <c r="I529" s="2" t="str">
        <f>IFERROR(__xludf.DUMMYFUNCTION("GOOGLETRANSLATE(C529,""fr"",""en"")"),"Hello,
Very satisfactory and fast telephone reception.
Clear and precise training, perfect sense of listening, clear answers.
Thank you for the advisor she replied today.
Regards Mrs. Chamihy")</f>
        <v>Hello,
Very satisfactory and fast telephone reception.
Clear and precise training, perfect sense of listening, clear answers.
Thank you for the advisor she replied today.
Regards Mrs. Chamihy</v>
      </c>
    </row>
    <row r="530" ht="15.75" customHeight="1">
      <c r="A530" s="2">
        <v>3.0</v>
      </c>
      <c r="B530" s="2" t="s">
        <v>1555</v>
      </c>
      <c r="C530" s="2" t="s">
        <v>1556</v>
      </c>
      <c r="D530" s="2" t="s">
        <v>13</v>
      </c>
      <c r="E530" s="2" t="s">
        <v>14</v>
      </c>
      <c r="F530" s="2" t="s">
        <v>15</v>
      </c>
      <c r="G530" s="2" t="s">
        <v>1557</v>
      </c>
      <c r="H530" s="2" t="s">
        <v>69</v>
      </c>
      <c r="I530" s="2" t="str">
        <f>IFERROR(__xludf.DUMMYFUNCTION("GOOGLETRANSLATE(C530,""fr"",""en"")"),"No worries except 2 failures to obtain termination of old insurance contract, delay of 2 months on new price.")</f>
        <v>No worries except 2 failures to obtain termination of old insurance contract, delay of 2 months on new price.</v>
      </c>
    </row>
    <row r="531" ht="15.75" customHeight="1">
      <c r="A531" s="2">
        <v>4.0</v>
      </c>
      <c r="B531" s="2" t="s">
        <v>1558</v>
      </c>
      <c r="C531" s="2" t="s">
        <v>1559</v>
      </c>
      <c r="D531" s="2" t="s">
        <v>239</v>
      </c>
      <c r="E531" s="2" t="s">
        <v>21</v>
      </c>
      <c r="F531" s="2" t="s">
        <v>15</v>
      </c>
      <c r="G531" s="2" t="s">
        <v>82</v>
      </c>
      <c r="H531" s="2" t="s">
        <v>83</v>
      </c>
      <c r="I531" s="2" t="str">
        <f>IFERROR(__xludf.DUMMYFUNCTION("GOOGLETRANSLATE(C531,""fr"",""en"")"),"good health insurance reactive good customer service Refunds are correct and fast")</f>
        <v>good health insurance reactive good customer service Refunds are correct and fast</v>
      </c>
    </row>
    <row r="532" ht="15.75" customHeight="1">
      <c r="A532" s="2">
        <v>5.0</v>
      </c>
      <c r="B532" s="2" t="s">
        <v>1560</v>
      </c>
      <c r="C532" s="2" t="s">
        <v>1561</v>
      </c>
      <c r="D532" s="2" t="s">
        <v>47</v>
      </c>
      <c r="E532" s="2" t="s">
        <v>14</v>
      </c>
      <c r="F532" s="2" t="s">
        <v>15</v>
      </c>
      <c r="G532" s="2" t="s">
        <v>1562</v>
      </c>
      <c r="H532" s="2" t="s">
        <v>165</v>
      </c>
      <c r="I532" s="2" t="str">
        <f>IFERROR(__xludf.DUMMYFUNCTION("GOOGLETRANSLATE(C532,""fr"",""en"")"),"The advisers are listening to listened. Directly supported by the damage daughters explains the Demarche and quality price is well I recommend this asurance")</f>
        <v>The advisers are listening to listened. Directly supported by the damage daughters explains the Demarche and quality price is well I recommend this asurance</v>
      </c>
    </row>
    <row r="533" ht="15.75" customHeight="1">
      <c r="A533" s="2">
        <v>1.0</v>
      </c>
      <c r="B533" s="2" t="s">
        <v>1563</v>
      </c>
      <c r="C533" s="2" t="s">
        <v>1564</v>
      </c>
      <c r="D533" s="2" t="s">
        <v>341</v>
      </c>
      <c r="E533" s="2" t="s">
        <v>77</v>
      </c>
      <c r="F533" s="2" t="s">
        <v>15</v>
      </c>
      <c r="G533" s="2" t="s">
        <v>1565</v>
      </c>
      <c r="H533" s="2" t="s">
        <v>34</v>
      </c>
      <c r="I533" s="2" t="str">
        <f>IFERROR(__xludf.DUMMYFUNCTION("GOOGLETRANSLATE(C533,""fr"",""en"")"),"Very badly received, we do not let you speak, we apply the law without trying to understand the particular case which often advances the law and makes jurisprudence !!! No listening and I think the lawyers are rebus who have not succeeded in a great caree"&amp;"r as a lawyer and who have no scale !! It's distressing I am very unhappy and I plan to change my insurance company following this dispute treated over the leg! to flee! If I had been able to put any Star I would have done it")</f>
        <v>Very badly received, we do not let you speak, we apply the law without trying to understand the particular case which often advances the law and makes jurisprudence !!! No listening and I think the lawyers are rebus who have not succeeded in a great career as a lawyer and who have no scale !! It's distressing I am very unhappy and I plan to change my insurance company following this dispute treated over the leg! to flee! If I had been able to put any Star I would have done it</v>
      </c>
    </row>
    <row r="534" ht="15.75" customHeight="1">
      <c r="A534" s="2">
        <v>5.0</v>
      </c>
      <c r="B534" s="2" t="s">
        <v>1566</v>
      </c>
      <c r="C534" s="2" t="s">
        <v>1567</v>
      </c>
      <c r="D534" s="2" t="s">
        <v>97</v>
      </c>
      <c r="E534" s="2" t="s">
        <v>43</v>
      </c>
      <c r="F534" s="2" t="s">
        <v>15</v>
      </c>
      <c r="G534" s="2" t="s">
        <v>1568</v>
      </c>
      <c r="H534" s="2" t="s">
        <v>28</v>
      </c>
      <c r="I534" s="2" t="str">
        <f>IFERROR(__xludf.DUMMYFUNCTION("GOOGLETRANSLATE(C534,""fr"",""en"")"),"Very correct and fast for online subscription, very good service, the conditions are simple and clear, no surprise.
I highly recommend")</f>
        <v>Very correct and fast for online subscription, very good service, the conditions are simple and clear, no surprise.
I highly recommend</v>
      </c>
    </row>
    <row r="535" ht="15.75" customHeight="1">
      <c r="A535" s="2">
        <v>3.0</v>
      </c>
      <c r="B535" s="2" t="s">
        <v>1569</v>
      </c>
      <c r="C535" s="2" t="s">
        <v>1570</v>
      </c>
      <c r="D535" s="2" t="s">
        <v>97</v>
      </c>
      <c r="E535" s="2" t="s">
        <v>43</v>
      </c>
      <c r="F535" s="2" t="s">
        <v>15</v>
      </c>
      <c r="G535" s="2" t="s">
        <v>443</v>
      </c>
      <c r="H535" s="2" t="s">
        <v>69</v>
      </c>
      <c r="I535" s="2" t="str">
        <f>IFERROR(__xludf.DUMMYFUNCTION("GOOGLETRANSLATE(C535,""fr"",""en"")"),"Alright. Following the first call, good explanation and responsiveness. Renomed brand that gives me confidence. Hoping that everything is going well between us.")</f>
        <v>Alright. Following the first call, good explanation and responsiveness. Renomed brand that gives me confidence. Hoping that everything is going well between us.</v>
      </c>
    </row>
    <row r="536" ht="15.75" customHeight="1">
      <c r="A536" s="2">
        <v>1.0</v>
      </c>
      <c r="B536" s="2" t="s">
        <v>1571</v>
      </c>
      <c r="C536" s="2" t="s">
        <v>1572</v>
      </c>
      <c r="D536" s="2" t="s">
        <v>196</v>
      </c>
      <c r="E536" s="2" t="s">
        <v>77</v>
      </c>
      <c r="F536" s="2" t="s">
        <v>15</v>
      </c>
      <c r="G536" s="2" t="s">
        <v>1573</v>
      </c>
      <c r="H536" s="2" t="s">
        <v>220</v>
      </c>
      <c r="I536" s="2" t="str">
        <f>IFERROR(__xludf.DUMMYFUNCTION("GOOGLETRANSLATE(C536,""fr"",""en"")"),"I informed the matmut of my father's death and request the termination of his home multi -risk contract. Given the circumstances, I was slow to send my mail I recognize it but requested a termination on the date of death. Well no ! La Matmut asks me to se"&amp;"t the contract between the date of death 08/2019 and end 12/2019. So Dad had private life legal coverage and home insurance for several months after his death! I had called beforehand and the remarks made were not the same at all. Legally it seems difficu"&amp;"lt to me that they can justify such an attitude. Of course no decision by phone, if I dispute I have to write again. The human side does not really exist in them.")</f>
        <v>I informed the matmut of my father's death and request the termination of his home multi -risk contract. Given the circumstances, I was slow to send my mail I recognize it but requested a termination on the date of death. Well no ! La Matmut asks me to set the contract between the date of death 08/2019 and end 12/2019. So Dad had private life legal coverage and home insurance for several months after his death! I had called beforehand and the remarks made were not the same at all. Legally it seems difficult to me that they can justify such an attitude. Of course no decision by phone, if I dispute I have to write again. The human side does not really exist in them.</v>
      </c>
    </row>
    <row r="537" ht="15.75" customHeight="1">
      <c r="A537" s="2">
        <v>3.0</v>
      </c>
      <c r="B537" s="2" t="s">
        <v>1574</v>
      </c>
      <c r="C537" s="2" t="s">
        <v>1575</v>
      </c>
      <c r="D537" s="2" t="s">
        <v>72</v>
      </c>
      <c r="E537" s="2" t="s">
        <v>21</v>
      </c>
      <c r="F537" s="2" t="s">
        <v>15</v>
      </c>
      <c r="G537" s="2" t="s">
        <v>1576</v>
      </c>
      <c r="H537" s="2" t="s">
        <v>538</v>
      </c>
      <c r="I537" s="2" t="str">
        <f>IFERROR(__xludf.DUMMYFUNCTION("GOOGLETRANSLATE(C537,""fr"",""en"")"),"Santiane tried to take from my bank account despite the non -membership of their contract following my research on the internal comments more than Negatives, I warned my bank to pay.
This group is to be flee
Cordially
Mamynou")</f>
        <v>Santiane tried to take from my bank account despite the non -membership of their contract following my research on the internal comments more than Negatives, I warned my bank to pay.
This group is to be flee
Cordially
Mamynou</v>
      </c>
    </row>
    <row r="538" ht="15.75" customHeight="1">
      <c r="A538" s="2">
        <v>1.0</v>
      </c>
      <c r="B538" s="2" t="s">
        <v>1577</v>
      </c>
      <c r="C538" s="2" t="s">
        <v>1578</v>
      </c>
      <c r="D538" s="2" t="s">
        <v>781</v>
      </c>
      <c r="E538" s="2" t="s">
        <v>21</v>
      </c>
      <c r="F538" s="2" t="s">
        <v>15</v>
      </c>
      <c r="G538" s="2" t="s">
        <v>1579</v>
      </c>
      <c r="H538" s="2" t="s">
        <v>538</v>
      </c>
      <c r="I538" s="2" t="str">
        <f>IFERROR(__xludf.DUMMYFUNCTION("GOOGLETRANSLATE(C538,""fr"",""en"")"),"Lentisime treatment, 1 month to obtain any answer, more to be reimbursed, in the meantime the insured must spend without counting on the mutual for qualaquelle he contributes !!!!!!!!")</f>
        <v>Lentisime treatment, 1 month to obtain any answer, more to be reimbursed, in the meantime the insured must spend without counting on the mutual for qualaquelle he contributes !!!!!!!!</v>
      </c>
    </row>
    <row r="539" ht="15.75" customHeight="1">
      <c r="A539" s="2">
        <v>1.0</v>
      </c>
      <c r="B539" s="2" t="s">
        <v>1580</v>
      </c>
      <c r="C539" s="2" t="s">
        <v>1581</v>
      </c>
      <c r="D539" s="2" t="s">
        <v>133</v>
      </c>
      <c r="E539" s="2" t="s">
        <v>322</v>
      </c>
      <c r="F539" s="2" t="s">
        <v>15</v>
      </c>
      <c r="G539" s="2" t="s">
        <v>1582</v>
      </c>
      <c r="H539" s="2" t="s">
        <v>34</v>
      </c>
      <c r="I539" s="2" t="str">
        <f>IFERROR(__xludf.DUMMYFUNCTION("GOOGLETRANSLATE(C539,""fr"",""en"")"),"To flee")</f>
        <v>To flee</v>
      </c>
    </row>
    <row r="540" ht="15.75" customHeight="1">
      <c r="A540" s="2">
        <v>5.0</v>
      </c>
      <c r="B540" s="2" t="s">
        <v>1583</v>
      </c>
      <c r="C540" s="2" t="s">
        <v>1584</v>
      </c>
      <c r="D540" s="2" t="s">
        <v>47</v>
      </c>
      <c r="E540" s="2" t="s">
        <v>14</v>
      </c>
      <c r="F540" s="2" t="s">
        <v>15</v>
      </c>
      <c r="G540" s="2" t="s">
        <v>1303</v>
      </c>
      <c r="H540" s="2" t="s">
        <v>60</v>
      </c>
      <c r="I540" s="2" t="str">
        <f>IFERROR(__xludf.DUMMYFUNCTION("GOOGLETRANSLATE(C540,""fr"",""en"")"),"Excellent service quality
Professional interlocutors and listening. I highly recommend this insurance. The prices are fair and it's fast, thank you")</f>
        <v>Excellent service quality
Professional interlocutors and listening. I highly recommend this insurance. The prices are fair and it's fast, thank you</v>
      </c>
    </row>
    <row r="541" ht="15.75" customHeight="1">
      <c r="A541" s="2">
        <v>4.0</v>
      </c>
      <c r="B541" s="2" t="s">
        <v>1585</v>
      </c>
      <c r="C541" s="2" t="s">
        <v>1586</v>
      </c>
      <c r="D541" s="2" t="s">
        <v>47</v>
      </c>
      <c r="E541" s="2" t="s">
        <v>14</v>
      </c>
      <c r="F541" s="2" t="s">
        <v>15</v>
      </c>
      <c r="G541" s="2" t="s">
        <v>1292</v>
      </c>
      <c r="H541" s="2" t="s">
        <v>69</v>
      </c>
      <c r="I541" s="2" t="str">
        <f>IFERROR(__xludf.DUMMYFUNCTION("GOOGLETRANSLATE(C541,""fr"",""en"")"),"I am very satisfied with the welcome
And the advisor who signed my contract for me
I recommend amply
Very good insurer
Thank you to your advisor")</f>
        <v>I am very satisfied with the welcome
And the advisor who signed my contract for me
I recommend amply
Very good insurer
Thank you to your advisor</v>
      </c>
    </row>
    <row r="542" ht="15.75" customHeight="1">
      <c r="A542" s="2">
        <v>2.0</v>
      </c>
      <c r="B542" s="2" t="s">
        <v>1587</v>
      </c>
      <c r="C542" s="2" t="s">
        <v>1588</v>
      </c>
      <c r="D542" s="2" t="s">
        <v>97</v>
      </c>
      <c r="E542" s="2" t="s">
        <v>43</v>
      </c>
      <c r="F542" s="2" t="s">
        <v>15</v>
      </c>
      <c r="G542" s="2" t="s">
        <v>1589</v>
      </c>
      <c r="H542" s="2" t="s">
        <v>91</v>
      </c>
      <c r="I542" s="2" t="str">
        <f>IFERROR(__xludf.DUMMYFUNCTION("GOOGLETRANSLATE(C542,""fr"",""en"")"),"Read your contract well in the event of a Pepin, less than 50 km from your home, in the evening, on the highway, count on you! This is for the easy part 200 euros later ...
If like me during confinement you were not at home, that you find yourself in a"&amp;" situation of payment default, ditto: you will fight for 3 months to be able to regulate the situation. In the end I went to another insurer, and I am still waiting for an end of the contract ... not win, even when you want to do things in the rules.
The"&amp;" customer relationship ? Do not count on it.
")</f>
        <v>Read your contract well in the event of a Pepin, less than 50 km from your home, in the evening, on the highway, count on you! This is for the easy part 200 euros later ...
If like me during confinement you were not at home, that you find yourself in a situation of payment default, ditto: you will fight for 3 months to be able to regulate the situation. In the end I went to another insurer, and I am still waiting for an end of the contract ... not win, even when you want to do things in the rules.
The customer relationship ? Do not count on it.
</v>
      </c>
    </row>
    <row r="543" ht="15.75" customHeight="1">
      <c r="A543" s="2">
        <v>3.0</v>
      </c>
      <c r="B543" s="2" t="s">
        <v>1590</v>
      </c>
      <c r="C543" s="2" t="s">
        <v>1591</v>
      </c>
      <c r="D543" s="2" t="s">
        <v>341</v>
      </c>
      <c r="E543" s="2" t="s">
        <v>14</v>
      </c>
      <c r="F543" s="2" t="s">
        <v>15</v>
      </c>
      <c r="G543" s="2" t="s">
        <v>1592</v>
      </c>
      <c r="H543" s="2" t="s">
        <v>39</v>
      </c>
      <c r="I543" s="2" t="str">
        <f>IFERROR(__xludf.DUMMYFUNCTION("GOOGLETRANSLATE(C543,""fr"",""en"")"),"Having had a hanging yesterday with my vehicle, I was pleasantly surprised by the responsiveness and the quality of service offered by the MAAF.
Regarding responsiveness: hanging at 11:10 am / at 11:30 am my vehicle was on the convenience store / at th"&amp;"e same time a taxi commissioned by the audience came to get me back to bring me home and a loan vehicle was available to me. The convenience store reminded me at 1:30 p.m. to ask me to confirm the plaque number of the other vehicle behind the accident (in"&amp;"deed, the model suggested that he had to go and get him and that It was the same accident). Yet the owner of the other vehicle called his assistance (insurance of a bank) at the same time and he was repaired 2 hours later !!!
I was able to make my declar"&amp;"ation of claim by phone in the afternoon / all confirmation SMS were sent to me in stride (taking into account the claim / assignment of a garage / date for expertise ...).
Regarding the quality of service: my interlocutors on the phone were listening,"&amp;" they showed benevolence and they have always sought to offer me the most suitable solution to my expectations (provision of a vehicle close to Me as the vehicle ""rental company"" wanted to bring me back a vehicle in Lyon while I live next to Valence!).
"&amp;"
I will return to the end of the experience (once the vehicle on ""foot"" / or at least on a wheel) but for the moment I am satifsa")</f>
        <v>Having had a hanging yesterday with my vehicle, I was pleasantly surprised by the responsiveness and the quality of service offered by the MAAF.
Regarding responsiveness: hanging at 11:10 am / at 11:30 am my vehicle was on the convenience store / at the same time a taxi commissioned by the audience came to get me back to bring me home and a loan vehicle was available to me. The convenience store reminded me at 1:30 p.m. to ask me to confirm the plaque number of the other vehicle behind the accident (indeed, the model suggested that he had to go and get him and that It was the same accident). Yet the owner of the other vehicle called his assistance (insurance of a bank) at the same time and he was repaired 2 hours later !!!
I was able to make my declaration of claim by phone in the afternoon / all confirmation SMS were sent to me in stride (taking into account the claim / assignment of a garage / date for expertise ...).
Regarding the quality of service: my interlocutors on the phone were listening, they showed benevolence and they have always sought to offer me the most suitable solution to my expectations (provision of a vehicle close to Me as the vehicle "rental company" wanted to bring me back a vehicle in Lyon while I live next to Valence!).
I will return to the end of the experience (once the vehicle on "foot" / or at least on a wheel) but for the moment I am satifsa</v>
      </c>
    </row>
    <row r="544" ht="15.75" customHeight="1">
      <c r="A544" s="2">
        <v>1.0</v>
      </c>
      <c r="B544" s="2" t="s">
        <v>1593</v>
      </c>
      <c r="C544" s="2" t="s">
        <v>1594</v>
      </c>
      <c r="D544" s="2" t="s">
        <v>341</v>
      </c>
      <c r="E544" s="2" t="s">
        <v>14</v>
      </c>
      <c r="F544" s="2" t="s">
        <v>15</v>
      </c>
      <c r="G544" s="2" t="s">
        <v>1595</v>
      </c>
      <c r="H544" s="2" t="s">
        <v>250</v>
      </c>
      <c r="I544" s="2" t="str">
        <f>IFERROR(__xludf.DUMMYFUNCTION("GOOGLETRANSLATE(C544,""fr"",""en"")"),"The MAAF terminated my car contract when I did not commit any accident (responsible or not). Not profitable enough according to them.")</f>
        <v>The MAAF terminated my car contract when I did not commit any accident (responsible or not). Not profitable enough according to them.</v>
      </c>
    </row>
    <row r="545" ht="15.75" customHeight="1">
      <c r="A545" s="2">
        <v>3.0</v>
      </c>
      <c r="B545" s="2" t="s">
        <v>1596</v>
      </c>
      <c r="C545" s="2" t="s">
        <v>1597</v>
      </c>
      <c r="D545" s="2" t="s">
        <v>47</v>
      </c>
      <c r="E545" s="2" t="s">
        <v>14</v>
      </c>
      <c r="F545" s="2" t="s">
        <v>15</v>
      </c>
      <c r="G545" s="2" t="s">
        <v>1598</v>
      </c>
      <c r="H545" s="2" t="s">
        <v>330</v>
      </c>
      <c r="I545" s="2" t="str">
        <f>IFERROR(__xludf.DUMMYFUNCTION("GOOGLETRANSLATE(C545,""fr"",""en"")"),"Hello,
Never deal with such a deplorable customer service, so much the better I do not fall into the trap and go to see elsewhere")</f>
        <v>Hello,
Never deal with such a deplorable customer service, so much the better I do not fall into the trap and go to see elsewhere</v>
      </c>
    </row>
    <row r="546" ht="15.75" customHeight="1">
      <c r="A546" s="2">
        <v>5.0</v>
      </c>
      <c r="B546" s="2" t="s">
        <v>1599</v>
      </c>
      <c r="C546" s="2" t="s">
        <v>1600</v>
      </c>
      <c r="D546" s="2" t="s">
        <v>47</v>
      </c>
      <c r="E546" s="2" t="s">
        <v>14</v>
      </c>
      <c r="F546" s="2" t="s">
        <v>15</v>
      </c>
      <c r="G546" s="2" t="s">
        <v>1601</v>
      </c>
      <c r="H546" s="2" t="s">
        <v>741</v>
      </c>
      <c r="I546" s="2" t="str">
        <f>IFERROR(__xludf.DUMMYFUNCTION("GOOGLETRANSLATE(C546,""fr"",""en"")"),"Insured for a family vehicle at 10 tax CVs, 40% bonus. 2 broken ice in 3 years, fast reimbursements each time.
Advisers can easily be reached.
In my opinion, it is a human -sized insurance company and it feels in customer management.
I recommend my fri"&amp;"ends and family as soon as I am asked for my opinion on insurers.")</f>
        <v>Insured for a family vehicle at 10 tax CVs, 40% bonus. 2 broken ice in 3 years, fast reimbursements each time.
Advisers can easily be reached.
In my opinion, it is a human -sized insurance company and it feels in customer management.
I recommend my friends and family as soon as I am asked for my opinion on insurers.</v>
      </c>
    </row>
    <row r="547" ht="15.75" customHeight="1">
      <c r="A547" s="2">
        <v>4.0</v>
      </c>
      <c r="B547" s="2" t="s">
        <v>1602</v>
      </c>
      <c r="C547" s="2" t="s">
        <v>1603</v>
      </c>
      <c r="D547" s="2" t="s">
        <v>13</v>
      </c>
      <c r="E547" s="2" t="s">
        <v>14</v>
      </c>
      <c r="F547" s="2" t="s">
        <v>15</v>
      </c>
      <c r="G547" s="2" t="s">
        <v>187</v>
      </c>
      <c r="H547" s="2" t="s">
        <v>28</v>
      </c>
      <c r="I547" s="2" t="str">
        <f>IFERROR(__xludf.DUMMYFUNCTION("GOOGLETRANSLATE(C547,""fr"",""en"")"),"I am satisfied with the prices offered by direct insurance insurance, I chose yours through various television advertisements as well as on the internet")</f>
        <v>I am satisfied with the prices offered by direct insurance insurance, I chose yours through various television advertisements as well as on the internet</v>
      </c>
    </row>
    <row r="548" ht="15.75" customHeight="1">
      <c r="A548" s="2">
        <v>3.0</v>
      </c>
      <c r="B548" s="2" t="s">
        <v>1604</v>
      </c>
      <c r="C548" s="2" t="s">
        <v>1605</v>
      </c>
      <c r="D548" s="2" t="s">
        <v>13</v>
      </c>
      <c r="E548" s="2" t="s">
        <v>14</v>
      </c>
      <c r="F548" s="2" t="s">
        <v>15</v>
      </c>
      <c r="G548" s="2" t="s">
        <v>1606</v>
      </c>
      <c r="H548" s="2" t="s">
        <v>69</v>
      </c>
      <c r="I548" s="2" t="str">
        <f>IFERROR(__xludf.DUMMYFUNCTION("GOOGLETRANSLATE(C548,""fr"",""en"")"),"Prices suit me - Easy contact - Quotation and quick responses - professional workers and listening to customers - friendly and funny advertising")</f>
        <v>Prices suit me - Easy contact - Quotation and quick responses - professional workers and listening to customers - friendly and funny advertising</v>
      </c>
    </row>
    <row r="549" ht="15.75" customHeight="1">
      <c r="A549" s="2">
        <v>4.0</v>
      </c>
      <c r="B549" s="2" t="s">
        <v>1607</v>
      </c>
      <c r="C549" s="2" t="s">
        <v>1608</v>
      </c>
      <c r="D549" s="2" t="s">
        <v>483</v>
      </c>
      <c r="E549" s="2" t="s">
        <v>21</v>
      </c>
      <c r="F549" s="2" t="s">
        <v>15</v>
      </c>
      <c r="G549" s="2" t="s">
        <v>1609</v>
      </c>
      <c r="H549" s="2" t="s">
        <v>343</v>
      </c>
      <c r="I549" s="2" t="str">
        <f>IFERROR(__xludf.DUMMYFUNCTION("GOOGLETRANSLATE(C549,""fr"",""en"")"),"I am satisfied with all the services.
My only questioning concerns the additional death Capital contract signed as soon as I joined the MGP about 45 years ago!
The calculation is simple. On the basis of the last amount of 72 euros, I therefore settled i"&amp;"n Constant 45x12 = 540 months x 72 = 38,880 euros, sum to be updated that I will lose in full, if I understood correctly, during my 80th anniversary .
Can you inform me about this painful point.
Best regards.
J.C pailhere")</f>
        <v>I am satisfied with all the services.
My only questioning concerns the additional death Capital contract signed as soon as I joined the MGP about 45 years ago!
The calculation is simple. On the basis of the last amount of 72 euros, I therefore settled in Constant 45x12 = 540 months x 72 = 38,880 euros, sum to be updated that I will lose in full, if I understood correctly, during my 80th anniversary .
Can you inform me about this painful point.
Best regards.
J.C pailhere</v>
      </c>
    </row>
    <row r="550" ht="15.75" customHeight="1">
      <c r="A550" s="2">
        <v>4.0</v>
      </c>
      <c r="B550" s="2" t="s">
        <v>1610</v>
      </c>
      <c r="C550" s="2" t="s">
        <v>1611</v>
      </c>
      <c r="D550" s="2" t="s">
        <v>42</v>
      </c>
      <c r="E550" s="2" t="s">
        <v>43</v>
      </c>
      <c r="F550" s="2" t="s">
        <v>15</v>
      </c>
      <c r="G550" s="2" t="s">
        <v>1612</v>
      </c>
      <c r="H550" s="2" t="s">
        <v>28</v>
      </c>
      <c r="I550" s="2" t="str">
        <f>IFERROR(__xludf.DUMMYFUNCTION("GOOGLETRANSLATE(C550,""fr"",""en"")"),"I am satisfied with your services and the rapidness of the file and simple
To see to receive the green sticker by email (faster) for the rest nothing to say
good reception
Cordially
Patrick C Oste")</f>
        <v>I am satisfied with your services and the rapidness of the file and simple
To see to receive the green sticker by email (faster) for the rest nothing to say
good reception
Cordially
Patrick C Oste</v>
      </c>
    </row>
    <row r="551" ht="15.75" customHeight="1">
      <c r="A551" s="2">
        <v>1.0</v>
      </c>
      <c r="B551" s="2" t="s">
        <v>1613</v>
      </c>
      <c r="C551" s="2" t="s">
        <v>1614</v>
      </c>
      <c r="D551" s="2" t="s">
        <v>1046</v>
      </c>
      <c r="E551" s="2" t="s">
        <v>322</v>
      </c>
      <c r="F551" s="2" t="s">
        <v>15</v>
      </c>
      <c r="G551" s="2" t="s">
        <v>1557</v>
      </c>
      <c r="H551" s="2" t="s">
        <v>69</v>
      </c>
      <c r="I551" s="2" t="str">
        <f>IFERROR(__xludf.DUMMYFUNCTION("GOOGLETRANSLATE(C551,""fr"",""en"")"),"Impossible to reach the slightest advisor, we are returned to the broker who has been on sick leave for 2 months and now on vacation.
Excluding I need an urgent partial buyout for a real estate purchase .... how to do it ???")</f>
        <v>Impossible to reach the slightest advisor, we are returned to the broker who has been on sick leave for 2 months and now on vacation.
Excluding I need an urgent partial buyout for a real estate purchase .... how to do it ???</v>
      </c>
    </row>
    <row r="552" ht="15.75" customHeight="1">
      <c r="A552" s="2">
        <v>3.0</v>
      </c>
      <c r="B552" s="2" t="s">
        <v>1615</v>
      </c>
      <c r="C552" s="2" t="s">
        <v>1616</v>
      </c>
      <c r="D552" s="2" t="s">
        <v>13</v>
      </c>
      <c r="E552" s="2" t="s">
        <v>14</v>
      </c>
      <c r="F552" s="2" t="s">
        <v>15</v>
      </c>
      <c r="G552" s="2" t="s">
        <v>1617</v>
      </c>
      <c r="H552" s="2" t="s">
        <v>125</v>
      </c>
      <c r="I552" s="2" t="str">
        <f>IFERROR(__xludf.DUMMYFUNCTION("GOOGLETRANSLATE(C552,""fr"",""en"")"),"The price suits me hoping that it will not increase and that it will be the same when subscribing to the contract, practical and precise internet platform")</f>
        <v>The price suits me hoping that it will not increase and that it will be the same when subscribing to the contract, practical and precise internet platform</v>
      </c>
    </row>
    <row r="553" ht="15.75" customHeight="1">
      <c r="A553" s="2">
        <v>1.0</v>
      </c>
      <c r="B553" s="2" t="s">
        <v>1618</v>
      </c>
      <c r="C553" s="2" t="s">
        <v>1619</v>
      </c>
      <c r="D553" s="2" t="s">
        <v>31</v>
      </c>
      <c r="E553" s="2" t="s">
        <v>32</v>
      </c>
      <c r="F553" s="2" t="s">
        <v>15</v>
      </c>
      <c r="G553" s="2" t="s">
        <v>1620</v>
      </c>
      <c r="H553" s="2" t="s">
        <v>270</v>
      </c>
      <c r="I553" s="2" t="str">
        <f>IFERROR(__xludf.DUMMYFUNCTION("GOOGLETRANSLATE(C553,""fr"",""en"")"),"As a work stoppage since March 2019, I have been waiting for more than a month to send the Cardif file for borrower insurance, despite several calls, still nothing, the advisers are walking.")</f>
        <v>As a work stoppage since March 2019, I have been waiting for more than a month to send the Cardif file for borrower insurance, despite several calls, still nothing, the advisers are walking.</v>
      </c>
    </row>
    <row r="554" ht="15.75" customHeight="1">
      <c r="A554" s="2">
        <v>1.0</v>
      </c>
      <c r="B554" s="2" t="s">
        <v>1621</v>
      </c>
      <c r="C554" s="2" t="s">
        <v>1622</v>
      </c>
      <c r="D554" s="2" t="s">
        <v>13</v>
      </c>
      <c r="E554" s="2" t="s">
        <v>14</v>
      </c>
      <c r="F554" s="2" t="s">
        <v>15</v>
      </c>
      <c r="G554" s="2" t="s">
        <v>467</v>
      </c>
      <c r="H554" s="2" t="s">
        <v>83</v>
      </c>
      <c r="I554" s="2" t="str">
        <f>IFERROR(__xludf.DUMMYFUNCTION("GOOGLETRANSLATE(C554,""fr"",""en"")"),"So my story begins before yesterday so Monday, March 19, I was stamped with a fire by a gentleman who did not see that the fire went red. I am at the third party more so no worries because I am not responsible at all and everything will be solved very qui"&amp;"ckly. But being at Direct Assurance everything will not happen in a normal way. So I call my assistance and I have a woman who will become my loss manager and who tells me I send you an email and when you will need to contact me an email to this email and"&amp;" I remind you in the immediate future. Until the whole thing is well ... The opposing part had to leave because he had appointed to court but left me his contact details as well as his identity card and his insurance.
My manager tells me to send him a re"&amp;"gistered letter immediately to ask him to put himself in contact with them as quickly as possible and tells me to get closer to his insurance, the Macif, in order to settle the details of the disaster as quickly as possible. In the afternoon, I recall the"&amp;" direct insurance call platform because I never had the email of my manager and I come across a gentleman who tells me that no approach was undertaken because my manager was waiting My phone call !!! So very kindly I explain to the gentleman that of one I"&amp;" never received the email of this lady allowing me to be in direct contact with her and of two she was supposed thread from me. So apparently he launches the procedure. I bring my vehicle to rappat and ask myself when my problem will be solved because I l"&amp;"ive alone with my daughter and quite eccentric in the city and therefore my car is almost essential for me. I am told not to worry but I start to have doubts about this insurance that needs a lot of calls from us to move. I have already had auto claims in"&amp;" the past with other insurers and I have always been satisfied with the speed and follow -up of these.
Yesterday morning I send my observation by email as agreed because I try to reduce the processing time as much as possible and I even call the Macif wh"&amp;"ich tells me that the best would be to redo a report cancels and replaces the previous with the opposing part. Obviously my insurance did not come back in relation to the Macif. Around 10 a.m. this morning I call direct insurance and I come across my mana"&amp;"ger who tells me ah no madam I did not receive your observation ... sorry !!!! I sent it to you yesterday morning. Wait I look at my emails ahhhhhhhhh yes I have it. Who are we laughing at ? If I had not called it my observation remained warm in his box o"&amp;"f whole days. I tell her that I will redo an observation to accelerate the recognition of my non -responsibility but that I have no more observation, she tells me that she sends me one by email in a row that I will only have to be printed. 1 hour later I "&amp;"still didn't have an email. I had to call for another person to send it to me. my manager asked me if my vehicle had been repatriated (so they have no follow -up of their own approach) she asked me in which garage she was !!! When the convenience store ca"&amp;"me he asked me if I had a regular garage I told him not that he chooses an affiliated garage and my insurance is not even aware of when my vehicle is !!! I joined the assistance service by Messenger to tell them my unhappy with the management of my litiga"&amp;"tion file and I am replied that 87% of customers are satisfied. I therefore conclude that 23% of customers have a dispute and the satisfied are those who have not had a dispute. I forgot a lot of details that prove the incompetence of their assistance ser"&amp;"vice as the fact that this morning they had not yet portrayed the expert because they were waiting for my call !!! Another more seen oddity that I asked for the procedures to be launched from my first call to accelerate a car loan etc ... etc ...")</f>
        <v>So my story begins before yesterday so Monday, March 19, I was stamped with a fire by a gentleman who did not see that the fire went red. I am at the third party more so no worries because I am not responsible at all and everything will be solved very quickly. But being at Direct Assurance everything will not happen in a normal way. So I call my assistance and I have a woman who will become my loss manager and who tells me I send you an email and when you will need to contact me an email to this email and I remind you in the immediate future. Until the whole thing is well ... The opposing part had to leave because he had appointed to court but left me his contact details as well as his identity card and his insurance.
My manager tells me to send him a registered letter immediately to ask him to put himself in contact with them as quickly as possible and tells me to get closer to his insurance, the Macif, in order to settle the details of the disaster as quickly as possible. In the afternoon, I recall the direct insurance call platform because I never had the email of my manager and I come across a gentleman who tells me that no approach was undertaken because my manager was waiting My phone call !!! So very kindly I explain to the gentleman that of one I never received the email of this lady allowing me to be in direct contact with her and of two she was supposed thread from me. So apparently he launches the procedure. I bring my vehicle to rappat and ask myself when my problem will be solved because I live alone with my daughter and quite eccentric in the city and therefore my car is almost essential for me. I am told not to worry but I start to have doubts about this insurance that needs a lot of calls from us to move. I have already had auto claims in the past with other insurers and I have always been satisfied with the speed and follow -up of these.
Yesterday morning I send my observation by email as agreed because I try to reduce the processing time as much as possible and I even call the Macif which tells me that the best would be to redo a report cancels and replaces the previous with the opposing part. Obviously my insurance did not come back in relation to the Macif. Around 10 a.m. this morning I call direct insurance and I come across my manager who tells me ah no madam I did not receive your observation ... sorry !!!! I sent it to you yesterday morning. Wait I look at my emails ahhhhhhhhh yes I have it. Who are we laughing at ? If I had not called it my observation remained warm in his box of whole days. I tell her that I will redo an observation to accelerate the recognition of my non -responsibility but that I have no more observation, she tells me that she sends me one by email in a row that I will only have to be printed. 1 hour later I still didn't have an email. I had to call for another person to send it to me. my manager asked me if my vehicle had been repatriated (so they have no follow -up of their own approach) she asked me in which garage she was !!! When the convenience store came he asked me if I had a regular garage I told him not that he chooses an affiliated garage and my insurance is not even aware of when my vehicle is !!! I joined the assistance service by Messenger to tell them my unhappy with the management of my litigation file and I am replied that 87% of customers are satisfied. I therefore conclude that 23% of customers have a dispute and the satisfied are those who have not had a dispute. I forgot a lot of details that prove the incompetence of their assistance service as the fact that this morning they had not yet portrayed the expert because they were waiting for my call !!! Another more seen oddity that I asked for the procedures to be launched from my first call to accelerate a car loan etc ... etc ...</v>
      </c>
    </row>
    <row r="555" ht="15.75" customHeight="1">
      <c r="A555" s="2">
        <v>5.0</v>
      </c>
      <c r="B555" s="2" t="s">
        <v>1623</v>
      </c>
      <c r="C555" s="2" t="s">
        <v>1624</v>
      </c>
      <c r="D555" s="2" t="s">
        <v>13</v>
      </c>
      <c r="E555" s="2" t="s">
        <v>14</v>
      </c>
      <c r="F555" s="2" t="s">
        <v>15</v>
      </c>
      <c r="G555" s="2" t="s">
        <v>1625</v>
      </c>
      <c r="H555" s="2" t="s">
        <v>28</v>
      </c>
      <c r="I555" s="2" t="str">
        <f>IFERROR(__xludf.DUMMYFUNCTION("GOOGLETRANSLATE(C555,""fr"",""en"")"),"The level of quality of the service is very correct and the attractive prices that is why I chose Direct Insurance, compared to other insurances.")</f>
        <v>The level of quality of the service is very correct and the attractive prices that is why I chose Direct Insurance, compared to other insurances.</v>
      </c>
    </row>
    <row r="556" ht="15.75" customHeight="1">
      <c r="A556" s="2">
        <v>1.0</v>
      </c>
      <c r="B556" s="2" t="s">
        <v>1626</v>
      </c>
      <c r="C556" s="2" t="s">
        <v>1627</v>
      </c>
      <c r="D556" s="2" t="s">
        <v>248</v>
      </c>
      <c r="E556" s="2" t="s">
        <v>14</v>
      </c>
      <c r="F556" s="2" t="s">
        <v>15</v>
      </c>
      <c r="G556" s="2" t="s">
        <v>1513</v>
      </c>
      <c r="H556" s="2" t="s">
        <v>572</v>
      </c>
      <c r="I556" s="2" t="str">
        <f>IFERROR(__xludf.DUMMYFUNCTION("GOOGLETRANSLATE(C556,""fr"",""en"")"),"Deplorable insurance. This company makes fun of its customers. No after -sales service. In the event of problems, you must telephone an overcharged number of 80 cents per minute and the person on the phone and incompetent which keeps us 10 min to make us "&amp;"pay more. I asked for a termination of my contract and I was sent my information statement on which he was well written terminated on the date of 3 months after I receive a letter of formal notice reporting that I had to pay all of my insurance for The ye"&amp;"ar as well as a new statement of information on which there was written in formal notice and that my contract was not terminated. After many send emails I never had any answer. I called 3 times the complaint number who told me that they were going to go u"&amp;"p my complaint and give me an answer within 72 hours but I have not received any response to date. I also sent 3 written complaints and still nothing. This company does not have time to answer us but it has some to send us recommended formal notice. I wou"&amp;"ld like this story to end as quickly as possible. Fortunately, I paid for my insurance for the year and not by direct debit otherwise I should have opposed it when I see the number of people who have concerns.")</f>
        <v>Deplorable insurance. This company makes fun of its customers. No after -sales service. In the event of problems, you must telephone an overcharged number of 80 cents per minute and the person on the phone and incompetent which keeps us 10 min to make us pay more. I asked for a termination of my contract and I was sent my information statement on which he was well written terminated on the date of 3 months after I receive a letter of formal notice reporting that I had to pay all of my insurance for The year as well as a new statement of information on which there was written in formal notice and that my contract was not terminated. After many send emails I never had any answer. I called 3 times the complaint number who told me that they were going to go up my complaint and give me an answer within 72 hours but I have not received any response to date. I also sent 3 written complaints and still nothing. This company does not have time to answer us but it has some to send us recommended formal notice. I would like this story to end as quickly as possible. Fortunately, I paid for my insurance for the year and not by direct debit otherwise I should have opposed it when I see the number of people who have concerns.</v>
      </c>
    </row>
    <row r="557" ht="15.75" customHeight="1">
      <c r="A557" s="2">
        <v>3.0</v>
      </c>
      <c r="B557" s="2" t="s">
        <v>1628</v>
      </c>
      <c r="C557" s="2" t="s">
        <v>1629</v>
      </c>
      <c r="D557" s="2" t="s">
        <v>13</v>
      </c>
      <c r="E557" s="2" t="s">
        <v>14</v>
      </c>
      <c r="F557" s="2" t="s">
        <v>15</v>
      </c>
      <c r="G557" s="2" t="s">
        <v>1630</v>
      </c>
      <c r="H557" s="2" t="s">
        <v>191</v>
      </c>
      <c r="I557" s="2" t="str">
        <f>IFERROR(__xludf.DUMMYFUNCTION("GOOGLETRANSLATE(C557,""fr"",""en"")"),"In the event of a non -responsible but without third party accident, the deductible is very high: add to the fixed part 10% of the repair costs.
 For sponsorship: it appears as a lure.")</f>
        <v>In the event of a non -responsible but without third party accident, the deductible is very high: add to the fixed part 10% of the repair costs.
 For sponsorship: it appears as a lure.</v>
      </c>
    </row>
    <row r="558" ht="15.75" customHeight="1">
      <c r="A558" s="2">
        <v>1.0</v>
      </c>
      <c r="B558" s="2" t="s">
        <v>1631</v>
      </c>
      <c r="C558" s="2" t="s">
        <v>1632</v>
      </c>
      <c r="D558" s="2" t="s">
        <v>253</v>
      </c>
      <c r="E558" s="2" t="s">
        <v>21</v>
      </c>
      <c r="F558" s="2" t="s">
        <v>15</v>
      </c>
      <c r="G558" s="2" t="s">
        <v>1633</v>
      </c>
      <c r="H558" s="2" t="s">
        <v>670</v>
      </c>
      <c r="I558" s="2" t="str">
        <f>IFERROR(__xludf.DUMMYFUNCTION("GOOGLETRANSLATE(C558,""fr"",""en"")"),"As for previous people, Néoliane refuses my termination (because I have confused birthday and maturity .... although I am on time and respected the procedures)
So I contacted them by phone so that I am told that the termination service was not reachable "&amp;"on the phone and that I had to send them an email.
What I did. A week later, I receive an answer to tell me that there is a computer bug and that I had to repeat my request.
So I redid an email more than 10 days ago .... without response !!!
I really w"&amp;"onder how it is possible to terminate this mutual !!
Not to mention their more than complex functioning: I have subscribed to Néoliane, receives emails and accounts from Mutua Gestion and when I want to make a request I am told to go through the Santiane"&amp;" site ..... it is Nothing to understand it.")</f>
        <v>As for previous people, Néoliane refuses my termination (because I have confused birthday and maturity .... although I am on time and respected the procedures)
So I contacted them by phone so that I am told that the termination service was not reachable on the phone and that I had to send them an email.
What I did. A week later, I receive an answer to tell me that there is a computer bug and that I had to repeat my request.
So I redid an email more than 10 days ago .... without response !!!
I really wonder how it is possible to terminate this mutual !!
Not to mention their more than complex functioning: I have subscribed to Néoliane, receives emails and accounts from Mutua Gestion and when I want to make a request I am told to go through the Santiane site ..... it is Nothing to understand it.</v>
      </c>
    </row>
    <row r="559" ht="15.75" customHeight="1">
      <c r="A559" s="2">
        <v>5.0</v>
      </c>
      <c r="B559" s="2" t="s">
        <v>1634</v>
      </c>
      <c r="C559" s="2" t="s">
        <v>1635</v>
      </c>
      <c r="D559" s="2" t="s">
        <v>47</v>
      </c>
      <c r="E559" s="2" t="s">
        <v>14</v>
      </c>
      <c r="F559" s="2" t="s">
        <v>15</v>
      </c>
      <c r="G559" s="2" t="s">
        <v>1636</v>
      </c>
      <c r="H559" s="2" t="s">
        <v>49</v>
      </c>
      <c r="I559" s="2" t="str">
        <f>IFERROR(__xludf.DUMMYFUNCTION("GOOGLETRANSLATE(C559,""fr"",""en"")"),"Nickel nothing to complain about everything is good price reactive customer service only downside my email address was not accepted I had to use that of my friend")</f>
        <v>Nickel nothing to complain about everything is good price reactive customer service only downside my email address was not accepted I had to use that of my friend</v>
      </c>
    </row>
    <row r="560" ht="15.75" customHeight="1">
      <c r="A560" s="2">
        <v>5.0</v>
      </c>
      <c r="B560" s="2" t="s">
        <v>1637</v>
      </c>
      <c r="C560" s="2" t="s">
        <v>1638</v>
      </c>
      <c r="D560" s="2" t="s">
        <v>47</v>
      </c>
      <c r="E560" s="2" t="s">
        <v>14</v>
      </c>
      <c r="F560" s="2" t="s">
        <v>15</v>
      </c>
      <c r="G560" s="2" t="s">
        <v>1639</v>
      </c>
      <c r="H560" s="2" t="s">
        <v>60</v>
      </c>
      <c r="I560" s="2" t="str">
        <f>IFERROR(__xludf.DUMMYFUNCTION("GOOGLETRANSLATE(C560,""fr"",""en"")"),"Very satisfied and I received a quality telephone call with personalized help of great help, my interlocutor advised me very well and that is why I will ensure a second vehicle")</f>
        <v>Very satisfied and I received a quality telephone call with personalized help of great help, my interlocutor advised me very well and that is why I will ensure a second vehicle</v>
      </c>
    </row>
    <row r="561" ht="15.75" customHeight="1">
      <c r="A561" s="2">
        <v>1.0</v>
      </c>
      <c r="B561" s="2" t="s">
        <v>1640</v>
      </c>
      <c r="C561" s="2" t="s">
        <v>1641</v>
      </c>
      <c r="D561" s="2" t="s">
        <v>287</v>
      </c>
      <c r="E561" s="2" t="s">
        <v>14</v>
      </c>
      <c r="F561" s="2" t="s">
        <v>15</v>
      </c>
      <c r="G561" s="2" t="s">
        <v>1642</v>
      </c>
      <c r="H561" s="2" t="s">
        <v>1643</v>
      </c>
      <c r="I561" s="2" t="str">
        <f>IFERROR(__xludf.DUMMYFUNCTION("GOOGLETRANSLATE(C561,""fr"",""en"")"),"Absent, insolent and menfoutist customer service
Deposit for months while a declared car wreck and late reimbursement")</f>
        <v>Absent, insolent and menfoutist customer service
Deposit for months while a declared car wreck and late reimbursement</v>
      </c>
    </row>
    <row r="562" ht="15.75" customHeight="1">
      <c r="A562" s="2">
        <v>1.0</v>
      </c>
      <c r="B562" s="2" t="s">
        <v>1644</v>
      </c>
      <c r="C562" s="2" t="s">
        <v>1645</v>
      </c>
      <c r="D562" s="2" t="s">
        <v>341</v>
      </c>
      <c r="E562" s="2" t="s">
        <v>77</v>
      </c>
      <c r="F562" s="2" t="s">
        <v>15</v>
      </c>
      <c r="G562" s="2" t="s">
        <v>1646</v>
      </c>
      <c r="H562" s="2" t="s">
        <v>294</v>
      </c>
      <c r="I562" s="2" t="str">
        <f>IFERROR(__xludf.DUMMYFUNCTION("GOOGLETRANSLATE(C562,""fr"",""en"")"),"A shame !! Customer for 5 years with 1 small non -responsible disaster ... and they resile my contract with a simple mail without signature and no way to exchange .... with someone other than the voice server !! to flee")</f>
        <v>A shame !! Customer for 5 years with 1 small non -responsible disaster ... and they resile my contract with a simple mail without signature and no way to exchange .... with someone other than the voice server !! to flee</v>
      </c>
    </row>
    <row r="563" ht="15.75" customHeight="1">
      <c r="A563" s="2">
        <v>1.0</v>
      </c>
      <c r="B563" s="2" t="s">
        <v>1647</v>
      </c>
      <c r="C563" s="2" t="s">
        <v>1648</v>
      </c>
      <c r="D563" s="2" t="s">
        <v>26</v>
      </c>
      <c r="E563" s="2" t="s">
        <v>14</v>
      </c>
      <c r="F563" s="2" t="s">
        <v>15</v>
      </c>
      <c r="G563" s="2" t="s">
        <v>1649</v>
      </c>
      <c r="H563" s="2" t="s">
        <v>343</v>
      </c>
      <c r="I563" s="2" t="str">
        <f>IFERROR(__xludf.DUMMYFUNCTION("GOOGLETRANSLATE(C563,""fr"",""en"")"),"The Macif is still there to ask you to pay and threatens you to transmit your file to the collection service if you do not pay within 10 days. I had just canceled the contract, they continued to take samples. So I sent an email to ask for explanations. I "&amp;"had a letter for response, saying that I still owe them € 19. Why ? No idea. I asked them for explanations on this sum, even if it is low, a detailed calculation is too apparently requested ... A few years ago, an accident where I was not responsible, the"&amp;"y took two years To be united and again it is because I insisted, relaunched several times otherwise I would still wait for it. They do not bother to process the files, only respond vaguely to requests, do not research the other insurer ... In short, very"&amp;" happy to be a party ....")</f>
        <v>The Macif is still there to ask you to pay and threatens you to transmit your file to the collection service if you do not pay within 10 days. I had just canceled the contract, they continued to take samples. So I sent an email to ask for explanations. I had a letter for response, saying that I still owe them € 19. Why ? No idea. I asked them for explanations on this sum, even if it is low, a detailed calculation is too apparently requested ... A few years ago, an accident where I was not responsible, they took two years To be united and again it is because I insisted, relaunched several times otherwise I would still wait for it. They do not bother to process the files, only respond vaguely to requests, do not research the other insurer ... In short, very happy to be a party ....</v>
      </c>
    </row>
    <row r="564" ht="15.75" customHeight="1">
      <c r="A564" s="2">
        <v>1.0</v>
      </c>
      <c r="B564" s="2" t="s">
        <v>1650</v>
      </c>
      <c r="C564" s="2" t="s">
        <v>1651</v>
      </c>
      <c r="D564" s="2" t="s">
        <v>63</v>
      </c>
      <c r="E564" s="2" t="s">
        <v>77</v>
      </c>
      <c r="F564" s="2" t="s">
        <v>15</v>
      </c>
      <c r="G564" s="2" t="s">
        <v>1652</v>
      </c>
      <c r="H564" s="2" t="s">
        <v>805</v>
      </c>
      <c r="I564" s="2" t="str">
        <f>IFERROR(__xludf.DUMMYFUNCTION("GOOGLETRANSLATE(C564,""fr"",""en"")"),"Convenient real estate declared in March, the MAIF did nothing and in view of the quote (1800 euros) requires expertise in September ... still awaiting the expert report at the end of January!
Sinister for a velo accident in December (bike hit by car, th"&amp;"e wheel looks like an eight! Amicable observation with the driver): for a quote of 150 euros, the maif requests an expertise ... Deli additional ... Velo always immobilized ...
Body sinister and request for home help (my wife on a wheelchair for 2 months"&amp;"): Maif takes 2 months to answer; Home help: limited to 3 weeks. Information given after 2 months ... Impossible to incur fees before medical validation but the MAIF takes 2 months to answer; In short in the meantime we had to manage alone !!!")</f>
        <v>Convenient real estate declared in March, the MAIF did nothing and in view of the quote (1800 euros) requires expertise in September ... still awaiting the expert report at the end of January!
Sinister for a velo accident in December (bike hit by car, the wheel looks like an eight! Amicable observation with the driver): for a quote of 150 euros, the maif requests an expertise ... Deli additional ... Velo always immobilized ...
Body sinister and request for home help (my wife on a wheelchair for 2 months): Maif takes 2 months to answer; Home help: limited to 3 weeks. Information given after 2 months ... Impossible to incur fees before medical validation but the MAIF takes 2 months to answer; In short in the meantime we had to manage alone !!!</v>
      </c>
    </row>
    <row r="565" ht="15.75" customHeight="1">
      <c r="A565" s="2">
        <v>4.0</v>
      </c>
      <c r="B565" s="2" t="s">
        <v>1653</v>
      </c>
      <c r="C565" s="2" t="s">
        <v>1654</v>
      </c>
      <c r="D565" s="2" t="s">
        <v>42</v>
      </c>
      <c r="E565" s="2" t="s">
        <v>43</v>
      </c>
      <c r="F565" s="2" t="s">
        <v>15</v>
      </c>
      <c r="G565" s="2" t="s">
        <v>605</v>
      </c>
      <c r="H565" s="2" t="s">
        <v>28</v>
      </c>
      <c r="I565" s="2" t="str">
        <f>IFERROR(__xludf.DUMMYFUNCTION("GOOGLETRANSLATE(C565,""fr"",""en"")"),"I am satisfied with my approach, the prices are correct, these super, I hope to receive my green card very quickly, to take advantage of my motorcycle.")</f>
        <v>I am satisfied with my approach, the prices are correct, these super, I hope to receive my green card very quickly, to take advantage of my motorcycle.</v>
      </c>
    </row>
    <row r="566" ht="15.75" customHeight="1">
      <c r="A566" s="2">
        <v>5.0</v>
      </c>
      <c r="B566" s="2" t="s">
        <v>1655</v>
      </c>
      <c r="C566" s="2" t="s">
        <v>1656</v>
      </c>
      <c r="D566" s="2" t="s">
        <v>47</v>
      </c>
      <c r="E566" s="2" t="s">
        <v>14</v>
      </c>
      <c r="F566" s="2" t="s">
        <v>15</v>
      </c>
      <c r="G566" s="2" t="s">
        <v>1657</v>
      </c>
      <c r="H566" s="2" t="s">
        <v>56</v>
      </c>
      <c r="I566" s="2" t="str">
        <f>IFERROR(__xludf.DUMMYFUNCTION("GOOGLETRANSLATE(C566,""fr"",""en"")"),"Satisfied with the offer and the telephone contacts I had. Satisfied with the 50km optional franchise. Regrets not being able to advance more for the 1st payment and lower monthly payments.")</f>
        <v>Satisfied with the offer and the telephone contacts I had. Satisfied with the 50km optional franchise. Regrets not being able to advance more for the 1st payment and lower monthly payments.</v>
      </c>
    </row>
    <row r="567" ht="15.75" customHeight="1">
      <c r="A567" s="2">
        <v>4.0</v>
      </c>
      <c r="B567" s="2" t="s">
        <v>1658</v>
      </c>
      <c r="C567" s="2" t="s">
        <v>1659</v>
      </c>
      <c r="D567" s="2" t="s">
        <v>223</v>
      </c>
      <c r="E567" s="2" t="s">
        <v>14</v>
      </c>
      <c r="F567" s="2" t="s">
        <v>15</v>
      </c>
      <c r="G567" s="2" t="s">
        <v>1660</v>
      </c>
      <c r="H567" s="2" t="s">
        <v>343</v>
      </c>
      <c r="I567" s="2" t="str">
        <f>IFERROR(__xludf.DUMMYFUNCTION("GOOGLETRANSLATE(C567,""fr"",""en"")"),"Competent insurer and staff following accident, as well as on a highway failure (problem treated in the following time with troubleshooting in 2 cases). Too bad, that this insurer following the COVID did not offer 2 months of contributions in 2020 to its "&amp;"customers (GMF in other mutuals ...), their commercial policy is exclusively oriented priority to professionals, individuals and retirees are Always the milk cows !!!.")</f>
        <v>Competent insurer and staff following accident, as well as on a highway failure (problem treated in the following time with troubleshooting in 2 cases). Too bad, that this insurer following the COVID did not offer 2 months of contributions in 2020 to its customers (GMF in other mutuals ...), their commercial policy is exclusively oriented priority to professionals, individuals and retirees are Always the milk cows !!!.</v>
      </c>
    </row>
    <row r="568" ht="15.75" customHeight="1">
      <c r="A568" s="2">
        <v>1.0</v>
      </c>
      <c r="B568" s="2" t="s">
        <v>1661</v>
      </c>
      <c r="C568" s="2" t="s">
        <v>1662</v>
      </c>
      <c r="D568" s="2" t="s">
        <v>860</v>
      </c>
      <c r="E568" s="2" t="s">
        <v>138</v>
      </c>
      <c r="F568" s="2" t="s">
        <v>15</v>
      </c>
      <c r="G568" s="2" t="s">
        <v>73</v>
      </c>
      <c r="H568" s="2" t="s">
        <v>74</v>
      </c>
      <c r="I568" s="2" t="str">
        <f>IFERROR(__xludf.DUMMYFUNCTION("GOOGLETRANSLATE(C568,""fr"",""en"")"),"My mother had subscribed to a death capital. Each year, she settles her subscription in January and has already paid more than 4 times the capital subscribed since she joined. Impossible to know if the capital will be reassessed ...
His death, which occu"&amp;"rred last November, was reported by registered mail, and since we have received (2 times!) The 2021 call for contribution.
After 3 telephone contacts and messages left on the customer area, it is impossible to know when the folder will be set, what suppo"&amp;"rting documents we must provide ... and in addition, impossible to connect to our customer area ... the galley! Little respect for customers! We are told that the file is taking its course ... I will be contacted ...")</f>
        <v>My mother had subscribed to a death capital. Each year, she settles her subscription in January and has already paid more than 4 times the capital subscribed since she joined. Impossible to know if the capital will be reassessed ...
His death, which occurred last November, was reported by registered mail, and since we have received (2 times!) The 2021 call for contribution.
After 3 telephone contacts and messages left on the customer area, it is impossible to know when the folder will be set, what supporting documents we must provide ... and in addition, impossible to connect to our customer area ... the galley! Little respect for customers! We are told that the file is taking its course ... I will be contacted ...</v>
      </c>
    </row>
    <row r="569" ht="15.75" customHeight="1">
      <c r="A569" s="2">
        <v>5.0</v>
      </c>
      <c r="B569" s="2" t="s">
        <v>1663</v>
      </c>
      <c r="C569" s="2" t="s">
        <v>1664</v>
      </c>
      <c r="D569" s="2" t="s">
        <v>13</v>
      </c>
      <c r="E569" s="2" t="s">
        <v>14</v>
      </c>
      <c r="F569" s="2" t="s">
        <v>15</v>
      </c>
      <c r="G569" s="2" t="s">
        <v>99</v>
      </c>
      <c r="H569" s="2" t="s">
        <v>99</v>
      </c>
      <c r="I569" s="2" t="str">
        <f>IFERROR(__xludf.DUMMYFUNCTION("GOOGLETRANSLATE(C569,""fr"",""en"")"),"Nickel, I am satisfied with the service, thank you! Very fast subscription and super attractive price! I am a student and the price is more than reasonable!")</f>
        <v>Nickel, I am satisfied with the service, thank you! Very fast subscription and super attractive price! I am a student and the price is more than reasonable!</v>
      </c>
    </row>
    <row r="570" ht="15.75" customHeight="1">
      <c r="A570" s="2">
        <v>5.0</v>
      </c>
      <c r="B570" s="2" t="s">
        <v>1665</v>
      </c>
      <c r="C570" s="2" t="s">
        <v>1666</v>
      </c>
      <c r="D570" s="2" t="s">
        <v>13</v>
      </c>
      <c r="E570" s="2" t="s">
        <v>14</v>
      </c>
      <c r="F570" s="2" t="s">
        <v>15</v>
      </c>
      <c r="G570" s="2" t="s">
        <v>1050</v>
      </c>
      <c r="H570" s="2" t="s">
        <v>69</v>
      </c>
      <c r="I570" s="2" t="str">
        <f>IFERROR(__xludf.DUMMYFUNCTION("GOOGLETRANSLATE(C570,""fr"",""en"")"),"Quick and easy. Less of all the rest of insurance. I'm happy for the moment. We will see. I hope everything will go well for the rest of my car's life")</f>
        <v>Quick and easy. Less of all the rest of insurance. I'm happy for the moment. We will see. I hope everything will go well for the rest of my car's life</v>
      </c>
    </row>
    <row r="571" ht="15.75" customHeight="1">
      <c r="A571" s="2">
        <v>5.0</v>
      </c>
      <c r="B571" s="2" t="s">
        <v>1667</v>
      </c>
      <c r="C571" s="2" t="s">
        <v>1668</v>
      </c>
      <c r="D571" s="2" t="s">
        <v>13</v>
      </c>
      <c r="E571" s="2" t="s">
        <v>14</v>
      </c>
      <c r="F571" s="2" t="s">
        <v>15</v>
      </c>
      <c r="G571" s="2" t="s">
        <v>1669</v>
      </c>
      <c r="H571" s="2" t="s">
        <v>99</v>
      </c>
      <c r="I571" s="2" t="str">
        <f>IFERROR(__xludf.DUMMYFUNCTION("GOOGLETRANSLATE(C571,""fr"",""en"")"),"Very satisfied with the Direct Insurance services, I recommend of course! Perfect customer service, perfect price, speed of perfect care, unbeatable price on the insurance market! Even for home insurance!")</f>
        <v>Very satisfied with the Direct Insurance services, I recommend of course! Perfect customer service, perfect price, speed of perfect care, unbeatable price on the insurance market! Even for home insurance!</v>
      </c>
    </row>
    <row r="572" ht="15.75" customHeight="1">
      <c r="A572" s="2">
        <v>5.0</v>
      </c>
      <c r="B572" s="2" t="s">
        <v>1670</v>
      </c>
      <c r="C572" s="2" t="s">
        <v>1671</v>
      </c>
      <c r="D572" s="2" t="s">
        <v>47</v>
      </c>
      <c r="E572" s="2" t="s">
        <v>14</v>
      </c>
      <c r="F572" s="2" t="s">
        <v>15</v>
      </c>
      <c r="G572" s="2" t="s">
        <v>170</v>
      </c>
      <c r="H572" s="2" t="s">
        <v>17</v>
      </c>
      <c r="I572" s="2" t="str">
        <f>IFERROR(__xludf.DUMMYFUNCTION("GOOGLETRANSLATE(C572,""fr"",""en"")"),"I am happy and satisfied with the contract proposal. It's simple and quick so save time for everyone. It is necessary to follow in this direction.")</f>
        <v>I am happy and satisfied with the contract proposal. It's simple and quick so save time for everyone. It is necessary to follow in this direction.</v>
      </c>
    </row>
    <row r="573" ht="15.75" customHeight="1">
      <c r="A573" s="2">
        <v>1.0</v>
      </c>
      <c r="B573" s="2" t="s">
        <v>1672</v>
      </c>
      <c r="C573" s="2" t="s">
        <v>1673</v>
      </c>
      <c r="D573" s="2" t="s">
        <v>196</v>
      </c>
      <c r="E573" s="2" t="s">
        <v>77</v>
      </c>
      <c r="F573" s="2" t="s">
        <v>15</v>
      </c>
      <c r="G573" s="2" t="s">
        <v>90</v>
      </c>
      <c r="H573" s="2" t="s">
        <v>91</v>
      </c>
      <c r="I573" s="2" t="str">
        <f>IFERROR(__xludf.DUMMYFUNCTION("GOOGLETRANSLATE(C573,""fr"",""en"")"),"Impossible to reach them to the such agency on the National Num by Internet
Shame on them and if by the greatest hazards it is decreasing it is a robot that tells you that we will remind you without a follow -up for the moment to be decorated since June "&amp;"2020 my sinister traine ......
")</f>
        <v>Impossible to reach them to the such agency on the National Num by Internet
Shame on them and if by the greatest hazards it is decreasing it is a robot that tells you that we will remind you without a follow -up for the moment to be decorated since June 2020 my sinister traine ......
</v>
      </c>
    </row>
    <row r="574" ht="15.75" customHeight="1">
      <c r="A574" s="2">
        <v>3.0</v>
      </c>
      <c r="B574" s="2" t="s">
        <v>1674</v>
      </c>
      <c r="C574" s="2" t="s">
        <v>1675</v>
      </c>
      <c r="D574" s="2" t="s">
        <v>47</v>
      </c>
      <c r="E574" s="2" t="s">
        <v>14</v>
      </c>
      <c r="F574" s="2" t="s">
        <v>15</v>
      </c>
      <c r="G574" s="2" t="s">
        <v>55</v>
      </c>
      <c r="H574" s="2" t="s">
        <v>56</v>
      </c>
      <c r="I574" s="2" t="str">
        <f>IFERROR(__xludf.DUMMYFUNCTION("GOOGLETRANSLATE(C574,""fr"",""en"")"),"I am satisfied contact Simpa thank you cordially for your service know -how with your customer services very good price very good day thank you again")</f>
        <v>I am satisfied contact Simpa thank you cordially for your service know -how with your customer services very good price very good day thank you again</v>
      </c>
    </row>
    <row r="575" ht="15.75" customHeight="1">
      <c r="A575" s="2">
        <v>3.0</v>
      </c>
      <c r="B575" s="2" t="s">
        <v>1676</v>
      </c>
      <c r="C575" s="2" t="s">
        <v>1677</v>
      </c>
      <c r="D575" s="2" t="s">
        <v>13</v>
      </c>
      <c r="E575" s="2" t="s">
        <v>14</v>
      </c>
      <c r="F575" s="2" t="s">
        <v>15</v>
      </c>
      <c r="G575" s="2" t="s">
        <v>497</v>
      </c>
      <c r="H575" s="2" t="s">
        <v>69</v>
      </c>
      <c r="I575" s="2" t="str">
        <f>IFERROR(__xludf.DUMMYFUNCTION("GOOGLETRANSLATE(C575,""fr"",""en"")"),"Very December telephonic contact. Unmanageable person early in the morning had very little patience apparently. Unrespolious problem with a person who seems annoyed by my request!")</f>
        <v>Very December telephonic contact. Unmanageable person early in the morning had very little patience apparently. Unrespolious problem with a person who seems annoyed by my request!</v>
      </c>
    </row>
    <row r="576" ht="15.75" customHeight="1">
      <c r="A576" s="2">
        <v>2.0</v>
      </c>
      <c r="B576" s="2" t="s">
        <v>1678</v>
      </c>
      <c r="C576" s="2" t="s">
        <v>1679</v>
      </c>
      <c r="D576" s="2" t="s">
        <v>137</v>
      </c>
      <c r="E576" s="2" t="s">
        <v>138</v>
      </c>
      <c r="F576" s="2" t="s">
        <v>15</v>
      </c>
      <c r="G576" s="2" t="s">
        <v>1680</v>
      </c>
      <c r="H576" s="2" t="s">
        <v>343</v>
      </c>
      <c r="I576" s="2" t="str">
        <f>IFERROR(__xludf.DUMMYFUNCTION("GOOGLETRANSLATE(C576,""fr"",""en"")"),"I'm so disappointed ! I find myself in a precarious financial situation despite a salary maintenance insurance! I have stopped and only receive a half-treatment of my salary since November 2020! Until this date I did not have any problems with intermers, "&amp;"but there I no longer perceive my reimbursements
Despite all my calls to platforms and the fact of having involved the social worker and the person who manages my file at work I always answer me the same thing!
It is a shame to be in this very difficult"&amp;" financial situation when I have insurance !!!
On the other hand my contributions are up to date and this despite being obliged to ask for help around me in order to support my needs! A very hard situation to live as much physical as it is psychologicall"&amp;"y when I don't need that ... when we are stopped it is not our fault! I would like to be able to resume my work but it is not topical according to my prevention doctor
What to do to make things better ???
When you take insurance it is to avoid this kind"&amp;" of financial situation, you have to be provident
I also point out that I live alone and my children make their lives!
")</f>
        <v>I'm so disappointed ! I find myself in a precarious financial situation despite a salary maintenance insurance! I have stopped and only receive a half-treatment of my salary since November 2020! Until this date I did not have any problems with intermers, but there I no longer perceive my reimbursements
Despite all my calls to platforms and the fact of having involved the social worker and the person who manages my file at work I always answer me the same thing!
It is a shame to be in this very difficult financial situation when I have insurance !!!
On the other hand my contributions are up to date and this despite being obliged to ask for help around me in order to support my needs! A very hard situation to live as much physical as it is psychologically when I don't need that ... when we are stopped it is not our fault! I would like to be able to resume my work but it is not topical according to my prevention doctor
What to do to make things better ???
When you take insurance it is to avoid this kind of financial situation, you have to be provident
I also point out that I live alone and my children make their lives!
</v>
      </c>
    </row>
    <row r="577" ht="15.75" customHeight="1">
      <c r="A577" s="2">
        <v>3.0</v>
      </c>
      <c r="B577" s="2" t="s">
        <v>1681</v>
      </c>
      <c r="C577" s="2" t="s">
        <v>1682</v>
      </c>
      <c r="D577" s="2" t="s">
        <v>47</v>
      </c>
      <c r="E577" s="2" t="s">
        <v>14</v>
      </c>
      <c r="F577" s="2" t="s">
        <v>15</v>
      </c>
      <c r="G577" s="2" t="s">
        <v>1683</v>
      </c>
      <c r="H577" s="2" t="s">
        <v>565</v>
      </c>
      <c r="I577" s="2" t="str">
        <f>IFERROR(__xludf.DUMMYFUNCTION("GOOGLETRANSLATE(C577,""fr"",""en"")"),"I just subscribed today in view of the comments it scares me extremely and I hope not to have made a big stupidity it is true that the price was attractive but hey I should have read the opinions before, first downside I Do not manage to send the attached"&amp;" parts to ask to be able to receive my green card in my customer area I therefore did by email but they announce a 30 -day deadline! I hope they will take care of terminating my old car insurance because I do not want to pay on both sides they have alread"&amp;"y taken my subscription in the year in short big stress I hope that everything will go well")</f>
        <v>I just subscribed today in view of the comments it scares me extremely and I hope not to have made a big stupidity it is true that the price was attractive but hey I should have read the opinions before, first downside I Do not manage to send the attached parts to ask to be able to receive my green card in my customer area I therefore did by email but they announce a 30 -day deadline! I hope they will take care of terminating my old car insurance because I do not want to pay on both sides they have already taken my subscription in the year in short big stress I hope that everything will go well</v>
      </c>
    </row>
    <row r="578" ht="15.75" customHeight="1">
      <c r="A578" s="2">
        <v>5.0</v>
      </c>
      <c r="B578" s="2" t="s">
        <v>1684</v>
      </c>
      <c r="C578" s="2" t="s">
        <v>1685</v>
      </c>
      <c r="D578" s="2" t="s">
        <v>47</v>
      </c>
      <c r="E578" s="2" t="s">
        <v>14</v>
      </c>
      <c r="F578" s="2" t="s">
        <v>15</v>
      </c>
      <c r="G578" s="2" t="s">
        <v>1686</v>
      </c>
      <c r="H578" s="2" t="s">
        <v>294</v>
      </c>
      <c r="I578" s="2" t="str">
        <f>IFERROR(__xludf.DUMMYFUNCTION("GOOGLETRANSLATE(C578,""fr"",""en"")"),"Very effective service - warm contact, but above all very clear. Little useless blah.")</f>
        <v>Very effective service - warm contact, but above all very clear. Little useless blah.</v>
      </c>
    </row>
    <row r="579" ht="15.75" customHeight="1">
      <c r="A579" s="2">
        <v>3.0</v>
      </c>
      <c r="B579" s="2" t="s">
        <v>1687</v>
      </c>
      <c r="C579" s="2" t="s">
        <v>1688</v>
      </c>
      <c r="D579" s="2" t="s">
        <v>13</v>
      </c>
      <c r="E579" s="2" t="s">
        <v>14</v>
      </c>
      <c r="F579" s="2" t="s">
        <v>15</v>
      </c>
      <c r="G579" s="2" t="s">
        <v>117</v>
      </c>
      <c r="H579" s="2" t="s">
        <v>28</v>
      </c>
      <c r="I579" s="2" t="str">
        <f>IFERROR(__xludf.DUMMYFUNCTION("GOOGLETRANSLATE(C579,""fr"",""en"")"),"Hello, for very satisfied instant, quick and easy registration, I just registered so we'll see how it goes afterwards, I also have home insurance at home, so a small reduction would not be bad")</f>
        <v>Hello, for very satisfied instant, quick and easy registration, I just registered so we'll see how it goes afterwards, I also have home insurance at home, so a small reduction would not be bad</v>
      </c>
    </row>
    <row r="580" ht="15.75" customHeight="1">
      <c r="A580" s="2">
        <v>2.0</v>
      </c>
      <c r="B580" s="2" t="s">
        <v>1689</v>
      </c>
      <c r="C580" s="2" t="s">
        <v>1690</v>
      </c>
      <c r="D580" s="2" t="s">
        <v>223</v>
      </c>
      <c r="E580" s="2" t="s">
        <v>14</v>
      </c>
      <c r="F580" s="2" t="s">
        <v>15</v>
      </c>
      <c r="G580" s="2" t="s">
        <v>1691</v>
      </c>
      <c r="H580" s="2" t="s">
        <v>121</v>
      </c>
      <c r="I580" s="2" t="str">
        <f>IFERROR(__xludf.DUMMYFUNCTION("GOOGLETRANSLATE(C580,""fr"",""en"")"),"4 advisers to make an amendment on my contract, who all told me different things. Because concerns with the price of my current vehicle which took 600 euros in addition to the same vehicle as I had. None were able to answer me the why of the how, knowing "&amp;"that the quotes effective on your site are completely different at the quote that I had with one of the advisers. The quote on the internet corresponded to the price of my previous vehicle, knowing that the current one is the same. I always expect by emai"&amp;"l, the response of an advisor who could not respond to me when I asked her to be contacted by a site manager and have a postal address to be able to write a letter there. This is the third vehicle I assure at home, I also had to put my home insurance, out"&amp;"side, I am not at all satisfied with the procedure and the way it was made to ensure my third vehicle. I would still like to be contacted to be able to clarify my backrest.
Sincerely, Mr Castaldo Thomas")</f>
        <v>4 advisers to make an amendment on my contract, who all told me different things. Because concerns with the price of my current vehicle which took 600 euros in addition to the same vehicle as I had. None were able to answer me the why of the how, knowing that the quotes effective on your site are completely different at the quote that I had with one of the advisers. The quote on the internet corresponded to the price of my previous vehicle, knowing that the current one is the same. I always expect by email, the response of an advisor who could not respond to me when I asked her to be contacted by a site manager and have a postal address to be able to write a letter there. This is the third vehicle I assure at home, I also had to put my home insurance, outside, I am not at all satisfied with the procedure and the way it was made to ensure my third vehicle. I would still like to be contacted to be able to clarify my backrest.
Sincerely, Mr Castaldo Thomas</v>
      </c>
    </row>
    <row r="581" ht="15.75" customHeight="1">
      <c r="A581" s="2">
        <v>3.0</v>
      </c>
      <c r="B581" s="2" t="s">
        <v>1692</v>
      </c>
      <c r="C581" s="2" t="s">
        <v>1693</v>
      </c>
      <c r="D581" s="2" t="s">
        <v>47</v>
      </c>
      <c r="E581" s="2" t="s">
        <v>14</v>
      </c>
      <c r="F581" s="2" t="s">
        <v>15</v>
      </c>
      <c r="G581" s="2" t="s">
        <v>424</v>
      </c>
      <c r="H581" s="2" t="s">
        <v>69</v>
      </c>
      <c r="I581" s="2" t="str">
        <f>IFERROR(__xludf.DUMMYFUNCTION("GOOGLETRANSLATE(C581,""fr"",""en"")"),"My insurance transfer from Allianz Iard to you does not happen as it should. Since my termination, I still had 2 transactions taken by Allianz")</f>
        <v>My insurance transfer from Allianz Iard to you does not happen as it should. Since my termination, I still had 2 transactions taken by Allianz</v>
      </c>
    </row>
    <row r="582" ht="15.75" customHeight="1">
      <c r="A582" s="2">
        <v>3.0</v>
      </c>
      <c r="B582" s="2" t="s">
        <v>1694</v>
      </c>
      <c r="C582" s="2" t="s">
        <v>1695</v>
      </c>
      <c r="D582" s="2" t="s">
        <v>13</v>
      </c>
      <c r="E582" s="2" t="s">
        <v>14</v>
      </c>
      <c r="F582" s="2" t="s">
        <v>15</v>
      </c>
      <c r="G582" s="2" t="s">
        <v>747</v>
      </c>
      <c r="H582" s="2" t="s">
        <v>87</v>
      </c>
      <c r="I582" s="2" t="str">
        <f>IFERROR(__xludf.DUMMYFUNCTION("GOOGLETRANSLATE(C582,""fr"",""en"")"),"I am satisfied with the service but the prices increase quickly I find that the insurance despite a bonus 50 remains dear the prices are still high
")</f>
        <v>I am satisfied with the service but the prices increase quickly I find that the insurance despite a bonus 50 remains dear the prices are still high
</v>
      </c>
    </row>
    <row r="583" ht="15.75" customHeight="1">
      <c r="A583" s="2">
        <v>1.0</v>
      </c>
      <c r="B583" s="2" t="s">
        <v>1696</v>
      </c>
      <c r="C583" s="2" t="s">
        <v>1697</v>
      </c>
      <c r="D583" s="2" t="s">
        <v>282</v>
      </c>
      <c r="E583" s="2" t="s">
        <v>21</v>
      </c>
      <c r="F583" s="2" t="s">
        <v>15</v>
      </c>
      <c r="G583" s="2" t="s">
        <v>1698</v>
      </c>
      <c r="H583" s="2" t="s">
        <v>39</v>
      </c>
      <c r="I583" s="2" t="str">
        <f>IFERROR(__xludf.DUMMYFUNCTION("GOOGLETRANSLATE(C583,""fr"",""en"")"),"A month that my spouse is at this mutual and it is already the disaster I fight it to have reimbursements which are due to me 110 euros a straw and I am told that it is not their armchair if they intervene Not but the fault of the podiatrist who badly dec"&amp;"lared the amount to Social Security !!!
In the end I find it easy and in the meantime it is we who are the victims.
I send a recommended we will see !!!
")</f>
        <v>A month that my spouse is at this mutual and it is already the disaster I fight it to have reimbursements which are due to me 110 euros a straw and I am told that it is not their armchair if they intervene Not but the fault of the podiatrist who badly declared the amount to Social Security !!!
In the end I find it easy and in the meantime it is we who are the victims.
I send a recommended we will see !!!
</v>
      </c>
    </row>
    <row r="584" ht="15.75" customHeight="1">
      <c r="A584" s="2">
        <v>2.0</v>
      </c>
      <c r="B584" s="2" t="s">
        <v>1699</v>
      </c>
      <c r="C584" s="2" t="s">
        <v>1700</v>
      </c>
      <c r="D584" s="2" t="s">
        <v>42</v>
      </c>
      <c r="E584" s="2" t="s">
        <v>43</v>
      </c>
      <c r="F584" s="2" t="s">
        <v>15</v>
      </c>
      <c r="G584" s="2" t="s">
        <v>1701</v>
      </c>
      <c r="H584" s="2" t="s">
        <v>418</v>
      </c>
      <c r="I584" s="2" t="str">
        <f>IFERROR(__xludf.DUMMYFUNCTION("GOOGLETRANSLATE(C584,""fr"",""en"")"),"After the flight of my scooter bought new 6 months ago, I must therefore wait 30 days (time left to find it) before having a reimbursement offer which is already a little stressful regarding the reimbursement when you read the opinions Previous, then what"&amp;" I try to find out about the procedure to follow in the event of a new scooter purchase which I am told that I am not reissure because I had a sinister in less than one year at the same time if I take flight insurance it is to ensure a new vehicle not a w"&amp;"reckage so more risk of flight, so in addition you have your scooter steal, we terminate you and you do not know exactly how much we go Refund you, an obvious lack of tact.
Now I'm waiting to see the reimbursement offer that they will make me if it corre"&amp;"sponds to my calculations it will go, if it's less I will not let myself do especially given the price that it is costing.")</f>
        <v>After the flight of my scooter bought new 6 months ago, I must therefore wait 30 days (time left to find it) before having a reimbursement offer which is already a little stressful regarding the reimbursement when you read the opinions Previous, then what I try to find out about the procedure to follow in the event of a new scooter purchase which I am told that I am not reissure because I had a sinister in less than one year at the same time if I take flight insurance it is to ensure a new vehicle not a wreckage so more risk of flight, so in addition you have your scooter steal, we terminate you and you do not know exactly how much we go Refund you, an obvious lack of tact.
Now I'm waiting to see the reimbursement offer that they will make me if it corresponds to my calculations it will go, if it's less I will not let myself do especially given the price that it is costing.</v>
      </c>
    </row>
    <row r="585" ht="15.75" customHeight="1">
      <c r="A585" s="2">
        <v>5.0</v>
      </c>
      <c r="B585" s="2" t="s">
        <v>1702</v>
      </c>
      <c r="C585" s="2" t="s">
        <v>1703</v>
      </c>
      <c r="D585" s="2" t="s">
        <v>13</v>
      </c>
      <c r="E585" s="2" t="s">
        <v>14</v>
      </c>
      <c r="F585" s="2" t="s">
        <v>15</v>
      </c>
      <c r="G585" s="2" t="s">
        <v>893</v>
      </c>
      <c r="H585" s="2" t="s">
        <v>87</v>
      </c>
      <c r="I585" s="2" t="str">
        <f>IFERROR(__xludf.DUMMYFUNCTION("GOOGLETRANSLATE(C585,""fr"",""en"")"),"Satisfied with the speed of registration. Registration entirely online. The price seems correct.")</f>
        <v>Satisfied with the speed of registration. Registration entirely online. The price seems correct.</v>
      </c>
    </row>
    <row r="586" ht="15.75" customHeight="1">
      <c r="A586" s="2">
        <v>4.0</v>
      </c>
      <c r="B586" s="2" t="s">
        <v>1704</v>
      </c>
      <c r="C586" s="2" t="s">
        <v>1705</v>
      </c>
      <c r="D586" s="2" t="s">
        <v>1238</v>
      </c>
      <c r="E586" s="2" t="s">
        <v>77</v>
      </c>
      <c r="F586" s="2" t="s">
        <v>15</v>
      </c>
      <c r="G586" s="2" t="s">
        <v>1706</v>
      </c>
      <c r="H586" s="2" t="s">
        <v>140</v>
      </c>
      <c r="I586" s="2" t="str">
        <f>IFERROR(__xludf.DUMMYFUNCTION("GOOGLETRANSLATE(C586,""fr"",""en"")"),"At Groupa it is not given but if we are well insured we are perfectly guaranteed, the PJ that I added to my main residence contract extends to the secondary house, no claim for 10 years, so when it happened they were there.")</f>
        <v>At Groupa it is not given but if we are well insured we are perfectly guaranteed, the PJ that I added to my main residence contract extends to the secondary house, no claim for 10 years, so when it happened they were there.</v>
      </c>
    </row>
    <row r="587" ht="15.75" customHeight="1">
      <c r="A587" s="2">
        <v>5.0</v>
      </c>
      <c r="B587" s="2" t="s">
        <v>1707</v>
      </c>
      <c r="C587" s="2" t="s">
        <v>1708</v>
      </c>
      <c r="D587" s="2" t="s">
        <v>13</v>
      </c>
      <c r="E587" s="2" t="s">
        <v>14</v>
      </c>
      <c r="F587" s="2" t="s">
        <v>15</v>
      </c>
      <c r="G587" s="2" t="s">
        <v>893</v>
      </c>
      <c r="H587" s="2" t="s">
        <v>87</v>
      </c>
      <c r="I587" s="2" t="str">
        <f>IFERROR(__xludf.DUMMYFUNCTION("GOOGLETRANSLATE(C587,""fr"",""en"")"),"I pay half price compared to my current insurance for the same guarantees
Before I paid ninety euros per month and I am delighted to pay half price for the same services")</f>
        <v>I pay half price compared to my current insurance for the same guarantees
Before I paid ninety euros per month and I am delighted to pay half price for the same services</v>
      </c>
    </row>
    <row r="588" ht="15.75" customHeight="1">
      <c r="A588" s="2">
        <v>3.0</v>
      </c>
      <c r="B588" s="2" t="s">
        <v>1709</v>
      </c>
      <c r="C588" s="2" t="s">
        <v>1710</v>
      </c>
      <c r="D588" s="2" t="s">
        <v>13</v>
      </c>
      <c r="E588" s="2" t="s">
        <v>14</v>
      </c>
      <c r="F588" s="2" t="s">
        <v>15</v>
      </c>
      <c r="G588" s="2" t="s">
        <v>473</v>
      </c>
      <c r="H588" s="2" t="s">
        <v>87</v>
      </c>
      <c r="I588" s="2" t="str">
        <f>IFERROR(__xludf.DUMMYFUNCTION("GOOGLETRANSLATE(C588,""fr"",""en"")"),"I am almost satisfied otherwise I will have changed insurance for a long time.
I find that it is still a little expensive for a car that will be 10 years old and that I pay to third party. Having had no accidents, would it be possible to lower the price "&amp;"a little? Thank you for your answers")</f>
        <v>I am almost satisfied otherwise I will have changed insurance for a long time.
I find that it is still a little expensive for a car that will be 10 years old and that I pay to third party. Having had no accidents, would it be possible to lower the price a little? Thank you for your answers</v>
      </c>
    </row>
    <row r="589" ht="15.75" customHeight="1">
      <c r="A589" s="2">
        <v>2.0</v>
      </c>
      <c r="B589" s="2" t="s">
        <v>1711</v>
      </c>
      <c r="C589" s="2" t="s">
        <v>1712</v>
      </c>
      <c r="D589" s="2" t="s">
        <v>13</v>
      </c>
      <c r="E589" s="2" t="s">
        <v>14</v>
      </c>
      <c r="F589" s="2" t="s">
        <v>15</v>
      </c>
      <c r="G589" s="2" t="s">
        <v>1713</v>
      </c>
      <c r="H589" s="2" t="s">
        <v>201</v>
      </c>
      <c r="I589" s="2" t="str">
        <f>IFERROR(__xludf.DUMMYFUNCTION("GOOGLETRANSLATE(C589,""fr"",""en"")"),"Thank you for your response . And do not forget your customers knowing that we have been at home for years, customer satisfaction is also more potential customers")</f>
        <v>Thank you for your response . And do not forget your customers knowing that we have been at home for years, customer satisfaction is also more potential customers</v>
      </c>
    </row>
    <row r="590" ht="15.75" customHeight="1">
      <c r="A590" s="2">
        <v>4.0</v>
      </c>
      <c r="B590" s="2" t="s">
        <v>1714</v>
      </c>
      <c r="C590" s="2" t="s">
        <v>1715</v>
      </c>
      <c r="D590" s="2" t="s">
        <v>97</v>
      </c>
      <c r="E590" s="2" t="s">
        <v>43</v>
      </c>
      <c r="F590" s="2" t="s">
        <v>15</v>
      </c>
      <c r="G590" s="2" t="s">
        <v>1716</v>
      </c>
      <c r="H590" s="2" t="s">
        <v>56</v>
      </c>
      <c r="I590" s="2" t="str">
        <f>IFERROR(__xludf.DUMMYFUNCTION("GOOGLETRANSLATE(C590,""fr"",""en"")"),"Difficulty having a telephone advisor, I had 2 calls in parallel, and usually I cannot be contacted
But facility and simplicity of the route on the site")</f>
        <v>Difficulty having a telephone advisor, I had 2 calls in parallel, and usually I cannot be contacted
But facility and simplicity of the route on the site</v>
      </c>
    </row>
    <row r="591" ht="15.75" customHeight="1">
      <c r="A591" s="2">
        <v>1.0</v>
      </c>
      <c r="B591" s="2" t="s">
        <v>1717</v>
      </c>
      <c r="C591" s="2" t="s">
        <v>1718</v>
      </c>
      <c r="D591" s="2" t="s">
        <v>42</v>
      </c>
      <c r="E591" s="2" t="s">
        <v>43</v>
      </c>
      <c r="F591" s="2" t="s">
        <v>15</v>
      </c>
      <c r="G591" s="2" t="s">
        <v>83</v>
      </c>
      <c r="H591" s="2" t="s">
        <v>83</v>
      </c>
      <c r="I591" s="2" t="str">
        <f>IFERROR(__xludf.DUMMYFUNCTION("GOOGLETRANSLATE(C591,""fr"",""en"")"),"Hello .. accidentally not responsible on 04/03/2017 .. I am still awaiting payment of compensation. I send emails, people do not answer ... It is seriously starting to warm up ... I had to be me who claims to advance my file at each stage .. craftsman, I "&amp;"stayed 5 months without being able to Work and without IJ ... Hello hassle and I am still rowing financially to recover this galley. If you need nothing !!! No worries ... frankly, for specialized 2 -wheeled insurance ... Flee them !!!")</f>
        <v>Hello .. accidentally not responsible on 04/03/2017 .. I am still awaiting payment of compensation. I send emails, people do not answer ... It is seriously starting to warm up ... I had to be me who claims to advance my file at each stage .. craftsman, I stayed 5 months without being able to Work and without IJ ... Hello hassle and I am still rowing financially to recover this galley. If you need nothing !!! No worries ... frankly, for specialized 2 -wheeled insurance ... Flee them !!!</v>
      </c>
    </row>
    <row r="592" ht="15.75" customHeight="1">
      <c r="A592" s="2">
        <v>4.0</v>
      </c>
      <c r="B592" s="2" t="s">
        <v>1719</v>
      </c>
      <c r="C592" s="2" t="s">
        <v>1720</v>
      </c>
      <c r="D592" s="2" t="s">
        <v>47</v>
      </c>
      <c r="E592" s="2" t="s">
        <v>14</v>
      </c>
      <c r="F592" s="2" t="s">
        <v>15</v>
      </c>
      <c r="G592" s="2" t="s">
        <v>497</v>
      </c>
      <c r="H592" s="2" t="s">
        <v>69</v>
      </c>
      <c r="I592" s="2" t="str">
        <f>IFERROR(__xludf.DUMMYFUNCTION("GOOGLETRANSLATE(C592,""fr"",""en"")"),"I am very satisfied with the service, the quotes are quick to fill and accessible to everyone. The prices are attractive and the offers are very interesting")</f>
        <v>I am very satisfied with the service, the quotes are quick to fill and accessible to everyone. The prices are attractive and the offers are very interesting</v>
      </c>
    </row>
    <row r="593" ht="15.75" customHeight="1">
      <c r="A593" s="2">
        <v>3.0</v>
      </c>
      <c r="B593" s="2" t="s">
        <v>1721</v>
      </c>
      <c r="C593" s="2" t="s">
        <v>1722</v>
      </c>
      <c r="D593" s="2" t="s">
        <v>26</v>
      </c>
      <c r="E593" s="2" t="s">
        <v>14</v>
      </c>
      <c r="F593" s="2" t="s">
        <v>15</v>
      </c>
      <c r="G593" s="2" t="s">
        <v>1723</v>
      </c>
      <c r="H593" s="2" t="s">
        <v>538</v>
      </c>
      <c r="I593" s="2" t="str">
        <f>IFERROR(__xludf.DUMMYFUNCTION("GOOGLETRANSLATE(C593,""fr"",""en"")"),"As long as you pay and you don't need the Macif, no problem! I had a big accident in November 2017 and it is constantly having to relaunch the Macif to do their jobs! The manager is unreachable and don't remember it when you leave him messages! No reimbur"&amp;"sements starts everything hangs out !!! They tend to forget that the victim is me I have no responsibility in the accident that happened to me !! I do not know if I would help my future car with them, at least I must be able to buy it since I do not alway"&amp;"s reimbursements !!!!!!")</f>
        <v>As long as you pay and you don't need the Macif, no problem! I had a big accident in November 2017 and it is constantly having to relaunch the Macif to do their jobs! The manager is unreachable and don't remember it when you leave him messages! No reimbursements starts everything hangs out !!! They tend to forget that the victim is me I have no responsibility in the accident that happened to me !! I do not know if I would help my future car with them, at least I must be able to buy it since I do not always reimbursements !!!!!!</v>
      </c>
    </row>
    <row r="594" ht="15.75" customHeight="1">
      <c r="A594" s="2">
        <v>3.0</v>
      </c>
      <c r="B594" s="2" t="s">
        <v>1724</v>
      </c>
      <c r="C594" s="2" t="s">
        <v>1725</v>
      </c>
      <c r="D594" s="2" t="s">
        <v>72</v>
      </c>
      <c r="E594" s="2" t="s">
        <v>21</v>
      </c>
      <c r="F594" s="2" t="s">
        <v>15</v>
      </c>
      <c r="G594" s="2" t="s">
        <v>1726</v>
      </c>
      <c r="H594" s="2" t="s">
        <v>897</v>
      </c>
      <c r="I594" s="2" t="str">
        <f>IFERROR(__xludf.DUMMYFUNCTION("GOOGLETRANSLATE(C594,""fr"",""en"")"),"Hello, I had Gwendal on the phone: he managed to manage my problem with efficiency and good humor. Other operators should be inspired by it. Perfect!")</f>
        <v>Hello, I had Gwendal on the phone: he managed to manage my problem with efficiency and good humor. Other operators should be inspired by it. Perfect!</v>
      </c>
    </row>
    <row r="595" ht="15.75" customHeight="1">
      <c r="A595" s="2">
        <v>3.0</v>
      </c>
      <c r="B595" s="2" t="s">
        <v>1727</v>
      </c>
      <c r="C595" s="2" t="s">
        <v>1728</v>
      </c>
      <c r="D595" s="2" t="s">
        <v>47</v>
      </c>
      <c r="E595" s="2" t="s">
        <v>14</v>
      </c>
      <c r="F595" s="2" t="s">
        <v>15</v>
      </c>
      <c r="G595" s="2" t="s">
        <v>709</v>
      </c>
      <c r="H595" s="2" t="s">
        <v>49</v>
      </c>
      <c r="I595" s="2" t="str">
        <f>IFERROR(__xludf.DUMMYFUNCTION("GOOGLETRANSLATE(C595,""fr"",""en"")"),"Welcome the people I had online this afternoon. Presentation of understandable guarantees
And clear. Satisfactory and very correct maintenance.")</f>
        <v>Welcome the people I had online this afternoon. Presentation of understandable guarantees
And clear. Satisfactory and very correct maintenance.</v>
      </c>
    </row>
    <row r="596" ht="15.75" customHeight="1">
      <c r="A596" s="2">
        <v>4.0</v>
      </c>
      <c r="B596" s="2" t="s">
        <v>1729</v>
      </c>
      <c r="C596" s="2" t="s">
        <v>1730</v>
      </c>
      <c r="D596" s="2" t="s">
        <v>253</v>
      </c>
      <c r="E596" s="2" t="s">
        <v>21</v>
      </c>
      <c r="F596" s="2" t="s">
        <v>15</v>
      </c>
      <c r="G596" s="2" t="s">
        <v>1731</v>
      </c>
      <c r="H596" s="2" t="s">
        <v>213</v>
      </c>
      <c r="I596" s="2" t="str">
        <f>IFERROR(__xludf.DUMMYFUNCTION("GOOGLETRANSLATE(C596,""fr"",""en"")"),"Very good detailed explanations for taking contract. Speed ​​of reimbursements.")</f>
        <v>Very good detailed explanations for taking contract. Speed ​​of reimbursements.</v>
      </c>
    </row>
    <row r="597" ht="15.75" customHeight="1">
      <c r="A597" s="2">
        <v>1.0</v>
      </c>
      <c r="B597" s="2" t="s">
        <v>1732</v>
      </c>
      <c r="C597" s="2" t="s">
        <v>1733</v>
      </c>
      <c r="D597" s="2" t="s">
        <v>20</v>
      </c>
      <c r="E597" s="2" t="s">
        <v>21</v>
      </c>
      <c r="F597" s="2" t="s">
        <v>15</v>
      </c>
      <c r="G597" s="2" t="s">
        <v>1734</v>
      </c>
      <c r="H597" s="2" t="s">
        <v>56</v>
      </c>
      <c r="I597" s="2" t="str">
        <f>IFERROR(__xludf.DUMMYFUNCTION("GOOGLETRANSLATE(C597,""fr"",""en"")"),"fanciful mutual reimbursement when it comes to time as well as very difficult contacts is really misery this mutual. I thought they were doing a good action but coming from it I could not trust blindly just just the word here I am in the ground I will see"&amp;" what position to adopt (lawyer and justice it is very painful) cdlmt fr")</f>
        <v>fanciful mutual reimbursement when it comes to time as well as very difficult contacts is really misery this mutual. I thought they were doing a good action but coming from it I could not trust blindly just just the word here I am in the ground I will see what position to adopt (lawyer and justice it is very painful) cdlmt fr</v>
      </c>
    </row>
    <row r="598" ht="15.75" customHeight="1">
      <c r="A598" s="2">
        <v>4.0</v>
      </c>
      <c r="B598" s="2" t="s">
        <v>1735</v>
      </c>
      <c r="C598" s="2" t="s">
        <v>1736</v>
      </c>
      <c r="D598" s="2" t="s">
        <v>63</v>
      </c>
      <c r="E598" s="2" t="s">
        <v>14</v>
      </c>
      <c r="F598" s="2" t="s">
        <v>15</v>
      </c>
      <c r="G598" s="2" t="s">
        <v>1737</v>
      </c>
      <c r="H598" s="2" t="s">
        <v>805</v>
      </c>
      <c r="I598" s="2" t="str">
        <f>IFERROR(__xludf.DUMMYFUNCTION("GOOGLETRANSLATE(C598,""fr"",""en"")"),"Serious, simple and efficient insurance. The prices are not excessive and are quite transparent. The management is fast, concrete.")</f>
        <v>Serious, simple and efficient insurance. The prices are not excessive and are quite transparent. The management is fast, concrete.</v>
      </c>
    </row>
    <row r="599" ht="15.75" customHeight="1">
      <c r="A599" s="2">
        <v>1.0</v>
      </c>
      <c r="B599" s="2" t="s">
        <v>1738</v>
      </c>
      <c r="C599" s="2" t="s">
        <v>1739</v>
      </c>
      <c r="D599" s="2" t="s">
        <v>37</v>
      </c>
      <c r="E599" s="2" t="s">
        <v>21</v>
      </c>
      <c r="F599" s="2" t="s">
        <v>15</v>
      </c>
      <c r="G599" s="2" t="s">
        <v>1740</v>
      </c>
      <c r="H599" s="2" t="s">
        <v>250</v>
      </c>
      <c r="I599" s="2" t="str">
        <f>IFERROR(__xludf.DUMMYFUNCTION("GOOGLETRANSLATE(C599,""fr"",""en"")"),"Very dissatisfied with the follow -up of my files by this mutual, I am even more of the customer service in agency (disinterested advisor to its customers ...). I have been trying for more than a year to unsubscribe, my CES ""... (word likely to interfere"&amp;")"" always find a detail to make me pay !!! (be careful, if you are at home and want to change your mutual, check well to unsubscribe all the options!)")</f>
        <v>Very dissatisfied with the follow -up of my files by this mutual, I am even more of the customer service in agency (disinterested advisor to its customers ...). I have been trying for more than a year to unsubscribe, my CES "... (word likely to interfere)" always find a detail to make me pay !!! (be careful, if you are at home and want to change your mutual, check well to unsubscribe all the options!)</v>
      </c>
    </row>
    <row r="600" ht="15.75" customHeight="1">
      <c r="A600" s="2">
        <v>1.0</v>
      </c>
      <c r="B600" s="2" t="s">
        <v>1741</v>
      </c>
      <c r="C600" s="2" t="s">
        <v>1742</v>
      </c>
      <c r="D600" s="2" t="s">
        <v>42</v>
      </c>
      <c r="E600" s="2" t="s">
        <v>43</v>
      </c>
      <c r="F600" s="2" t="s">
        <v>15</v>
      </c>
      <c r="G600" s="2" t="s">
        <v>1743</v>
      </c>
      <c r="H600" s="2" t="s">
        <v>74</v>
      </c>
      <c r="I600" s="2" t="str">
        <f>IFERROR(__xludf.DUMMYFUNCTION("GOOGLETRANSLATE(C600,""fr"",""en"")"),"They are expensive and the contract termination procedure is endless. It is necessary to attest to the new insurance then return the green card and then send a signed document attesting to the termination. This will have cost me 2 laposte letters and 2 mo"&amp;"nths of delay, it is hell. They are unreachable by phone. To avoid !")</f>
        <v>They are expensive and the contract termination procedure is endless. It is necessary to attest to the new insurance then return the green card and then send a signed document attesting to the termination. This will have cost me 2 laposte letters and 2 months of delay, it is hell. They are unreachable by phone. To avoid !</v>
      </c>
    </row>
    <row r="601" ht="15.75" customHeight="1">
      <c r="A601" s="2">
        <v>3.0</v>
      </c>
      <c r="B601" s="2" t="s">
        <v>1744</v>
      </c>
      <c r="C601" s="2" t="s">
        <v>1745</v>
      </c>
      <c r="D601" s="2" t="s">
        <v>803</v>
      </c>
      <c r="E601" s="2" t="s">
        <v>138</v>
      </c>
      <c r="F601" s="2" t="s">
        <v>15</v>
      </c>
      <c r="G601" s="2" t="s">
        <v>233</v>
      </c>
      <c r="H601" s="2" t="s">
        <v>83</v>
      </c>
      <c r="I601" s="2" t="str">
        <f>IFERROR(__xludf.DUMMYFUNCTION("GOOGLETRANSLATE(C601,""fr"",""en"")"),"Paper send on 14/11/18, following a work accident of 12/13/18, we are on 03/15/18 they do not know how much the interlocutor will last via the platform say X will last. A week after any of the big one I definitely have everyone and as the previous message"&amp;" we remain blocked on the telephone platform.")</f>
        <v>Paper send on 14/11/18, following a work accident of 12/13/18, we are on 03/15/18 they do not know how much the interlocutor will last via the platform say X will last. A week after any of the big one I definitely have everyone and as the previous message we remain blocked on the telephone platform.</v>
      </c>
    </row>
    <row r="602" ht="15.75" customHeight="1">
      <c r="A602" s="2">
        <v>3.0</v>
      </c>
      <c r="B602" s="2" t="s">
        <v>1746</v>
      </c>
      <c r="C602" s="2" t="s">
        <v>1747</v>
      </c>
      <c r="D602" s="2" t="s">
        <v>13</v>
      </c>
      <c r="E602" s="2" t="s">
        <v>14</v>
      </c>
      <c r="F602" s="2" t="s">
        <v>15</v>
      </c>
      <c r="G602" s="2" t="s">
        <v>1001</v>
      </c>
      <c r="H602" s="2" t="s">
        <v>28</v>
      </c>
      <c r="I602" s="2" t="str">
        <f>IFERROR(__xludf.DUMMYFUNCTION("GOOGLETRANSLATE(C602,""fr"",""en"")"),"This is thank you for my first car insurance, this is the cheapest price and the best conditions I found. I will feel safe like that.")</f>
        <v>This is thank you for my first car insurance, this is the cheapest price and the best conditions I found. I will feel safe like that.</v>
      </c>
    </row>
    <row r="603" ht="15.75" customHeight="1">
      <c r="A603" s="2">
        <v>3.0</v>
      </c>
      <c r="B603" s="2" t="s">
        <v>1748</v>
      </c>
      <c r="C603" s="2" t="s">
        <v>1749</v>
      </c>
      <c r="D603" s="2" t="s">
        <v>253</v>
      </c>
      <c r="E603" s="2" t="s">
        <v>21</v>
      </c>
      <c r="F603" s="2" t="s">
        <v>15</v>
      </c>
      <c r="G603" s="2" t="s">
        <v>1568</v>
      </c>
      <c r="H603" s="2" t="s">
        <v>17</v>
      </c>
      <c r="I603" s="2" t="str">
        <f>IFERROR(__xludf.DUMMYFUNCTION("GOOGLETRANSLATE(C603,""fr"",""en"")"),"Having just joined, first very good contact with my interlocutor who answered all my questions concerning the sending of my hospital quote")</f>
        <v>Having just joined, first very good contact with my interlocutor who answered all my questions concerning the sending of my hospital quote</v>
      </c>
    </row>
    <row r="604" ht="15.75" customHeight="1">
      <c r="A604" s="2">
        <v>1.0</v>
      </c>
      <c r="B604" s="2" t="s">
        <v>1750</v>
      </c>
      <c r="C604" s="2" t="s">
        <v>1751</v>
      </c>
      <c r="D604" s="2" t="s">
        <v>42</v>
      </c>
      <c r="E604" s="2" t="s">
        <v>43</v>
      </c>
      <c r="F604" s="2" t="s">
        <v>15</v>
      </c>
      <c r="G604" s="2" t="s">
        <v>1752</v>
      </c>
      <c r="H604" s="2" t="s">
        <v>161</v>
      </c>
      <c r="I604" s="2" t="str">
        <f>IFERROR(__xludf.DUMMYFUNCTION("GOOGLETRANSLATE(C604,""fr"",""en"")"),"AMV is far from the cheapest insurer.
In addition, for insurance that wants to be dematerialized, they have big communication problems: impossible to reach them by phone, recently it is a paying phone number, the emails that are sent to them remain unans"&amp;"wered and/or They do not receive them. Their website is non-intuitive and opaque, when you want to do the slightest thing on it, you pass three leads in search.
On the other hand, when they pay, there they wake up and find a way to send you mail and emai"&amp;"l. Communication is only in a sense. Once you are at home you pay and close it.
Insurer to flee, personally I bare myself elsewhere.")</f>
        <v>AMV is far from the cheapest insurer.
In addition, for insurance that wants to be dematerialized, they have big communication problems: impossible to reach them by phone, recently it is a paying phone number, the emails that are sent to them remain unanswered and/or They do not receive them. Their website is non-intuitive and opaque, when you want to do the slightest thing on it, you pass three leads in search.
On the other hand, when they pay, there they wake up and find a way to send you mail and email. Communication is only in a sense. Once you are at home you pay and close it.
Insurer to flee, personally I bare myself elsewhere.</v>
      </c>
    </row>
    <row r="605" ht="15.75" customHeight="1">
      <c r="A605" s="2">
        <v>4.0</v>
      </c>
      <c r="B605" s="2" t="s">
        <v>1753</v>
      </c>
      <c r="C605" s="2" t="s">
        <v>1754</v>
      </c>
      <c r="D605" s="2" t="s">
        <v>223</v>
      </c>
      <c r="E605" s="2" t="s">
        <v>14</v>
      </c>
      <c r="F605" s="2" t="s">
        <v>15</v>
      </c>
      <c r="G605" s="2" t="s">
        <v>1755</v>
      </c>
      <c r="H605" s="2" t="s">
        <v>906</v>
      </c>
      <c r="I605" s="2" t="str">
        <f>IFERROR(__xludf.DUMMYFUNCTION("GOOGLETRANSLATE(C605,""fr"",""en"")"),"Difficult to find better in terms of price and coverage.
The competitor offers identical products, however, many options mean that the bill quickly becomes very heavy.
Until today only a care following a breakdown immediately and quickly processed, call"&amp;"s to the insurence service, which directly called the tow truck.")</f>
        <v>Difficult to find better in terms of price and coverage.
The competitor offers identical products, however, many options mean that the bill quickly becomes very heavy.
Until today only a care following a breakdown immediately and quickly processed, calls to the insurence service, which directly called the tow truck.</v>
      </c>
    </row>
    <row r="606" ht="15.75" customHeight="1">
      <c r="A606" s="2">
        <v>3.0</v>
      </c>
      <c r="B606" s="2" t="s">
        <v>1756</v>
      </c>
      <c r="C606" s="2" t="s">
        <v>1757</v>
      </c>
      <c r="D606" s="2" t="s">
        <v>63</v>
      </c>
      <c r="E606" s="2" t="s">
        <v>77</v>
      </c>
      <c r="F606" s="2" t="s">
        <v>15</v>
      </c>
      <c r="G606" s="2" t="s">
        <v>1758</v>
      </c>
      <c r="H606" s="2" t="s">
        <v>815</v>
      </c>
      <c r="I606" s="2" t="str">
        <f>IFERROR(__xludf.DUMMYFUNCTION("GOOGLETRANSLATE(C606,""fr"",""en"")"),"Angry. Client for 23 years in Maif without any particular problem some claims resolved quickly without worry. My son has Lininterclasse at the Lycée to shake up his boyfriend who taps on his phone (like all RRRRR kids)
The phone falls and the breeze wind"&amp;"ow (phew it still works). My son very badly me the same with regard to parents (all the same) very very very annoying my husband hits me our insurance contract and our civil liability. Jappelle Maif to explain what is happening. When 10 min of waiting, a "&amp;"tone Soupsony after. The advisor informs me of the steps. Write the facts by my son. The Gosse and alert the civil liability of the parents' insurer and finally you will have to pay 75 euros in franchise. Share. For finally. For an ice brush. I am outrage"&amp;"d. The parents of the kid who did not want to put me in the lenbarras therefore refuses to have his your own too shame repaired. ..
I find out to change insurers.
I would like to rape the attorneys that honest people exist and that everything is not ins"&amp;"urance scam. 1900 euros of insurance to pay the count and in a gesture nothing no discount for 23 years nothing. And I am asked for 75 euros I dream awake, I think I understood but not sure that my son being major he asks me for this franchise while for a"&amp;" mafranchise ice broken is 0. I wonder. Conclusion Parents not wanting to be embarrassed does not wish to have repaired to avoid paying (like what there is still good person) but the kid is not with angels. Unwavering honesty for 23 years I find that the "&amp;"hand has lost a lot in human quality. I look elsewhere too furious")</f>
        <v>Angry. Client for 23 years in Maif without any particular problem some claims resolved quickly without worry. My son has Lininterclasse at the Lycée to shake up his boyfriend who taps on his phone (like all RRRRR kids)
The phone falls and the breeze window (phew it still works). My son very badly me the same with regard to parents (all the same) very very very annoying my husband hits me our insurance contract and our civil liability. Jappelle Maif to explain what is happening. When 10 min of waiting, a tone Soupsony after. The advisor informs me of the steps. Write the facts by my son. The Gosse and alert the civil liability of the parents' insurer and finally you will have to pay 75 euros in franchise. Share. For finally. For an ice brush. I am outraged. The parents of the kid who did not want to put me in the lenbarras therefore refuses to have his your own too shame repaired. ..
I find out to change insurers.
I would like to rape the attorneys that honest people exist and that everything is not insurance scam. 1900 euros of insurance to pay the count and in a gesture nothing no discount for 23 years nothing. And I am asked for 75 euros I dream awake, I think I understood but not sure that my son being major he asks me for this franchise while for a mafranchise ice broken is 0. I wonder. Conclusion Parents not wanting to be embarrassed does not wish to have repaired to avoid paying (like what there is still good person) but the kid is not with angels. Unwavering honesty for 23 years I find that the hand has lost a lot in human quality. I look elsewhere too furious</v>
      </c>
    </row>
    <row r="607" ht="15.75" customHeight="1">
      <c r="A607" s="2">
        <v>4.0</v>
      </c>
      <c r="B607" s="2" t="s">
        <v>1759</v>
      </c>
      <c r="C607" s="2" t="s">
        <v>1760</v>
      </c>
      <c r="D607" s="2" t="s">
        <v>47</v>
      </c>
      <c r="E607" s="2" t="s">
        <v>14</v>
      </c>
      <c r="F607" s="2" t="s">
        <v>15</v>
      </c>
      <c r="G607" s="2" t="s">
        <v>1180</v>
      </c>
      <c r="H607" s="2" t="s">
        <v>69</v>
      </c>
      <c r="I607" s="2" t="str">
        <f>IFERROR(__xludf.DUMMYFUNCTION("GOOGLETRANSLATE(C607,""fr"",""en"")"),"I am satisfied, correct price, but some difficulties to sign electronically the documents a banner half mask the confirmation box and embarrassed the introduction of the confirmation code")</f>
        <v>I am satisfied, correct price, but some difficulties to sign electronically the documents a banner half mask the confirmation box and embarrassed the introduction of the confirmation code</v>
      </c>
    </row>
    <row r="608" ht="15.75" customHeight="1">
      <c r="A608" s="2">
        <v>1.0</v>
      </c>
      <c r="B608" s="2" t="s">
        <v>1761</v>
      </c>
      <c r="C608" s="2" t="s">
        <v>1762</v>
      </c>
      <c r="D608" s="2" t="s">
        <v>223</v>
      </c>
      <c r="E608" s="2" t="s">
        <v>77</v>
      </c>
      <c r="F608" s="2" t="s">
        <v>15</v>
      </c>
      <c r="G608" s="2" t="s">
        <v>1763</v>
      </c>
      <c r="H608" s="2" t="s">
        <v>538</v>
      </c>
      <c r="I608" s="2" t="str">
        <f>IFERROR(__xludf.DUMMYFUNCTION("GOOGLETRANSLATE(C608,""fr"",""en"")"),"The quality leaves a lot to be desired. The conditions of application are not clear, nobody never agrees on what can be done or not. In addition, changes in the contract leave something to be desired. The service on the phone is zero.")</f>
        <v>The quality leaves a lot to be desired. The conditions of application are not clear, nobody never agrees on what can be done or not. In addition, changes in the contract leave something to be desired. The service on the phone is zero.</v>
      </c>
    </row>
    <row r="609" ht="15.75" customHeight="1">
      <c r="A609" s="2">
        <v>5.0</v>
      </c>
      <c r="B609" s="2" t="s">
        <v>1764</v>
      </c>
      <c r="C609" s="2" t="s">
        <v>1765</v>
      </c>
      <c r="D609" s="2" t="s">
        <v>13</v>
      </c>
      <c r="E609" s="2" t="s">
        <v>14</v>
      </c>
      <c r="F609" s="2" t="s">
        <v>15</v>
      </c>
      <c r="G609" s="2" t="s">
        <v>1766</v>
      </c>
      <c r="H609" s="2" t="s">
        <v>28</v>
      </c>
      <c r="I609" s="2" t="str">
        <f>IFERROR(__xludf.DUMMYFUNCTION("GOOGLETRANSLATE(C609,""fr"",""en"")"),"I am satisfied with the service The price suits me I will not hesitate to advertise for direct insurance near my contact and my loved ones")</f>
        <v>I am satisfied with the service The price suits me I will not hesitate to advertise for direct insurance near my contact and my loved ones</v>
      </c>
    </row>
    <row r="610" ht="15.75" customHeight="1">
      <c r="A610" s="2">
        <v>1.0</v>
      </c>
      <c r="B610" s="2" t="s">
        <v>1767</v>
      </c>
      <c r="C610" s="2" t="s">
        <v>1768</v>
      </c>
      <c r="D610" s="2" t="s">
        <v>13</v>
      </c>
      <c r="E610" s="2" t="s">
        <v>14</v>
      </c>
      <c r="F610" s="2" t="s">
        <v>15</v>
      </c>
      <c r="G610" s="2" t="s">
        <v>1625</v>
      </c>
      <c r="H610" s="2" t="s">
        <v>28</v>
      </c>
      <c r="I610" s="2" t="str">
        <f>IFERROR(__xludf.DUMMYFUNCTION("GOOGLETRANSLATE(C610,""fr"",""en"")"),"Satisfied here it is very good I remind you tomorrow for the old insurance contract because you have taken 2 months of insurance without having a car following accident")</f>
        <v>Satisfied here it is very good I remind you tomorrow for the old insurance contract because you have taken 2 months of insurance without having a car following accident</v>
      </c>
    </row>
    <row r="611" ht="15.75" customHeight="1">
      <c r="A611" s="2">
        <v>1.0</v>
      </c>
      <c r="B611" s="2" t="s">
        <v>1769</v>
      </c>
      <c r="C611" s="2" t="s">
        <v>1770</v>
      </c>
      <c r="D611" s="2" t="s">
        <v>1046</v>
      </c>
      <c r="E611" s="2" t="s">
        <v>322</v>
      </c>
      <c r="F611" s="2" t="s">
        <v>15</v>
      </c>
      <c r="G611" s="2" t="s">
        <v>1771</v>
      </c>
      <c r="H611" s="2" t="s">
        <v>161</v>
      </c>
      <c r="I611" s="2" t="str">
        <f>IFERROR(__xludf.DUMMYFUNCTION("GOOGLETRANSLATE(C611,""fr"",""en"")"),"I find the attitude of Generali unacceptable and unacceptable. My father died a year ago and my mother has still received the reversion rent on a Perp contract. We have transmitted all the information to our advisor and directly to the annuity service but"&amp;" nothing happens. In all cases, customer service = 0, processing of the file = 0, resolution of the file = 0, in short nothing positive.")</f>
        <v>I find the attitude of Generali unacceptable and unacceptable. My father died a year ago and my mother has still received the reversion rent on a Perp contract. We have transmitted all the information to our advisor and directly to the annuity service but nothing happens. In all cases, customer service = 0, processing of the file = 0, resolution of the file = 0, in short nothing positive.</v>
      </c>
    </row>
    <row r="612" ht="15.75" customHeight="1">
      <c r="A612" s="2">
        <v>4.0</v>
      </c>
      <c r="B612" s="2" t="s">
        <v>1772</v>
      </c>
      <c r="C612" s="2" t="s">
        <v>1773</v>
      </c>
      <c r="D612" s="2" t="s">
        <v>47</v>
      </c>
      <c r="E612" s="2" t="s">
        <v>14</v>
      </c>
      <c r="F612" s="2" t="s">
        <v>15</v>
      </c>
      <c r="G612" s="2" t="s">
        <v>1774</v>
      </c>
      <c r="H612" s="2" t="s">
        <v>91</v>
      </c>
      <c r="I612" s="2" t="str">
        <f>IFERROR(__xludf.DUMMYFUNCTION("GOOGLETRANSLATE(C612,""fr"",""en"")"),"I have just made sure to the Olivier Insurance, I recommend them to all, because they are real professionals, they are listening to the customer, guides him, advises him, having frequented several insurers before them, I can say that it is the meilllers; "&amp;"I plan to insure everything at the olive tree because they are professional.")</f>
        <v>I have just made sure to the Olivier Insurance, I recommend them to all, because they are real professionals, they are listening to the customer, guides him, advises him, having frequented several insurers before them, I can say that it is the meilllers; I plan to insure everything at the olive tree because they are professional.</v>
      </c>
    </row>
    <row r="613" ht="15.75" customHeight="1">
      <c r="A613" s="2">
        <v>5.0</v>
      </c>
      <c r="B613" s="2" t="s">
        <v>1775</v>
      </c>
      <c r="C613" s="2" t="s">
        <v>1776</v>
      </c>
      <c r="D613" s="2" t="s">
        <v>239</v>
      </c>
      <c r="E613" s="2" t="s">
        <v>21</v>
      </c>
      <c r="F613" s="2" t="s">
        <v>15</v>
      </c>
      <c r="G613" s="2" t="s">
        <v>1373</v>
      </c>
      <c r="H613" s="2" t="s">
        <v>74</v>
      </c>
      <c r="I613" s="2" t="str">
        <f>IFERROR(__xludf.DUMMYFUNCTION("GOOGLETRANSLATE(C613,""fr"",""en"")"),"We are new assured at April; The price is very interested; It remains to see the increase in time; in any case level contact customers; They are super effective; I called them several times; I always had someone without waiting for a long time; for reimbu"&amp;"rsements; They reimburse very quickly; and in addition; send us an email to warn us; and with all the explanations; I am very satisfied with this mutual.")</f>
        <v>We are new assured at April; The price is very interested; It remains to see the increase in time; in any case level contact customers; They are super effective; I called them several times; I always had someone without waiting for a long time; for reimbursements; They reimburse very quickly; and in addition; send us an email to warn us; and with all the explanations; I am very satisfied with this mutual.</v>
      </c>
    </row>
    <row r="614" ht="15.75" customHeight="1">
      <c r="A614" s="2">
        <v>3.0</v>
      </c>
      <c r="B614" s="2" t="s">
        <v>1777</v>
      </c>
      <c r="C614" s="2" t="s">
        <v>1778</v>
      </c>
      <c r="D614" s="2" t="s">
        <v>47</v>
      </c>
      <c r="E614" s="2" t="s">
        <v>14</v>
      </c>
      <c r="F614" s="2" t="s">
        <v>15</v>
      </c>
      <c r="G614" s="2" t="s">
        <v>694</v>
      </c>
      <c r="H614" s="2" t="s">
        <v>87</v>
      </c>
      <c r="I614" s="2" t="str">
        <f>IFERROR(__xludf.DUMMYFUNCTION("GOOGLETRANSLATE(C614,""fr"",""en"")"),"The prices are high from my point of view, especially with a franchise which is also important. But customer service is really satisfactory.
Thank you")</f>
        <v>The prices are high from my point of view, especially with a franchise which is also important. But customer service is really satisfactory.
Thank you</v>
      </c>
    </row>
    <row r="615" ht="15.75" customHeight="1">
      <c r="A615" s="2">
        <v>1.0</v>
      </c>
      <c r="B615" s="2" t="s">
        <v>1779</v>
      </c>
      <c r="C615" s="2" t="s">
        <v>1780</v>
      </c>
      <c r="D615" s="2" t="s">
        <v>287</v>
      </c>
      <c r="E615" s="2" t="s">
        <v>14</v>
      </c>
      <c r="F615" s="2" t="s">
        <v>15</v>
      </c>
      <c r="G615" s="2" t="s">
        <v>1023</v>
      </c>
      <c r="H615" s="2" t="s">
        <v>741</v>
      </c>
      <c r="I615" s="2" t="str">
        <f>IFERROR(__xludf.DUMMYFUNCTION("GOOGLETRANSLATE(C615,""fr"",""en"")"),"Following the theft of my vehicle (boned), the GMF had the cheek to tell me that I would not be reimbursed (0 euro on a vehicle at 10,000 euros) on the grounds that I would not know the identity of the criminals
An ubiquitous situation which proves once "&amp;"again that the ""insurers"" are not there to ensure you")</f>
        <v>Following the theft of my vehicle (boned), the GMF had the cheek to tell me that I would not be reimbursed (0 euro on a vehicle at 10,000 euros) on the grounds that I would not know the identity of the criminals
An ubiquitous situation which proves once again that the "insurers" are not there to ensure you</v>
      </c>
    </row>
    <row r="616" ht="15.75" customHeight="1">
      <c r="A616" s="2">
        <v>4.0</v>
      </c>
      <c r="B616" s="2" t="s">
        <v>1781</v>
      </c>
      <c r="C616" s="2" t="s">
        <v>1782</v>
      </c>
      <c r="D616" s="2" t="s">
        <v>47</v>
      </c>
      <c r="E616" s="2" t="s">
        <v>14</v>
      </c>
      <c r="F616" s="2" t="s">
        <v>15</v>
      </c>
      <c r="G616" s="2" t="s">
        <v>1783</v>
      </c>
      <c r="H616" s="2" t="s">
        <v>338</v>
      </c>
      <c r="I616" s="2" t="str">
        <f>IFERROR(__xludf.DUMMYFUNCTION("GOOGLETRANSLATE(C616,""fr"",""en"")"),"I am satisfied with the service
As well as price
As well as the request of my contract Mele if I had some problem with the start, moreover I am not on my penalty.")</f>
        <v>I am satisfied with the service
As well as price
As well as the request of my contract Mele if I had some problem with the start, moreover I am not on my penalty.</v>
      </c>
    </row>
    <row r="617" ht="15.75" customHeight="1">
      <c r="A617" s="2">
        <v>2.0</v>
      </c>
      <c r="B617" s="2" t="s">
        <v>1784</v>
      </c>
      <c r="C617" s="2" t="s">
        <v>1785</v>
      </c>
      <c r="D617" s="2" t="s">
        <v>26</v>
      </c>
      <c r="E617" s="2" t="s">
        <v>77</v>
      </c>
      <c r="F617" s="2" t="s">
        <v>15</v>
      </c>
      <c r="G617" s="2" t="s">
        <v>1786</v>
      </c>
      <c r="H617" s="2" t="s">
        <v>330</v>
      </c>
      <c r="I617" s="2" t="str">
        <f>IFERROR(__xludf.DUMMYFUNCTION("GOOGLETRANSLATE(C617,""fr"",""en"")"),"Well as many user I had the refusal of the warranty following my burglary because although I had followed their recommendations in the event of absence, among other things, leaving a light with timer to ensure that the house seems inhabited that 'A neighb"&amp;"or comes to pass the mower etc 1 person came twice a day in other people for the cat and the fish. I left at 7:00 am, the burglary was noted at 11 a.m. the next day and well as I had not closed the shutters tell me why leave a light and close the shutters"&amp;" (I am still looking for the error) the worst c ' is that their expert said to me: the Macif does not force you to have components but if you have them you have to put them otherwise you would have been reimbursed your burglary a shame finally be careful."&amp;" proof and more consideration for loyal customers.")</f>
        <v>Well as many user I had the refusal of the warranty following my burglary because although I had followed their recommendations in the event of absence, among other things, leaving a light with timer to ensure that the house seems inhabited that 'A neighbor comes to pass the mower etc 1 person came twice a day in other people for the cat and the fish. I left at 7:00 am, the burglary was noted at 11 a.m. the next day and well as I had not closed the shutters tell me why leave a light and close the shutters (I am still looking for the error) the worst c ' is that their expert said to me: the Macif does not force you to have components but if you have them you have to put them otherwise you would have been reimbursed your burglary a shame finally be careful. proof and more consideration for loyal customers.</v>
      </c>
    </row>
    <row r="618" ht="15.75" customHeight="1">
      <c r="A618" s="2">
        <v>1.0</v>
      </c>
      <c r="B618" s="2" t="s">
        <v>1787</v>
      </c>
      <c r="C618" s="2" t="s">
        <v>1788</v>
      </c>
      <c r="D618" s="2" t="s">
        <v>1134</v>
      </c>
      <c r="E618" s="2" t="s">
        <v>21</v>
      </c>
      <c r="F618" s="2" t="s">
        <v>15</v>
      </c>
      <c r="G618" s="2" t="s">
        <v>1789</v>
      </c>
      <c r="H618" s="2" t="s">
        <v>87</v>
      </c>
      <c r="I618" s="2" t="str">
        <f>IFERROR(__xludf.DUMMYFUNCTION("GOOGLETRANSLATE(C618,""fr"",""en"")"),"To flee immediately: too expensive and the reimbursement almost zero for the teeth, the glasses ... My spouse was on sick leave and he has a small allowance: shame on this company which is just to earn money on the back poor teachers")</f>
        <v>To flee immediately: too expensive and the reimbursement almost zero for the teeth, the glasses ... My spouse was on sick leave and he has a small allowance: shame on this company which is just to earn money on the back poor teachers</v>
      </c>
    </row>
    <row r="619" ht="15.75" customHeight="1">
      <c r="A619" s="2">
        <v>2.0</v>
      </c>
      <c r="B619" s="2" t="s">
        <v>1790</v>
      </c>
      <c r="C619" s="2" t="s">
        <v>1791</v>
      </c>
      <c r="D619" s="2" t="s">
        <v>196</v>
      </c>
      <c r="E619" s="2" t="s">
        <v>14</v>
      </c>
      <c r="F619" s="2" t="s">
        <v>15</v>
      </c>
      <c r="G619" s="2" t="s">
        <v>1792</v>
      </c>
      <c r="H619" s="2" t="s">
        <v>334</v>
      </c>
      <c r="I619" s="2" t="str">
        <f>IFERROR(__xludf.DUMMYFUNCTION("GOOGLETRANSLATE(C619,""fr"",""en"")"),"Like all insurances if you need nothing, they are there ... a non -responsible disaster is fine and again you have to complain, another without third party and then there any more, an expert who talks about wear. Who hides behind his so-called expert ...."&amp;" and with insurance all risk we find ourselves paying everything ..... apart from the prices which are a little lower than the market, everything else can go by off- Shore, emails arriving at 5 p.m., a services that can only say three words ....
PS: I "&amp;"have been assured at home for over ten years. Loyalty is great.")</f>
        <v>Like all insurances if you need nothing, they are there ... a non -responsible disaster is fine and again you have to complain, another without third party and then there any more, an expert who talks about wear. Who hides behind his so-called expert .... and with insurance all risk we find ourselves paying everything ..... apart from the prices which are a little lower than the market, everything else can go by off- Shore, emails arriving at 5 p.m., a services that can only say three words ....
PS: I have been assured at home for over ten years. Loyalty is great.</v>
      </c>
    </row>
    <row r="620" ht="15.75" customHeight="1">
      <c r="A620" s="2">
        <v>1.0</v>
      </c>
      <c r="B620" s="2" t="s">
        <v>1793</v>
      </c>
      <c r="C620" s="2" t="s">
        <v>1794</v>
      </c>
      <c r="D620" s="2" t="s">
        <v>13</v>
      </c>
      <c r="E620" s="2" t="s">
        <v>77</v>
      </c>
      <c r="F620" s="2" t="s">
        <v>15</v>
      </c>
      <c r="G620" s="2" t="s">
        <v>1795</v>
      </c>
      <c r="H620" s="2" t="s">
        <v>34</v>
      </c>
      <c r="I620" s="2" t="str">
        <f>IFERROR(__xludf.DUMMYFUNCTION("GOOGLETRANSLATE(C620,""fr"",""en"")"),"A shame: following the fire of our apartment we were forced to rent an apartment for a few months. We have therefore taken out home insurance with them. When our usual insurer told us that the contract we had in the burned apartment is automatically renew"&amp;"ed on the rental.
I therefore explain the problem by email and I am answered that it is not a concern but that I must send my request for termination in LRAR. what I do.
Laconic response by email: this is not a good reason to terminate the continuous "&amp;"contract")</f>
        <v>A shame: following the fire of our apartment we were forced to rent an apartment for a few months. We have therefore taken out home insurance with them. When our usual insurer told us that the contract we had in the burned apartment is automatically renewed on the rental.
I therefore explain the problem by email and I am answered that it is not a concern but that I must send my request for termination in LRAR. what I do.
Laconic response by email: this is not a good reason to terminate the continuous contract</v>
      </c>
    </row>
    <row r="621" ht="15.75" customHeight="1">
      <c r="A621" s="2">
        <v>4.0</v>
      </c>
      <c r="B621" s="2" t="s">
        <v>1796</v>
      </c>
      <c r="C621" s="2" t="s">
        <v>1797</v>
      </c>
      <c r="D621" s="2" t="s">
        <v>47</v>
      </c>
      <c r="E621" s="2" t="s">
        <v>14</v>
      </c>
      <c r="F621" s="2" t="s">
        <v>15</v>
      </c>
      <c r="G621" s="2" t="s">
        <v>1798</v>
      </c>
      <c r="H621" s="2" t="s">
        <v>49</v>
      </c>
      <c r="I621" s="2" t="str">
        <f>IFERROR(__xludf.DUMMYFUNCTION("GOOGLETRANSLATE(C621,""fr"",""en"")"),"Very very very pleasant advisor on the phone. Thank you Patricia for her listening and her patience. Correct prices for the young driver that I am.")</f>
        <v>Very very very pleasant advisor on the phone. Thank you Patricia for her listening and her patience. Correct prices for the young driver that I am.</v>
      </c>
    </row>
    <row r="622" ht="15.75" customHeight="1">
      <c r="A622" s="2">
        <v>1.0</v>
      </c>
      <c r="B622" s="2" t="s">
        <v>1799</v>
      </c>
      <c r="C622" s="2" t="s">
        <v>1800</v>
      </c>
      <c r="D622" s="2" t="s">
        <v>13</v>
      </c>
      <c r="E622" s="2" t="s">
        <v>14</v>
      </c>
      <c r="F622" s="2" t="s">
        <v>15</v>
      </c>
      <c r="G622" s="2" t="s">
        <v>1801</v>
      </c>
      <c r="H622" s="2" t="s">
        <v>609</v>
      </c>
      <c r="I622" s="2" t="str">
        <f>IFERROR(__xludf.DUMMYFUNCTION("GOOGLETRANSLATE(C622,""fr"",""en"")"),"Not too expensive the first year and it increases every year. I am currently trying to reach them on the phone to have an information statement: no answer. Direct Insurance is part of the AXA group, I will never be their client anymore.")</f>
        <v>Not too expensive the first year and it increases every year. I am currently trying to reach them on the phone to have an information statement: no answer. Direct Insurance is part of the AXA group, I will never be their client anymore.</v>
      </c>
    </row>
    <row r="623" ht="15.75" customHeight="1">
      <c r="A623" s="2">
        <v>2.0</v>
      </c>
      <c r="B623" s="2" t="s">
        <v>1802</v>
      </c>
      <c r="C623" s="2" t="s">
        <v>1803</v>
      </c>
      <c r="D623" s="2" t="s">
        <v>26</v>
      </c>
      <c r="E623" s="2" t="s">
        <v>77</v>
      </c>
      <c r="F623" s="2" t="s">
        <v>15</v>
      </c>
      <c r="G623" s="2" t="s">
        <v>1804</v>
      </c>
      <c r="H623" s="2" t="s">
        <v>394</v>
      </c>
      <c r="I623" s="2" t="str">
        <f>IFERROR(__xludf.DUMMYFUNCTION("GOOGLETRANSLATE(C623,""fr"",""en"")"),"Macif: In the event of a disaster it is a disaster")</f>
        <v>Macif: In the event of a disaster it is a disaster</v>
      </c>
    </row>
    <row r="624" ht="15.75" customHeight="1">
      <c r="A624" s="2">
        <v>5.0</v>
      </c>
      <c r="B624" s="2" t="s">
        <v>1805</v>
      </c>
      <c r="C624" s="2" t="s">
        <v>1806</v>
      </c>
      <c r="D624" s="2" t="s">
        <v>47</v>
      </c>
      <c r="E624" s="2" t="s">
        <v>14</v>
      </c>
      <c r="F624" s="2" t="s">
        <v>15</v>
      </c>
      <c r="G624" s="2" t="s">
        <v>1807</v>
      </c>
      <c r="H624" s="2" t="s">
        <v>56</v>
      </c>
      <c r="I624" s="2" t="str">
        <f>IFERROR(__xludf.DUMMYFUNCTION("GOOGLETRANSLATE(C624,""fr"",""en"")"),"I am satisfied with the service.
Prices suit me.
Simple and efficient.
Fast, kind and listening service.
Good information.
They take the time to explain to us.
")</f>
        <v>I am satisfied with the service.
Prices suit me.
Simple and efficient.
Fast, kind and listening service.
Good information.
They take the time to explain to us.
</v>
      </c>
    </row>
    <row r="625" ht="15.75" customHeight="1">
      <c r="A625" s="2">
        <v>1.0</v>
      </c>
      <c r="B625" s="2" t="s">
        <v>1808</v>
      </c>
      <c r="C625" s="2" t="s">
        <v>1809</v>
      </c>
      <c r="D625" s="2" t="s">
        <v>13</v>
      </c>
      <c r="E625" s="2" t="s">
        <v>14</v>
      </c>
      <c r="F625" s="2" t="s">
        <v>15</v>
      </c>
      <c r="G625" s="2" t="s">
        <v>1810</v>
      </c>
      <c r="H625" s="2" t="s">
        <v>181</v>
      </c>
      <c r="I625" s="2" t="str">
        <f>IFERROR(__xludf.DUMMYFUNCTION("GOOGLETRANSLATE(C625,""fr"",""en"")"),"RUN AWAY !!!
I have never seen in such a shabby customer service, it's been a week since a manager should have called me (despite my multiplies reminders) ...")</f>
        <v>RUN AWAY !!!
I have never seen in such a shabby customer service, it's been a week since a manager should have called me (despite my multiplies reminders) ...</v>
      </c>
    </row>
    <row r="626" ht="15.75" customHeight="1">
      <c r="A626" s="2">
        <v>3.0</v>
      </c>
      <c r="B626" s="2" t="s">
        <v>1811</v>
      </c>
      <c r="C626" s="2" t="s">
        <v>1812</v>
      </c>
      <c r="D626" s="2" t="s">
        <v>890</v>
      </c>
      <c r="E626" s="2" t="s">
        <v>32</v>
      </c>
      <c r="F626" s="2" t="s">
        <v>15</v>
      </c>
      <c r="G626" s="2" t="s">
        <v>1813</v>
      </c>
      <c r="H626" s="2" t="s">
        <v>99</v>
      </c>
      <c r="I626" s="2" t="str">
        <f>IFERROR(__xludf.DUMMYFUNCTION("GOOGLETRANSLATE(C626,""fr"",""en"")"),"I am satisfied with service and the help provided by my interlocutor. The site is not easy to apprehend. There are a few messages by messaging that did not reach, but I have recovered the information via the site.")</f>
        <v>I am satisfied with service and the help provided by my interlocutor. The site is not easy to apprehend. There are a few messages by messaging that did not reach, but I have recovered the information via the site.</v>
      </c>
    </row>
    <row r="627" ht="15.75" customHeight="1">
      <c r="A627" s="2">
        <v>5.0</v>
      </c>
      <c r="B627" s="2" t="s">
        <v>1814</v>
      </c>
      <c r="C627" s="2" t="s">
        <v>1815</v>
      </c>
      <c r="D627" s="2" t="s">
        <v>287</v>
      </c>
      <c r="E627" s="2" t="s">
        <v>14</v>
      </c>
      <c r="F627" s="2" t="s">
        <v>15</v>
      </c>
      <c r="G627" s="2" t="s">
        <v>224</v>
      </c>
      <c r="H627" s="2" t="s">
        <v>91</v>
      </c>
      <c r="I627" s="2" t="str">
        <f>IFERROR(__xludf.DUMMYFUNCTION("GOOGLETRANSLATE(C627,""fr"",""en"")"),"Support always available and good advice
Correct price compared to competition and quality of service
The rare times I have a concern, no problem in the management")</f>
        <v>Support always available and good advice
Correct price compared to competition and quality of service
The rare times I have a concern, no problem in the management</v>
      </c>
    </row>
    <row r="628" ht="15.75" customHeight="1">
      <c r="A628" s="2">
        <v>1.0</v>
      </c>
      <c r="B628" s="2" t="s">
        <v>1816</v>
      </c>
      <c r="C628" s="2" t="s">
        <v>1817</v>
      </c>
      <c r="D628" s="2" t="s">
        <v>803</v>
      </c>
      <c r="E628" s="2" t="s">
        <v>138</v>
      </c>
      <c r="F628" s="2" t="s">
        <v>15</v>
      </c>
      <c r="G628" s="2" t="s">
        <v>1818</v>
      </c>
      <c r="H628" s="2" t="s">
        <v>259</v>
      </c>
      <c r="I628" s="2" t="str">
        <f>IFERROR(__xludf.DUMMYFUNCTION("GOOGLETRANSLATE(C628,""fr"",""en"")"),"Really disappointed since 05/25/2017 date of my work accident I have not affected compensation! I have called it several times a week each time a different answer I have two girls at my charge and they really leave us in the m **** !! I am told that it is"&amp;" missing such papers when I have it is sending it then a blow it is in treatment a blow is other things .... no possibilities of having a competent and serious person. I will contact my legal assistance tomorrow or 3939 which also manages some cases flee "&amp;"AG2R I do not recommend but really not !!!!")</f>
        <v>Really disappointed since 05/25/2017 date of my work accident I have not affected compensation! I have called it several times a week each time a different answer I have two girls at my charge and they really leave us in the m **** !! I am told that it is missing such papers when I have it is sending it then a blow it is in treatment a blow is other things .... no possibilities of having a competent and serious person. I will contact my legal assistance tomorrow or 3939 which also manages some cases flee AG2R I do not recommend but really not !!!!</v>
      </c>
    </row>
    <row r="629" ht="15.75" customHeight="1">
      <c r="A629" s="2">
        <v>5.0</v>
      </c>
      <c r="B629" s="2" t="s">
        <v>1819</v>
      </c>
      <c r="C629" s="2" t="s">
        <v>1820</v>
      </c>
      <c r="D629" s="2" t="s">
        <v>97</v>
      </c>
      <c r="E629" s="2" t="s">
        <v>43</v>
      </c>
      <c r="F629" s="2" t="s">
        <v>15</v>
      </c>
      <c r="G629" s="2" t="s">
        <v>1821</v>
      </c>
      <c r="H629" s="2" t="s">
        <v>60</v>
      </c>
      <c r="I629" s="2" t="str">
        <f>IFERROR(__xludf.DUMMYFUNCTION("GOOGLETRANSLATE(C629,""fr"",""en"")"),"Simple and practical good and good level price
I did not know this service and could recommend it without problem to my loved ones and my knowledge")</f>
        <v>Simple and practical good and good level price
I did not know this service and could recommend it without problem to my loved ones and my knowledge</v>
      </c>
    </row>
    <row r="630" ht="15.75" customHeight="1">
      <c r="A630" s="2">
        <v>3.0</v>
      </c>
      <c r="B630" s="2" t="s">
        <v>1822</v>
      </c>
      <c r="C630" s="2" t="s">
        <v>1823</v>
      </c>
      <c r="D630" s="2" t="s">
        <v>13</v>
      </c>
      <c r="E630" s="2" t="s">
        <v>14</v>
      </c>
      <c r="F630" s="2" t="s">
        <v>15</v>
      </c>
      <c r="G630" s="2" t="s">
        <v>262</v>
      </c>
      <c r="H630" s="2" t="s">
        <v>69</v>
      </c>
      <c r="I630" s="2" t="str">
        <f>IFERROR(__xludf.DUMMYFUNCTION("GOOGLETRANSLATE(C630,""fr"",""en"")"),"I find it stupid to demand a handwritten document for a termination while I stay with you for my new home contract it is a waste of time we must call so that we are told to write while to subscribe it is You're welcome")</f>
        <v>I find it stupid to demand a handwritten document for a termination while I stay with you for my new home contract it is a waste of time we must call so that we are told to write while to subscribe it is You're welcome</v>
      </c>
    </row>
    <row r="631" ht="15.75" customHeight="1">
      <c r="A631" s="2">
        <v>2.0</v>
      </c>
      <c r="B631" s="2" t="s">
        <v>1824</v>
      </c>
      <c r="C631" s="2" t="s">
        <v>1825</v>
      </c>
      <c r="D631" s="2" t="s">
        <v>31</v>
      </c>
      <c r="E631" s="2" t="s">
        <v>32</v>
      </c>
      <c r="F631" s="2" t="s">
        <v>15</v>
      </c>
      <c r="G631" s="2" t="s">
        <v>1826</v>
      </c>
      <c r="H631" s="2" t="s">
        <v>181</v>
      </c>
      <c r="I631" s="2" t="str">
        <f>IFERROR(__xludf.DUMMYFUNCTION("GOOGLETRANSLATE(C631,""fr"",""en"")"),"Category 2 invalidity by the CPAM following long illness, therefore impossible to exercise any profession. Demand of care by Cardif. After a long wait I receive a letter informing myself of the refusal of care because I am not in permanent disability. It "&amp;"should be known that the disability CPAM is never permanent. .It there are things that I can understand but the refusal to take care of cardif I do not accept. What is my assurance for me, I think I have to die for it to work. For info I Am reached 3 path"&amp;"ologies at 100? What more does it take for management?")</f>
        <v>Category 2 invalidity by the CPAM following long illness, therefore impossible to exercise any profession. Demand of care by Cardif. After a long wait I receive a letter informing myself of the refusal of care because I am not in permanent disability. It should be known that the disability CPAM is never permanent. .It there are things that I can understand but the refusal to take care of cardif I do not accept. What is my assurance for me, I think I have to die for it to work. For info I Am reached 3 pathologies at 100? What more does it take for management?</v>
      </c>
    </row>
    <row r="632" ht="15.75" customHeight="1">
      <c r="A632" s="2">
        <v>1.0</v>
      </c>
      <c r="B632" s="2" t="s">
        <v>1827</v>
      </c>
      <c r="C632" s="2" t="s">
        <v>1828</v>
      </c>
      <c r="D632" s="2" t="s">
        <v>20</v>
      </c>
      <c r="E632" s="2" t="s">
        <v>21</v>
      </c>
      <c r="F632" s="2" t="s">
        <v>15</v>
      </c>
      <c r="G632" s="2" t="s">
        <v>1829</v>
      </c>
      <c r="H632" s="2" t="s">
        <v>250</v>
      </c>
      <c r="I632" s="2" t="str">
        <f>IFERROR(__xludf.DUMMYFUNCTION("GOOGLETRANSLATE(C632,""fr"",""en"")"),"I am 100% for everything, I was approached by a broker, who made me shive spinning reimbursements for dental care, finally account the care is reimbursed to me 100% by the SS and the crowns three times Nothing by the Cegema I lost more than 1000 euros wit"&amp;"h them this year, I did not cost them anything, but they did not want me to win I had to wait a year, despite everything a lawsuit is in progress more mediator they give you is a ghost")</f>
        <v>I am 100% for everything, I was approached by a broker, who made me shive spinning reimbursements for dental care, finally account the care is reimbursed to me 100% by the SS and the crowns three times Nothing by the Cegema I lost more than 1000 euros with them this year, I did not cost them anything, but they did not want me to win I had to wait a year, despite everything a lawsuit is in progress more mediator they give you is a ghost</v>
      </c>
    </row>
    <row r="633" ht="15.75" customHeight="1">
      <c r="A633" s="2">
        <v>4.0</v>
      </c>
      <c r="B633" s="2" t="s">
        <v>1830</v>
      </c>
      <c r="C633" s="2" t="s">
        <v>1831</v>
      </c>
      <c r="D633" s="2" t="s">
        <v>13</v>
      </c>
      <c r="E633" s="2" t="s">
        <v>14</v>
      </c>
      <c r="F633" s="2" t="s">
        <v>15</v>
      </c>
      <c r="G633" s="2" t="s">
        <v>1205</v>
      </c>
      <c r="H633" s="2" t="s">
        <v>99</v>
      </c>
      <c r="I633" s="2" t="str">
        <f>IFERROR(__xludf.DUMMYFUNCTION("GOOGLETRANSLATE(C633,""fr"",""en"")"),"Consistent prices for the automobile, especially for new subscribers with suitable guarantees. The little extra that is important: always an interlocutor available on the phone and who knows his subject.")</f>
        <v>Consistent prices for the automobile, especially for new subscribers with suitable guarantees. The little extra that is important: always an interlocutor available on the phone and who knows his subject.</v>
      </c>
    </row>
    <row r="634" ht="15.75" customHeight="1">
      <c r="A634" s="2">
        <v>4.0</v>
      </c>
      <c r="B634" s="2" t="s">
        <v>1832</v>
      </c>
      <c r="C634" s="2" t="s">
        <v>1833</v>
      </c>
      <c r="D634" s="2" t="s">
        <v>72</v>
      </c>
      <c r="E634" s="2" t="s">
        <v>21</v>
      </c>
      <c r="F634" s="2" t="s">
        <v>15</v>
      </c>
      <c r="G634" s="2" t="s">
        <v>694</v>
      </c>
      <c r="H634" s="2" t="s">
        <v>87</v>
      </c>
      <c r="I634" s="2" t="str">
        <f>IFERROR(__xludf.DUMMYFUNCTION("GOOGLETRANSLATE(C634,""fr"",""en"")"),"I am very satisfied with information and telephone reception by Oumaima to access my member account for a dental reimbursement.
Cordially
Mrs Janin")</f>
        <v>I am very satisfied with information and telephone reception by Oumaima to access my member account for a dental reimbursement.
Cordially
Mrs Janin</v>
      </c>
    </row>
    <row r="635" ht="15.75" customHeight="1">
      <c r="A635" s="2">
        <v>1.0</v>
      </c>
      <c r="B635" s="2" t="s">
        <v>1834</v>
      </c>
      <c r="C635" s="2" t="s">
        <v>1835</v>
      </c>
      <c r="D635" s="2" t="s">
        <v>223</v>
      </c>
      <c r="E635" s="2" t="s">
        <v>14</v>
      </c>
      <c r="F635" s="2" t="s">
        <v>15</v>
      </c>
      <c r="G635" s="2" t="s">
        <v>1836</v>
      </c>
      <c r="H635" s="2" t="s">
        <v>485</v>
      </c>
      <c r="I635" s="2" t="str">
        <f>IFERROR(__xludf.DUMMYFUNCTION("GOOGLETRANSLATE(C635,""fr"",""en"")"),"A disaster.
Having signed a contract with them. They never sent a termination letter to my former insurer and took me two months of contributions all the same. Do not recognize their error and do not show professionalism.
Not attentive to customers at a"&amp;"ll and do not make a commercial gesture.
Does not recommend this insurance at all.
Unacceptable")</f>
        <v>A disaster.
Having signed a contract with them. They never sent a termination letter to my former insurer and took me two months of contributions all the same. Do not recognize their error and do not show professionalism.
Not attentive to customers at all and do not make a commercial gesture.
Does not recommend this insurance at all.
Unacceptable</v>
      </c>
    </row>
    <row r="636" ht="15.75" customHeight="1">
      <c r="A636" s="2">
        <v>1.0</v>
      </c>
      <c r="B636" s="2" t="s">
        <v>1837</v>
      </c>
      <c r="C636" s="2" t="s">
        <v>1838</v>
      </c>
      <c r="D636" s="2" t="s">
        <v>47</v>
      </c>
      <c r="E636" s="2" t="s">
        <v>14</v>
      </c>
      <c r="F636" s="2" t="s">
        <v>15</v>
      </c>
      <c r="G636" s="2" t="s">
        <v>1839</v>
      </c>
      <c r="H636" s="2" t="s">
        <v>28</v>
      </c>
      <c r="I636" s="2" t="str">
        <f>IFERROR(__xludf.DUMMYFUNCTION("GOOGLETRANSLATE(C636,""fr"",""en"")"),"An insurer who provides as long as there is no claim ...
An insurer who terminates the contract and which closes access to personal information before the end of the contract, indicating at 24/09/2021 the following message ""Your contract is terminated s"&amp;"ince 3/3/2021"" :-)
So more than 2 months before the deadline, the customer no longer has access to his contract, nor to the list of claims recorded on his account, if only to verify that there is no error ...
Customer service explains that indeed, the "&amp;"personal space is closed from the day of sending the termination letter, and not on the date of the end of the contract.")</f>
        <v>An insurer who provides as long as there is no claim ...
An insurer who terminates the contract and which closes access to personal information before the end of the contract, indicating at 24/09/2021 the following message "Your contract is terminated since 3/3/2021" :-)
So more than 2 months before the deadline, the customer no longer has access to his contract, nor to the list of claims recorded on his account, if only to verify that there is no error ...
Customer service explains that indeed, the personal space is closed from the day of sending the termination letter, and not on the date of the end of the contract.</v>
      </c>
    </row>
    <row r="637" ht="15.75" customHeight="1">
      <c r="A637" s="2">
        <v>5.0</v>
      </c>
      <c r="B637" s="2" t="s">
        <v>1840</v>
      </c>
      <c r="C637" s="2" t="s">
        <v>1841</v>
      </c>
      <c r="D637" s="2" t="s">
        <v>13</v>
      </c>
      <c r="E637" s="2" t="s">
        <v>14</v>
      </c>
      <c r="F637" s="2" t="s">
        <v>15</v>
      </c>
      <c r="G637" s="2" t="s">
        <v>581</v>
      </c>
      <c r="H637" s="2" t="s">
        <v>87</v>
      </c>
      <c r="I637" s="2" t="str">
        <f>IFERROR(__xludf.DUMMYFUNCTION("GOOGLETRANSLATE(C637,""fr"",""en"")"),"Simple, fast, practical and good price. I was very well advised by very nice people. I highly recommend them. I will not hesitate to turn to them for another type of insurance.")</f>
        <v>Simple, fast, practical and good price. I was very well advised by very nice people. I highly recommend them. I will not hesitate to turn to them for another type of insurance.</v>
      </c>
    </row>
    <row r="638" ht="15.75" customHeight="1">
      <c r="A638" s="2">
        <v>1.0</v>
      </c>
      <c r="B638" s="2" t="s">
        <v>1842</v>
      </c>
      <c r="C638" s="2" t="s">
        <v>1843</v>
      </c>
      <c r="D638" s="2" t="s">
        <v>223</v>
      </c>
      <c r="E638" s="2" t="s">
        <v>77</v>
      </c>
      <c r="F638" s="2" t="s">
        <v>15</v>
      </c>
      <c r="G638" s="2" t="s">
        <v>1844</v>
      </c>
      <c r="H638" s="2" t="s">
        <v>250</v>
      </c>
      <c r="I638" s="2" t="str">
        <f>IFERROR(__xludf.DUMMYFUNCTION("GOOGLETRANSLATE(C638,""fr"",""en"")"),"I did not last a year with them, they are still at the postal exchange stage. When you have a claim at home, you can't wait so long !!!
I return (on the birthday and with a letter sent by post necessarily!) To my old insurer")</f>
        <v>I did not last a year with them, they are still at the postal exchange stage. When you have a claim at home, you can't wait so long !!!
I return (on the birthday and with a letter sent by post necessarily!) To my old insurer</v>
      </c>
    </row>
    <row r="639" ht="15.75" customHeight="1">
      <c r="A639" s="2">
        <v>1.0</v>
      </c>
      <c r="B639" s="2" t="s">
        <v>1845</v>
      </c>
      <c r="C639" s="2" t="s">
        <v>1846</v>
      </c>
      <c r="D639" s="2" t="s">
        <v>47</v>
      </c>
      <c r="E639" s="2" t="s">
        <v>14</v>
      </c>
      <c r="F639" s="2" t="s">
        <v>15</v>
      </c>
      <c r="G639" s="2" t="s">
        <v>34</v>
      </c>
      <c r="H639" s="2" t="s">
        <v>34</v>
      </c>
      <c r="I639" s="2" t="str">
        <f>IFERROR(__xludf.DUMMYFUNCTION("GOOGLETRANSLATE(C639,""fr"",""en"")"),"I read the comments and realize that in accordance in accordance in particular in Zeroday and Pierre there are many to see the same thing. Motorist assured for 25 years I have never seen CA. Insured at all risk all options (bonus of 98 euros/month) paid R"&amp;"ubis on the nail for 3 years, the day when we have a disaster is the same stragie of the Olivier Assurances, find any cunning to pronounce the forfeiture of the guarantees and not pay what they should. In my case, 2 days before recovery of my vehicle they"&amp;" invoked a ticket at 90 euros considering that it was an aggravation of the risk.
However, articles 1103 and 1231-1 of the Civil Code provide that the parties to the contract are held in the contract and cannot be discussed lightly by dilatory maneuvers."&amp;"
 At this account I will launch my insurance company. Ensure and never pay it reports. We a Facebook group is mounted by Zeroday to this constitute in Action class I think it is the best thing to do with contact at the DGCCRF which asks us for all our "&amp;"files noting the same dilatory practices.")</f>
        <v>I read the comments and realize that in accordance in accordance in particular in Zeroday and Pierre there are many to see the same thing. Motorist assured for 25 years I have never seen CA. Insured at all risk all options (bonus of 98 euros/month) paid Rubis on the nail for 3 years, the day when we have a disaster is the same stragie of the Olivier Assurances, find any cunning to pronounce the forfeiture of the guarantees and not pay what they should. In my case, 2 days before recovery of my vehicle they invoked a ticket at 90 euros considering that it was an aggravation of the risk.
However, articles 1103 and 1231-1 of the Civil Code provide that the parties to the contract are held in the contract and cannot be discussed lightly by dilatory maneuvers.
 At this account I will launch my insurance company. Ensure and never pay it reports. We a Facebook group is mounted by Zeroday to this constitute in Action class I think it is the best thing to do with contact at the DGCCRF which asks us for all our files noting the same dilatory practices.</v>
      </c>
    </row>
    <row r="640" ht="15.75" customHeight="1">
      <c r="A640" s="2">
        <v>2.0</v>
      </c>
      <c r="B640" s="2" t="s">
        <v>1847</v>
      </c>
      <c r="C640" s="2" t="s">
        <v>1848</v>
      </c>
      <c r="D640" s="2" t="s">
        <v>133</v>
      </c>
      <c r="E640" s="2" t="s">
        <v>138</v>
      </c>
      <c r="F640" s="2" t="s">
        <v>15</v>
      </c>
      <c r="G640" s="2" t="s">
        <v>1849</v>
      </c>
      <c r="H640" s="2" t="s">
        <v>300</v>
      </c>
      <c r="I640" s="2" t="str">
        <f>IFERROR(__xludf.DUMMYFUNCTION("GOOGLETRANSLATE(C640,""fr"",""en"")"),"Hello I am retired since July 1, 2019, additional retirement file completed, documents sent on July 12 but apparently not received. 2nd sending by email received on September 11 and since 12/9dossier in progress of allianz response ""many files to be proc"&amp;"essed, 17/9The choice of guaranteed annuities difficult to set up, 23/9FERMETURE CONTISTER, Opening"" Retired ""account 4 weeks !!! on September 12 Allianz replied should be paid before October 15 !!! and this day 30/09 ""delay in the files .... and we do"&amp;" not know how to tell you when your file will be sent to the services Accounting !!!! very difficult guaranteed annuities and in addition send me to walk because apparently it does not have more to my interlocutor that I tell her that it was starting to d"&amp;"o long !!!! dixit ""we can't tell you The more, you have to wait !!!! """)</f>
        <v>Hello I am retired since July 1, 2019, additional retirement file completed, documents sent on July 12 but apparently not received. 2nd sending by email received on September 11 and since 12/9dossier in progress of allianz response "many files to be processed, 17/9The choice of guaranteed annuities difficult to set up, 23/9FERMETURE CONTISTER, Opening" Retired "account 4 weeks !!! on September 12 Allianz replied should be paid before October 15 !!! and this day 30/09 "delay in the files .... and we do not know how to tell you when your file will be sent to the services Accounting !!!! very difficult guaranteed annuities and in addition send me to walk because apparently it does not have more to my interlocutor that I tell her that it was starting to do long !!!! dixit "we can't tell you The more, you have to wait !!!! "</v>
      </c>
    </row>
    <row r="641" ht="15.75" customHeight="1">
      <c r="A641" s="2">
        <v>5.0</v>
      </c>
      <c r="B641" s="2" t="s">
        <v>1850</v>
      </c>
      <c r="C641" s="2" t="s">
        <v>1851</v>
      </c>
      <c r="D641" s="2" t="s">
        <v>13</v>
      </c>
      <c r="E641" s="2" t="s">
        <v>14</v>
      </c>
      <c r="F641" s="2" t="s">
        <v>15</v>
      </c>
      <c r="G641" s="2" t="s">
        <v>744</v>
      </c>
      <c r="H641" s="2" t="s">
        <v>87</v>
      </c>
      <c r="I641" s="2" t="str">
        <f>IFERROR(__xludf.DUMMYFUNCTION("GOOGLETRANSLATE(C641,""fr"",""en"")"),"     I am excited by the simplicity and speed of this site.
     Prices also suit me.
     I totally adhere.
     Do not change anything.")</f>
        <v>     I am excited by the simplicity and speed of this site.
     Prices also suit me.
     I totally adhere.
     Do not change anything.</v>
      </c>
    </row>
    <row r="642" ht="15.75" customHeight="1">
      <c r="A642" s="2">
        <v>5.0</v>
      </c>
      <c r="B642" s="2" t="s">
        <v>1852</v>
      </c>
      <c r="C642" s="2" t="s">
        <v>1853</v>
      </c>
      <c r="D642" s="2" t="s">
        <v>1063</v>
      </c>
      <c r="E642" s="2" t="s">
        <v>159</v>
      </c>
      <c r="F642" s="2" t="s">
        <v>15</v>
      </c>
      <c r="G642" s="2" t="s">
        <v>1854</v>
      </c>
      <c r="H642" s="2" t="s">
        <v>155</v>
      </c>
      <c r="I642" s="2" t="str">
        <f>IFERROR(__xludf.DUMMYFUNCTION("GOOGLETRANSLATE(C642,""fr"",""en"")"),"File treated very quickly care sheets sent by internet on February 15 and 16 treated on February 18 and order of transfer given")</f>
        <v>File treated very quickly care sheets sent by internet on February 15 and 16 treated on February 18 and order of transfer given</v>
      </c>
    </row>
    <row r="643" ht="15.75" customHeight="1">
      <c r="A643" s="2">
        <v>5.0</v>
      </c>
      <c r="B643" s="2" t="s">
        <v>1855</v>
      </c>
      <c r="C643" s="2" t="s">
        <v>1856</v>
      </c>
      <c r="D643" s="2" t="s">
        <v>47</v>
      </c>
      <c r="E643" s="2" t="s">
        <v>14</v>
      </c>
      <c r="F643" s="2" t="s">
        <v>15</v>
      </c>
      <c r="G643" s="2" t="s">
        <v>1857</v>
      </c>
      <c r="H643" s="2" t="s">
        <v>69</v>
      </c>
      <c r="I643" s="2" t="str">
        <f>IFERROR(__xludf.DUMMYFUNCTION("GOOGLETRANSLATE(C643,""fr"",""en"")"),"Very satisfied for the moment now to see once the contract is active but price level I think they are unbeatable I recommend the olive assurance")</f>
        <v>Very satisfied for the moment now to see once the contract is active but price level I think they are unbeatable I recommend the olive assurance</v>
      </c>
    </row>
    <row r="644" ht="15.75" customHeight="1">
      <c r="A644" s="2">
        <v>5.0</v>
      </c>
      <c r="B644" s="2" t="s">
        <v>1858</v>
      </c>
      <c r="C644" s="2" t="s">
        <v>1859</v>
      </c>
      <c r="D644" s="2" t="s">
        <v>253</v>
      </c>
      <c r="E644" s="2" t="s">
        <v>21</v>
      </c>
      <c r="F644" s="2" t="s">
        <v>15</v>
      </c>
      <c r="G644" s="2" t="s">
        <v>164</v>
      </c>
      <c r="H644" s="2" t="s">
        <v>165</v>
      </c>
      <c r="I644" s="2" t="str">
        <f>IFERROR(__xludf.DUMMYFUNCTION("GOOGLETRANSLATE(C644,""fr"",""en"")"),"Super for old insurance termination
Super for old insurance termination
")</f>
        <v>Super for old insurance termination
Super for old insurance termination
</v>
      </c>
    </row>
    <row r="645" ht="15.75" customHeight="1">
      <c r="A645" s="2">
        <v>2.0</v>
      </c>
      <c r="B645" s="2" t="s">
        <v>1860</v>
      </c>
      <c r="C645" s="2" t="s">
        <v>1861</v>
      </c>
      <c r="D645" s="2" t="s">
        <v>781</v>
      </c>
      <c r="E645" s="2" t="s">
        <v>21</v>
      </c>
      <c r="F645" s="2" t="s">
        <v>15</v>
      </c>
      <c r="G645" s="2" t="s">
        <v>1862</v>
      </c>
      <c r="H645" s="2" t="s">
        <v>140</v>
      </c>
      <c r="I645" s="2" t="str">
        <f>IFERROR(__xludf.DUMMYFUNCTION("GOOGLETRANSLATE(C645,""fr"",""en"")"),"I have been waiting for more than a reimbursement of more than 200 € for over a month and a half. I have no answer. I sent all the documents requested on January 2. I call I am told that I would be reimbursed within 48 hours but still nothing. No possibil"&amp;"ity of talking to the reimbursement service. No following. I feel helpless. I am thinking of calling on a consumer association if I still have nothing by the end of the month.")</f>
        <v>I have been waiting for more than a reimbursement of more than 200 € for over a month and a half. I have no answer. I sent all the documents requested on January 2. I call I am told that I would be reimbursed within 48 hours but still nothing. No possibility of talking to the reimbursement service. No following. I feel helpless. I am thinking of calling on a consumer association if I still have nothing by the end of the month.</v>
      </c>
    </row>
    <row r="646" ht="15.75" customHeight="1">
      <c r="A646" s="2">
        <v>1.0</v>
      </c>
      <c r="B646" s="2" t="s">
        <v>1863</v>
      </c>
      <c r="C646" s="2" t="s">
        <v>1864</v>
      </c>
      <c r="D646" s="2" t="s">
        <v>13</v>
      </c>
      <c r="E646" s="2" t="s">
        <v>14</v>
      </c>
      <c r="F646" s="2" t="s">
        <v>15</v>
      </c>
      <c r="G646" s="2" t="s">
        <v>1598</v>
      </c>
      <c r="H646" s="2" t="s">
        <v>330</v>
      </c>
      <c r="I646" s="2" t="str">
        <f>IFERROR(__xludf.DUMMYFUNCTION("GOOGLETRANSLATE(C646,""fr"",""en"")"),"I strongly advise against this insurer.
They bait their customers with low prices in the 1st year but increase their prices considerably from the 2nd year.
The advisers are incompetent and a simple loss phone call.")</f>
        <v>I strongly advise against this insurer.
They bait their customers with low prices in the 1st year but increase their prices considerably from the 2nd year.
The advisers are incompetent and a simple loss phone call.</v>
      </c>
    </row>
    <row r="647" ht="15.75" customHeight="1">
      <c r="A647" s="2">
        <v>1.0</v>
      </c>
      <c r="B647" s="2" t="s">
        <v>1865</v>
      </c>
      <c r="C647" s="2" t="s">
        <v>1866</v>
      </c>
      <c r="D647" s="2" t="s">
        <v>13</v>
      </c>
      <c r="E647" s="2" t="s">
        <v>14</v>
      </c>
      <c r="F647" s="2" t="s">
        <v>15</v>
      </c>
      <c r="G647" s="2" t="s">
        <v>1490</v>
      </c>
      <c r="H647" s="2" t="s">
        <v>60</v>
      </c>
      <c r="I647" s="2" t="str">
        <f>IFERROR(__xludf.DUMMYFUNCTION("GOOGLETRANSLATE(C647,""fr"",""en"")"),"Every year more and more expensive, we are forced to leave the insurer I have been with for over 7 years.
I had zero sinister for 7 years and not only the price does not drop but on the contrary it becomes more expensive
For a loyal Direct Insurance cus"&amp;"tomer costs almost 2 times more than a new customer
So the strategy is to identify faithful and absorb new ones. Surely I never come back to Direct Assurance again!")</f>
        <v>Every year more and more expensive, we are forced to leave the insurer I have been with for over 7 years.
I had zero sinister for 7 years and not only the price does not drop but on the contrary it becomes more expensive
For a loyal Direct Insurance customer costs almost 2 times more than a new customer
So the strategy is to identify faithful and absorb new ones. Surely I never come back to Direct Assurance again!</v>
      </c>
    </row>
    <row r="648" ht="15.75" customHeight="1">
      <c r="A648" s="2">
        <v>1.0</v>
      </c>
      <c r="B648" s="2" t="s">
        <v>1867</v>
      </c>
      <c r="C648" s="2" t="s">
        <v>1868</v>
      </c>
      <c r="D648" s="2" t="s">
        <v>397</v>
      </c>
      <c r="E648" s="2" t="s">
        <v>322</v>
      </c>
      <c r="F648" s="2" t="s">
        <v>15</v>
      </c>
      <c r="G648" s="2" t="s">
        <v>1869</v>
      </c>
      <c r="H648" s="2" t="s">
        <v>670</v>
      </c>
      <c r="I648" s="2" t="str">
        <f>IFERROR(__xludf.DUMMYFUNCTION("GOOGLETRANSLATE(C648,""fr"",""en"")"),"Hello,
After asking for the repurchase of a life insurance contract 1 month ago, it is impossible to know or is the transfer ... The agent had announced 10 days, the seat, with difficulty reachable announced rather 15 days. 1 month now; The agent announc"&amp;"ed to me on 9/11 a transfer; we are the 19th and still nothing; I can no longer even join the seat because my internet identifiers are no longer recognized !! Whenever I manage to reach the agent, he repeats to me that ""it is in the pipes"". There is no "&amp;"answer ... The preceding post worries me because I have an imperative need for these funds quickly, like any customer who makes a repayment request elsewhere ...")</f>
        <v>Hello,
After asking for the repurchase of a life insurance contract 1 month ago, it is impossible to know or is the transfer ... The agent had announced 10 days, the seat, with difficulty reachable announced rather 15 days. 1 month now; The agent announced to me on 9/11 a transfer; we are the 19th and still nothing; I can no longer even join the seat because my internet identifiers are no longer recognized !! Whenever I manage to reach the agent, he repeats to me that "it is in the pipes". There is no answer ... The preceding post worries me because I have an imperative need for these funds quickly, like any customer who makes a repayment request elsewhere ...</v>
      </c>
    </row>
    <row r="649" ht="15.75" customHeight="1">
      <c r="A649" s="2">
        <v>5.0</v>
      </c>
      <c r="B649" s="2" t="s">
        <v>1870</v>
      </c>
      <c r="C649" s="2" t="s">
        <v>1871</v>
      </c>
      <c r="D649" s="2" t="s">
        <v>13</v>
      </c>
      <c r="E649" s="2" t="s">
        <v>14</v>
      </c>
      <c r="F649" s="2" t="s">
        <v>15</v>
      </c>
      <c r="G649" s="2" t="s">
        <v>1872</v>
      </c>
      <c r="H649" s="2" t="s">
        <v>87</v>
      </c>
      <c r="I649" s="2" t="str">
        <f>IFERROR(__xludf.DUMMYFUNCTION("GOOGLETRANSLATE(C649,""fr"",""en"")"),"I am satisfied with my price and the services that go with it.
A super friendly welcome from your advisers.
Now hoping to stay with you with the best services of your services.")</f>
        <v>I am satisfied with my price and the services that go with it.
A super friendly welcome from your advisers.
Now hoping to stay with you with the best services of your services.</v>
      </c>
    </row>
    <row r="650" ht="15.75" customHeight="1">
      <c r="A650" s="2">
        <v>1.0</v>
      </c>
      <c r="B650" s="2" t="s">
        <v>1873</v>
      </c>
      <c r="C650" s="2" t="s">
        <v>1874</v>
      </c>
      <c r="D650" s="2" t="s">
        <v>223</v>
      </c>
      <c r="E650" s="2" t="s">
        <v>77</v>
      </c>
      <c r="F650" s="2" t="s">
        <v>15</v>
      </c>
      <c r="G650" s="2" t="s">
        <v>1875</v>
      </c>
      <c r="H650" s="2" t="s">
        <v>91</v>
      </c>
      <c r="I650" s="2" t="str">
        <f>IFERROR(__xludf.DUMMYFUNCTION("GOOGLETRANSLATE(C650,""fr"",""en"")"),"Insurance really zero I do not recommend you strongly !!!!!
 I really recommend this insurance !!!!! No professionalism no reimbursement no respect")</f>
        <v>Insurance really zero I do not recommend you strongly !!!!!
 I really recommend this insurance !!!!! No professionalism no reimbursement no respect</v>
      </c>
    </row>
    <row r="651" ht="15.75" customHeight="1">
      <c r="A651" s="2">
        <v>2.0</v>
      </c>
      <c r="B651" s="2" t="s">
        <v>1876</v>
      </c>
      <c r="C651" s="2" t="s">
        <v>1877</v>
      </c>
      <c r="D651" s="2" t="s">
        <v>287</v>
      </c>
      <c r="E651" s="2" t="s">
        <v>14</v>
      </c>
      <c r="F651" s="2" t="s">
        <v>15</v>
      </c>
      <c r="G651" s="2" t="s">
        <v>1878</v>
      </c>
      <c r="H651" s="2" t="s">
        <v>485</v>
      </c>
      <c r="I651" s="2" t="str">
        <f>IFERROR(__xludf.DUMMYFUNCTION("GOOGLETRANSLATE(C651,""fr"",""en"")"),"Hello, I was insured at the GMF, on the highway, my windshield was broken, so I changed it.
6 months later, a motorist returned to me and my car was declared good to breakage, despite the fact that she is driving again.
So I do what is necessary for
Re"&amp;"sult, I am told, I am told to go elsewhere.
So when I hear the ad, it makes me smile, it makes me cringe.
Cordially
")</f>
        <v>Hello, I was insured at the GMF, on the highway, my windshield was broken, so I changed it.
6 months later, a motorist returned to me and my car was declared good to breakage, despite the fact that she is driving again.
So I do what is necessary for
Result, I am told, I am told to go elsewhere.
So when I hear the ad, it makes me smile, it makes me cringe.
Cordially
</v>
      </c>
    </row>
    <row r="652" ht="15.75" customHeight="1">
      <c r="A652" s="2">
        <v>5.0</v>
      </c>
      <c r="B652" s="2" t="s">
        <v>1879</v>
      </c>
      <c r="C652" s="2" t="s">
        <v>1880</v>
      </c>
      <c r="D652" s="2" t="s">
        <v>13</v>
      </c>
      <c r="E652" s="2" t="s">
        <v>14</v>
      </c>
      <c r="F652" s="2" t="s">
        <v>15</v>
      </c>
      <c r="G652" s="2" t="s">
        <v>187</v>
      </c>
      <c r="H652" s="2" t="s">
        <v>28</v>
      </c>
      <c r="I652" s="2" t="str">
        <f>IFERROR(__xludf.DUMMYFUNCTION("GOOGLETRANSLATE(C652,""fr"",""en"")"),"Satisfied with the service.
Ultra Competitive Price
Speed ​​of calculation of the quote.
I highly recommend
To advise his friends. Very tight prices .....
To recommend")</f>
        <v>Satisfied with the service.
Ultra Competitive Price
Speed ​​of calculation of the quote.
I highly recommend
To advise his friends. Very tight prices .....
To recommend</v>
      </c>
    </row>
    <row r="653" ht="15.75" customHeight="1">
      <c r="A653" s="2">
        <v>2.0</v>
      </c>
      <c r="B653" s="2" t="s">
        <v>1881</v>
      </c>
      <c r="C653" s="2" t="s">
        <v>1882</v>
      </c>
      <c r="D653" s="2" t="s">
        <v>312</v>
      </c>
      <c r="E653" s="2" t="s">
        <v>43</v>
      </c>
      <c r="F653" s="2" t="s">
        <v>15</v>
      </c>
      <c r="G653" s="2" t="s">
        <v>1883</v>
      </c>
      <c r="H653" s="2" t="s">
        <v>670</v>
      </c>
      <c r="I653" s="2" t="str">
        <f>IFERROR(__xludf.DUMMYFUNCTION("GOOGLETRANSLATE(C653,""fr"",""en"")"),"Forced sales system, stimulating 22 times in the same day, infamous television! They are to be avoided urgently. I recommend much more Allianz, Suravenir or AMV. Much more pro with real customer service.")</f>
        <v>Forced sales system, stimulating 22 times in the same day, infamous television! They are to be avoided urgently. I recommend much more Allianz, Suravenir or AMV. Much more pro with real customer service.</v>
      </c>
    </row>
    <row r="654" ht="15.75" customHeight="1">
      <c r="A654" s="2">
        <v>3.0</v>
      </c>
      <c r="B654" s="2" t="s">
        <v>1884</v>
      </c>
      <c r="C654" s="2" t="s">
        <v>1885</v>
      </c>
      <c r="D654" s="2" t="s">
        <v>13</v>
      </c>
      <c r="E654" s="2" t="s">
        <v>14</v>
      </c>
      <c r="F654" s="2" t="s">
        <v>15</v>
      </c>
      <c r="G654" s="2" t="s">
        <v>688</v>
      </c>
      <c r="H654" s="2" t="s">
        <v>60</v>
      </c>
      <c r="I654" s="2" t="str">
        <f>IFERROR(__xludf.DUMMYFUNCTION("GOOGLETRANSLATE(C654,""fr"",""en"")"),"I am satisfied with the service, to see in time: I have never declared a claim !!!!
The prices challenge all competition.
The fact remains that the online service is hassle to use.")</f>
        <v>I am satisfied with the service, to see in time: I have never declared a claim !!!!
The prices challenge all competition.
The fact remains that the online service is hassle to use.</v>
      </c>
    </row>
    <row r="655" ht="15.75" customHeight="1">
      <c r="A655" s="2">
        <v>3.0</v>
      </c>
      <c r="B655" s="2" t="s">
        <v>1886</v>
      </c>
      <c r="C655" s="2" t="s">
        <v>1887</v>
      </c>
      <c r="D655" s="2" t="s">
        <v>253</v>
      </c>
      <c r="E655" s="2" t="s">
        <v>21</v>
      </c>
      <c r="F655" s="2" t="s">
        <v>15</v>
      </c>
      <c r="G655" s="2" t="s">
        <v>299</v>
      </c>
      <c r="H655" s="2" t="s">
        <v>300</v>
      </c>
      <c r="I655" s="2" t="str">
        <f>IFERROR(__xludf.DUMMYFUNCTION("GOOGLETRANSLATE(C655,""fr"",""en"")"),"Following the call of this broker, after listening to the proposal do not give the code you received (6 digits), because this can trigger the contract and do not give IBAN.")</f>
        <v>Following the call of this broker, after listening to the proposal do not give the code you received (6 digits), because this can trigger the contract and do not give IBAN.</v>
      </c>
    </row>
    <row r="656" ht="15.75" customHeight="1">
      <c r="A656" s="2">
        <v>4.0</v>
      </c>
      <c r="B656" s="2" t="s">
        <v>1888</v>
      </c>
      <c r="C656" s="2" t="s">
        <v>1889</v>
      </c>
      <c r="D656" s="2" t="s">
        <v>47</v>
      </c>
      <c r="E656" s="2" t="s">
        <v>14</v>
      </c>
      <c r="F656" s="2" t="s">
        <v>15</v>
      </c>
      <c r="G656" s="2" t="s">
        <v>1557</v>
      </c>
      <c r="H656" s="2" t="s">
        <v>69</v>
      </c>
      <c r="I656" s="2" t="str">
        <f>IFERROR(__xludf.DUMMYFUNCTION("GOOGLETRANSLATE(C656,""fr"",""en"")"),"Very professional first contact
Interlocutor listening to my questions
Took the time to answer all my questions
Which is not easy when everything goes in a dematerialized way")</f>
        <v>Very professional first contact
Interlocutor listening to my questions
Took the time to answer all my questions
Which is not easy when everything goes in a dematerialized way</v>
      </c>
    </row>
    <row r="657" ht="15.75" customHeight="1">
      <c r="A657" s="2">
        <v>5.0</v>
      </c>
      <c r="B657" s="2" t="s">
        <v>1890</v>
      </c>
      <c r="C657" s="2" t="s">
        <v>1891</v>
      </c>
      <c r="D657" s="2" t="s">
        <v>13</v>
      </c>
      <c r="E657" s="2" t="s">
        <v>14</v>
      </c>
      <c r="F657" s="2" t="s">
        <v>15</v>
      </c>
      <c r="G657" s="2" t="s">
        <v>1892</v>
      </c>
      <c r="H657" s="2" t="s">
        <v>28</v>
      </c>
      <c r="I657" s="2" t="str">
        <f>IFERROR(__xludf.DUMMYFUNCTION("GOOGLETRANSLATE(C657,""fr"",""en"")"),"I am satisfied with the price. And of the services, I hope that I will not be disappointed in the event of claims.
I recommend direct insurance to my loved ones
Thanks")</f>
        <v>I am satisfied with the price. And of the services, I hope that I will not be disappointed in the event of claims.
I recommend direct insurance to my loved ones
Thanks</v>
      </c>
    </row>
    <row r="658" ht="15.75" customHeight="1">
      <c r="A658" s="2">
        <v>1.0</v>
      </c>
      <c r="B658" s="2" t="s">
        <v>1893</v>
      </c>
      <c r="C658" s="2" t="s">
        <v>1894</v>
      </c>
      <c r="D658" s="2" t="s">
        <v>168</v>
      </c>
      <c r="E658" s="2" t="s">
        <v>14</v>
      </c>
      <c r="F658" s="2" t="s">
        <v>15</v>
      </c>
      <c r="G658" s="2" t="s">
        <v>1895</v>
      </c>
      <c r="H658" s="2" t="s">
        <v>79</v>
      </c>
      <c r="I658" s="2" t="str">
        <f>IFERROR(__xludf.DUMMYFUNCTION("GOOGLETRANSLATE(C658,""fr"",""en"")"),"DISAPPOINTED!!! I came to Axa for a quote The heart decide to leave the Macif. I appreciated the speed of the recall to discuss Axa's proposals. But alas, it is the nightmare next. The insistence of wanting to conclude a sale without listening to the cust"&amp;"omer's needs puts me out of me. On several occasions, we explain to him that I wanted to compare what was comparable, so I ask him for quotes for all -risk coverage, as well as 0km repair and the loan of a rental vehicle in the event of repair, she tells "&amp;"me Yes yes yes, here is my offer at 30th less monthly!
What a good deal! I am delighted with the Macif!
 ""- You absolutely have to deceive yourself, the offer is only for today !!
  - I need to reflech madam, I chat with my spouse.
  - Okay, offer un"&amp;"til tomorrow. """"
The next day, excitement prevails, if I economize 300th a year for the same cover, the debate is not long. I reconfirm the covers, and she says yes, so I accept.
I receive my insurance contract, and I realize that it is at the third p"&amp;"arty that the saleswoman subscribes to me. I call back to have explanations, I am told that no, she had explained well. I say no, thank you. I want to be covered all risks. She tells me that I can lower my guarantees, and not increase them. I am lost ... "&amp;"I have never heard of an insurer who refused to increase coverage of guarantees to the customer's wish.
I find out around me, and I find article 112-9 of the insurers' code, which protects customers with a fee of 14 working days following a purchase/sale"&amp;" by phone or online. The management service of this same telephonic platform informs me that this law is not topical, that even if axa.fr posters it on its website, they do not take it into account !!
The joke is that an adviser of an agency located Sud "&amp;"Loire has rezé (well in France, unlike this telephonic platform) informs me indeed that I have the right to this recourse of retraction in the event of insastive in The 14 working days and that this situation would never have taken place if I would have b"&amp;"een facing an advisor who would have done his job as it should be, that is to say listening to the customer and his needs!
I send my letters of withdrawal according to the advice of the advisor (French!) Because I refuse to listen to ladies asma, jasmine"&amp;", faad, nmasri and saleswoman Sara and anyone else in this call center The following address: Internet service center - TSA 81110 69836 SAINT PRIEST CEDEX) These people do not seek it to offer me all risks coverage, nor to a legal retraction. I send the s"&amp;"ame letter to the seat of Axa in Paris (25 Ave Matignon 75008 Paris) and I will go to the end of this dispute. No honor and respect for business of this kind. I am someone with principles, today the people of Axa do not respect them.
We are committed to "&amp;"doing what we say, we have that our honor in this world ... People who tell you we remind you and do not do so, they are only cowards, without professionalism and do not deserve any represent the AXA group.
")</f>
        <v>DISAPPOINTED!!! I came to Axa for a quote The heart decide to leave the Macif. I appreciated the speed of the recall to discuss Axa's proposals. But alas, it is the nightmare next. The insistence of wanting to conclude a sale without listening to the customer's needs puts me out of me. On several occasions, we explain to him that I wanted to compare what was comparable, so I ask him for quotes for all -risk coverage, as well as 0km repair and the loan of a rental vehicle in the event of repair, she tells me Yes yes yes, here is my offer at 30th less monthly!
What a good deal! I am delighted with the Macif!
 "- You absolutely have to deceive yourself, the offer is only for today !!
  - I need to reflech madam, I chat with my spouse.
  - Okay, offer until tomorrow. ""
The next day, excitement prevails, if I economize 300th a year for the same cover, the debate is not long. I reconfirm the covers, and she says yes, so I accept.
I receive my insurance contract, and I realize that it is at the third party that the saleswoman subscribes to me. I call back to have explanations, I am told that no, she had explained well. I say no, thank you. I want to be covered all risks. She tells me that I can lower my guarantees, and not increase them. I am lost ... I have never heard of an insurer who refused to increase coverage of guarantees to the customer's wish.
I find out around me, and I find article 112-9 of the insurers' code, which protects customers with a fee of 14 working days following a purchase/sale by phone or online. The management service of this same telephonic platform informs me that this law is not topical, that even if axa.fr posters it on its website, they do not take it into account !!
The joke is that an adviser of an agency located Sud Loire has rezé (well in France, unlike this telephonic platform) informs me indeed that I have the right to this recourse of retraction in the event of insastive in The 14 working days and that this situation would never have taken place if I would have been facing an advisor who would have done his job as it should be, that is to say listening to the customer and his needs!
I send my letters of withdrawal according to the advice of the advisor (French!) Because I refuse to listen to ladies asma, jasmine, faad, nmasri and saleswoman Sara and anyone else in this call center The following address: Internet service center - TSA 81110 69836 SAINT PRIEST CEDEX) These people do not seek it to offer me all risks coverage, nor to a legal retraction. I send the same letter to the seat of Axa in Paris (25 Ave Matignon 75008 Paris) and I will go to the end of this dispute. No honor and respect for business of this kind. I am someone with principles, today the people of Axa do not respect them.
We are committed to doing what we say, we have that our honor in this world ... People who tell you we remind you and do not do so, they are only cowards, without professionalism and do not deserve any represent the AXA group.
</v>
      </c>
    </row>
    <row r="659" ht="15.75" customHeight="1">
      <c r="A659" s="2">
        <v>1.0</v>
      </c>
      <c r="B659" s="2" t="s">
        <v>1896</v>
      </c>
      <c r="C659" s="2" t="s">
        <v>1897</v>
      </c>
      <c r="D659" s="2" t="s">
        <v>483</v>
      </c>
      <c r="E659" s="2" t="s">
        <v>138</v>
      </c>
      <c r="F659" s="2" t="s">
        <v>15</v>
      </c>
      <c r="G659" s="2" t="s">
        <v>1743</v>
      </c>
      <c r="H659" s="2" t="s">
        <v>74</v>
      </c>
      <c r="I659" s="2" t="str">
        <f>IFERROR(__xludf.DUMMYFUNCTION("GOOGLETRANSLATE(C659,""fr"",""en"")"),"A member since 01/01/2019, I went from 30 euros in subscription for wage coverage and bonuses at 50 euros in 2020, then in January 2021, the contribution increased to 85 euros. So I contacted the platform, the interlocutor admits that he had no explanatio"&amp;"ns on the applied rate. Consequently, the head office must remind me of taking stock. I'm waiting but I think I'm going to flee because the price is exorbitant.")</f>
        <v>A member since 01/01/2019, I went from 30 euros in subscription for wage coverage and bonuses at 50 euros in 2020, then in January 2021, the contribution increased to 85 euros. So I contacted the platform, the interlocutor admits that he had no explanations on the applied rate. Consequently, the head office must remind me of taking stock. I'm waiting but I think I'm going to flee because the price is exorbitant.</v>
      </c>
    </row>
    <row r="660" ht="15.75" customHeight="1">
      <c r="A660" s="2">
        <v>1.0</v>
      </c>
      <c r="B660" s="2" t="s">
        <v>1898</v>
      </c>
      <c r="C660" s="2" t="s">
        <v>1899</v>
      </c>
      <c r="D660" s="2" t="s">
        <v>257</v>
      </c>
      <c r="E660" s="2" t="s">
        <v>14</v>
      </c>
      <c r="F660" s="2" t="s">
        <v>15</v>
      </c>
      <c r="G660" s="2" t="s">
        <v>1900</v>
      </c>
      <c r="H660" s="2" t="s">
        <v>300</v>
      </c>
      <c r="I660" s="2" t="str">
        <f>IFERROR(__xludf.DUMMYFUNCTION("GOOGLETRANSLATE(C660,""fr"",""en"")"),"RUN AWAY !!! I signed a contract on June 21, 2019. I am sending them the paper on time, except that I had not yet received the gray card in my name. I paid 4 months of subscription (190 euro). Time passes and I realize that I still have not received a fin"&amp;"al green card. I call customer service (which in passing is execrable), it indicates that my contract has been terminated since July 21 !!!! So I ride without insurance with my children without knowing it is unacceptable !!!!! No email or mail from them t"&amp;"o inform all of his! Of course no appeal to recover contributions pay in advance. All its just for a gray card in my name that I had not yet received !!! I see that I am not the only one that it happens it seems to be a common practice at Eurofil. For inf"&amp;"ormation, a former Direct Insurance customer, they had left me an additional time to give them a gray card to my name. I find out tomorrow with a lawyer specializing in insurance law to find out if they are not abusive conditions for non -reimbursement of"&amp;" the sums collected!")</f>
        <v>RUN AWAY !!! I signed a contract on June 21, 2019. I am sending them the paper on time, except that I had not yet received the gray card in my name. I paid 4 months of subscription (190 euro). Time passes and I realize that I still have not received a final green card. I call customer service (which in passing is execrable), it indicates that my contract has been terminated since July 21 !!!! So I ride without insurance with my children without knowing it is unacceptable !!!!! No email or mail from them to inform all of his! Of course no appeal to recover contributions pay in advance. All its just for a gray card in my name that I had not yet received !!! I see that I am not the only one that it happens it seems to be a common practice at Eurofil. For information, a former Direct Insurance customer, they had left me an additional time to give them a gray card to my name. I find out tomorrow with a lawyer specializing in insurance law to find out if they are not abusive conditions for non -reimbursement of the sums collected!</v>
      </c>
    </row>
    <row r="661" ht="15.75" customHeight="1">
      <c r="A661" s="2">
        <v>3.0</v>
      </c>
      <c r="B661" s="2" t="s">
        <v>1901</v>
      </c>
      <c r="C661" s="2" t="s">
        <v>1902</v>
      </c>
      <c r="D661" s="2" t="s">
        <v>287</v>
      </c>
      <c r="E661" s="2" t="s">
        <v>77</v>
      </c>
      <c r="F661" s="2" t="s">
        <v>15</v>
      </c>
      <c r="G661" s="2" t="s">
        <v>1903</v>
      </c>
      <c r="H661" s="2" t="s">
        <v>294</v>
      </c>
      <c r="I661" s="2" t="str">
        <f>IFERROR(__xludf.DUMMYFUNCTION("GOOGLETRANSLATE(C661,""fr"",""en"")"),"My home located 45 km from Rouen, roof covered with soot following the fire in Lubrizol, a franchise is applied, while in my guarantees figure ""technological disaster"" without franchises, no valid explanation on their part")</f>
        <v>My home located 45 km from Rouen, roof covered with soot following the fire in Lubrizol, a franchise is applied, while in my guarantees figure "technological disaster" without franchises, no valid explanation on their part</v>
      </c>
    </row>
    <row r="662" ht="15.75" customHeight="1">
      <c r="A662" s="2">
        <v>4.0</v>
      </c>
      <c r="B662" s="2" t="s">
        <v>1904</v>
      </c>
      <c r="C662" s="2" t="s">
        <v>1905</v>
      </c>
      <c r="D662" s="2" t="s">
        <v>42</v>
      </c>
      <c r="E662" s="2" t="s">
        <v>43</v>
      </c>
      <c r="F662" s="2" t="s">
        <v>15</v>
      </c>
      <c r="G662" s="2" t="s">
        <v>1221</v>
      </c>
      <c r="H662" s="2" t="s">
        <v>28</v>
      </c>
      <c r="I662" s="2" t="str">
        <f>IFERROR(__xludf.DUMMYFUNCTION("GOOGLETRANSLATE(C662,""fr"",""en"")"),"Insured at AMV Legend for years, I have been satisfied with services and advice. Information at reasonable prices and simple and quick subscription.")</f>
        <v>Insured at AMV Legend for years, I have been satisfied with services and advice. Information at reasonable prices and simple and quick subscription.</v>
      </c>
    </row>
    <row r="663" ht="15.75" customHeight="1">
      <c r="A663" s="2">
        <v>3.0</v>
      </c>
      <c r="B663" s="2" t="s">
        <v>1906</v>
      </c>
      <c r="C663" s="2" t="s">
        <v>1907</v>
      </c>
      <c r="D663" s="2" t="s">
        <v>308</v>
      </c>
      <c r="E663" s="2" t="s">
        <v>43</v>
      </c>
      <c r="F663" s="2" t="s">
        <v>15</v>
      </c>
      <c r="G663" s="2" t="s">
        <v>1908</v>
      </c>
      <c r="H663" s="2" t="s">
        <v>565</v>
      </c>
      <c r="I663" s="2" t="str">
        <f>IFERROR(__xludf.DUMMYFUNCTION("GOOGLETRANSLATE(C663,""fr"",""en"")"),"The quality of the guarantees is very good in my opinion. Insured at any risk in 1000 hyper-sport with a 0.5 coefficient. I was insured elsewhere, I think there is still a little extra at the Mutuelle des Motards.")</f>
        <v>The quality of the guarantees is very good in my opinion. Insured at any risk in 1000 hyper-sport with a 0.5 coefficient. I was insured elsewhere, I think there is still a little extra at the Mutuelle des Motards.</v>
      </c>
    </row>
    <row r="664" ht="15.75" customHeight="1">
      <c r="A664" s="2">
        <v>4.0</v>
      </c>
      <c r="B664" s="2" t="s">
        <v>1909</v>
      </c>
      <c r="C664" s="2" t="s">
        <v>1910</v>
      </c>
      <c r="D664" s="2" t="s">
        <v>47</v>
      </c>
      <c r="E664" s="2" t="s">
        <v>14</v>
      </c>
      <c r="F664" s="2" t="s">
        <v>15</v>
      </c>
      <c r="G664" s="2" t="s">
        <v>592</v>
      </c>
      <c r="H664" s="2" t="s">
        <v>338</v>
      </c>
      <c r="I664" s="2" t="str">
        <f>IFERROR(__xludf.DUMMYFUNCTION("GOOGLETRANSLATE(C664,""fr"",""en"")"),"I am very satisfied with the online service because very practical to sign the contracts, the prices is fair and the interlocutors are very attentive.")</f>
        <v>I am very satisfied with the online service because very practical to sign the contracts, the prices is fair and the interlocutors are very attentive.</v>
      </c>
    </row>
    <row r="665" ht="15.75" customHeight="1">
      <c r="A665" s="2">
        <v>2.0</v>
      </c>
      <c r="B665" s="2" t="s">
        <v>1911</v>
      </c>
      <c r="C665" s="2" t="s">
        <v>1912</v>
      </c>
      <c r="D665" s="2" t="s">
        <v>239</v>
      </c>
      <c r="E665" s="2" t="s">
        <v>21</v>
      </c>
      <c r="F665" s="2" t="s">
        <v>15</v>
      </c>
      <c r="G665" s="2" t="s">
        <v>1680</v>
      </c>
      <c r="H665" s="2" t="s">
        <v>343</v>
      </c>
      <c r="I665" s="2" t="str">
        <f>IFERROR(__xludf.DUMMYFUNCTION("GOOGLETRANSLATE(C665,""fr"",""en"")"),"Hello
I have subscribed to a mutual health insurance since January 1, 2011. This mutual has been contracted for Mr. and Madame. My wife is at the CPAM me at a specific box (SNCF).
In February April informs me that I could not put in place the remote t"&amp;"ransmission (Noemie) with my cash register. After contacted my box it informs me that April refuses to recognize the specific SNCF fund.
Why not have warned me when setting up the contract.
Now I am obliged to pay the practitioner to wait for the retu"&amp;"rn of my fund to send him to April to be reimbursed. Deadline 8 weeks
Cordially
 ")</f>
        <v>Hello
I have subscribed to a mutual health insurance since January 1, 2011. This mutual has been contracted for Mr. and Madame. My wife is at the CPAM me at a specific box (SNCF).
In February April informs me that I could not put in place the remote transmission (Noemie) with my cash register. After contacted my box it informs me that April refuses to recognize the specific SNCF fund.
Why not have warned me when setting up the contract.
Now I am obliged to pay the practitioner to wait for the return of my fund to send him to April to be reimbursed. Deadline 8 weeks
Cordially
 </v>
      </c>
    </row>
    <row r="666" ht="15.75" customHeight="1">
      <c r="A666" s="2">
        <v>3.0</v>
      </c>
      <c r="B666" s="2" t="s">
        <v>1913</v>
      </c>
      <c r="C666" s="2" t="s">
        <v>1914</v>
      </c>
      <c r="D666" s="2" t="s">
        <v>42</v>
      </c>
      <c r="E666" s="2" t="s">
        <v>43</v>
      </c>
      <c r="F666" s="2" t="s">
        <v>15</v>
      </c>
      <c r="G666" s="2" t="s">
        <v>94</v>
      </c>
      <c r="H666" s="2" t="s">
        <v>17</v>
      </c>
      <c r="I666" s="2" t="str">
        <f>IFERROR(__xludf.DUMMYFUNCTION("GOOGLETRANSLATE(C666,""fr"",""en"")"),"The prices suit me, the information requested is correct, I hope not to need your services following a claim
very cordially
")</f>
        <v>The prices suit me, the information requested is correct, I hope not to need your services following a claim
very cordially
</v>
      </c>
    </row>
    <row r="667" ht="15.75" customHeight="1">
      <c r="A667" s="2">
        <v>3.0</v>
      </c>
      <c r="B667" s="2" t="s">
        <v>1915</v>
      </c>
      <c r="C667" s="2" t="s">
        <v>1916</v>
      </c>
      <c r="D667" s="2" t="s">
        <v>47</v>
      </c>
      <c r="E667" s="2" t="s">
        <v>14</v>
      </c>
      <c r="F667" s="2" t="s">
        <v>15</v>
      </c>
      <c r="G667" s="2" t="s">
        <v>811</v>
      </c>
      <c r="H667" s="2" t="s">
        <v>338</v>
      </c>
      <c r="I667" s="2" t="str">
        <f>IFERROR(__xludf.DUMMYFUNCTION("GOOGLETRANSLATE(C667,""fr"",""en"")"),"Good customer relationship has recommended the person around me even if that and I don't have a long time since I am on this good day insurance")</f>
        <v>Good customer relationship has recommended the person around me even if that and I don't have a long time since I am on this good day insurance</v>
      </c>
    </row>
    <row r="668" ht="15.75" customHeight="1">
      <c r="A668" s="2">
        <v>1.0</v>
      </c>
      <c r="B668" s="2" t="s">
        <v>1917</v>
      </c>
      <c r="C668" s="2" t="s">
        <v>1918</v>
      </c>
      <c r="D668" s="2" t="s">
        <v>243</v>
      </c>
      <c r="E668" s="2" t="s">
        <v>77</v>
      </c>
      <c r="F668" s="2" t="s">
        <v>15</v>
      </c>
      <c r="G668" s="2" t="s">
        <v>326</v>
      </c>
      <c r="H668" s="2" t="s">
        <v>60</v>
      </c>
      <c r="I668" s="2" t="str">
        <f>IFERROR(__xludf.DUMMYFUNCTION("GOOGLETRANSLATE(C668,""fr"",""en"")"),"Insurance to flee these are incompetents who only think of collecting the contributions of the insured but when you need them. Transparent like Alice. They should be forbidden to sell insurance contracts. Point to unemployment their ferat of the good.")</f>
        <v>Insurance to flee these are incompetents who only think of collecting the contributions of the insured but when you need them. Transparent like Alice. They should be forbidden to sell insurance contracts. Point to unemployment their ferat of the good.</v>
      </c>
    </row>
    <row r="669" ht="15.75" customHeight="1">
      <c r="A669" s="2">
        <v>4.0</v>
      </c>
      <c r="B669" s="2" t="s">
        <v>1919</v>
      </c>
      <c r="C669" s="2" t="s">
        <v>1920</v>
      </c>
      <c r="D669" s="2" t="s">
        <v>287</v>
      </c>
      <c r="E669" s="2" t="s">
        <v>77</v>
      </c>
      <c r="F669" s="2" t="s">
        <v>15</v>
      </c>
      <c r="G669" s="2" t="s">
        <v>1921</v>
      </c>
      <c r="H669" s="2" t="s">
        <v>161</v>
      </c>
      <c r="I669" s="2" t="str">
        <f>IFERROR(__xludf.DUMMYFUNCTION("GOOGLETRANSLATE(C669,""fr"",""en"")"),"Be careful, I made myself have, GMF certainly human, certainly not in my case. I was the victim of terraced work poorly carried out by a company, this follows floods because drains were cut.
I make a statement to the GMF.
 !!! They spend 3 experts for m"&amp;"e, each proves the responsibility of the company and the company neither.
I am waiting for 9 months and you know what, the GMF despite they were aware of the origins of the disaster tell me that I am not insured for that.
Why made me wait so long before"&amp;" I warn me and this despite an extension of guarantee which normally covers this disaster (infiltration) which ultimately is useless for this kind of disaster.
Obliged to go to court, they think that people demoralize and yes it is on I think it will tak"&amp;"e years before being compensated, great.
00000 is the note I give to GMF.")</f>
        <v>Be careful, I made myself have, GMF certainly human, certainly not in my case. I was the victim of terraced work poorly carried out by a company, this follows floods because drains were cut.
I make a statement to the GMF.
 !!! They spend 3 experts for me, each proves the responsibility of the company and the company neither.
I am waiting for 9 months and you know what, the GMF despite they were aware of the origins of the disaster tell me that I am not insured for that.
Why made me wait so long before I warn me and this despite an extension of guarantee which normally covers this disaster (infiltration) which ultimately is useless for this kind of disaster.
Obliged to go to court, they think that people demoralize and yes it is on I think it will take years before being compensated, great.
00000 is the note I give to GMF.</v>
      </c>
    </row>
    <row r="670" ht="15.75" customHeight="1">
      <c r="A670" s="2">
        <v>3.0</v>
      </c>
      <c r="B670" s="2" t="s">
        <v>1922</v>
      </c>
      <c r="C670" s="2" t="s">
        <v>1923</v>
      </c>
      <c r="D670" s="2" t="s">
        <v>63</v>
      </c>
      <c r="E670" s="2" t="s">
        <v>14</v>
      </c>
      <c r="F670" s="2" t="s">
        <v>15</v>
      </c>
      <c r="G670" s="2" t="s">
        <v>1924</v>
      </c>
      <c r="H670" s="2" t="s">
        <v>760</v>
      </c>
      <c r="I670" s="2" t="str">
        <f>IFERROR(__xludf.DUMMYFUNCTION("GOOGLETRANSLATE(C670,""fr"",""en"")"),"I must say that I am frightened by incompetence, as soon as I chose to reduce my services. Driver with the maximum bonus, I wanted to modify my vam contract, and there, the troubles begin. A week ago that I had to sign this modification via an electronic "&amp;"signature, and, after a dozen attempts where I am told to contact an advisor, because it is impossible to receive the SMS, this is a first for me, I do not Am not a novice in the matter, via SMS, even Orange is able to do so, that is to say! In short, all"&amp;" this to say that it is impossible for me to send a statement of the problem: everything came back to me as as a mail not issued via the site and my personal account, therefore, for me, nothing reliable. To avoid, this insurance is no longer what it claim"&amp;"ed, to flee !!!! Not united at all! Sorry for the forced employees to pretend
")</f>
        <v>I must say that I am frightened by incompetence, as soon as I chose to reduce my services. Driver with the maximum bonus, I wanted to modify my vam contract, and there, the troubles begin. A week ago that I had to sign this modification via an electronic signature, and, after a dozen attempts where I am told to contact an advisor, because it is impossible to receive the SMS, this is a first for me, I do not Am not a novice in the matter, via SMS, even Orange is able to do so, that is to say! In short, all this to say that it is impossible for me to send a statement of the problem: everything came back to me as as a mail not issued via the site and my personal account, therefore, for me, nothing reliable. To avoid, this insurance is no longer what it claimed, to flee !!!! Not united at all! Sorry for the forced employees to pretend
</v>
      </c>
    </row>
    <row r="671" ht="15.75" customHeight="1">
      <c r="A671" s="2">
        <v>1.0</v>
      </c>
      <c r="B671" s="2" t="s">
        <v>1925</v>
      </c>
      <c r="C671" s="2" t="s">
        <v>1926</v>
      </c>
      <c r="D671" s="2" t="s">
        <v>253</v>
      </c>
      <c r="E671" s="2" t="s">
        <v>21</v>
      </c>
      <c r="F671" s="2" t="s">
        <v>15</v>
      </c>
      <c r="G671" s="2" t="s">
        <v>1927</v>
      </c>
      <c r="H671" s="2" t="s">
        <v>300</v>
      </c>
      <c r="I671" s="2" t="str">
        <f>IFERROR(__xludf.DUMMYFUNCTION("GOOGLETRANSLATE(C671,""fr"",""en"")"),"No answer to my questions on the site, or by email for months, or even years")</f>
        <v>No answer to my questions on the site, or by email for months, or even years</v>
      </c>
    </row>
    <row r="672" ht="15.75" customHeight="1">
      <c r="A672" s="2">
        <v>1.0</v>
      </c>
      <c r="B672" s="2" t="s">
        <v>1928</v>
      </c>
      <c r="C672" s="2" t="s">
        <v>1929</v>
      </c>
      <c r="D672" s="2" t="s">
        <v>1238</v>
      </c>
      <c r="E672" s="2" t="s">
        <v>77</v>
      </c>
      <c r="F672" s="2" t="s">
        <v>15</v>
      </c>
      <c r="G672" s="2" t="s">
        <v>822</v>
      </c>
      <c r="H672" s="2" t="s">
        <v>585</v>
      </c>
      <c r="I672" s="2" t="str">
        <f>IFERROR(__xludf.DUMMYFUNCTION("GOOGLETRANSLATE(C672,""fr"",""en"")"),"A year ago, my 80 m2 apartment on the fifth floor in Pau burned completely. I then bring the craftsmen quickly to have the quotes 65,000 euros minimum if there is no surprise. The expert in Groupama, him, offers me royally 25,000 euros, to take or leave, "&amp;"accompanied by barely veiled threats. Being infirm, as the elevator has also been destroyed, Groupama adds that anyway, refurbished or not, the apartment will remain inaccessible because there is no more elevator for me. The local press then wrote a full "&amp;"page on this subject and on the abuse of Groupama bordering on the manipulation of a disabled on vulnerable person. Soon my Parisian journalist friends will make it known nationally. If you want to contact me, don't hesitate. In the meantime, avoid these "&amp;"people, good advice.")</f>
        <v>A year ago, my 80 m2 apartment on the fifth floor in Pau burned completely. I then bring the craftsmen quickly to have the quotes 65,000 euros minimum if there is no surprise. The expert in Groupama, him, offers me royally 25,000 euros, to take or leave, accompanied by barely veiled threats. Being infirm, as the elevator has also been destroyed, Groupama adds that anyway, refurbished or not, the apartment will remain inaccessible because there is no more elevator for me. The local press then wrote a full page on this subject and on the abuse of Groupama bordering on the manipulation of a disabled on vulnerable person. Soon my Parisian journalist friends will make it known nationally. If you want to contact me, don't hesitate. In the meantime, avoid these people, good advice.</v>
      </c>
    </row>
    <row r="673" ht="15.75" customHeight="1">
      <c r="A673" s="2">
        <v>5.0</v>
      </c>
      <c r="B673" s="2" t="s">
        <v>1930</v>
      </c>
      <c r="C673" s="2" t="s">
        <v>1931</v>
      </c>
      <c r="D673" s="2" t="s">
        <v>13</v>
      </c>
      <c r="E673" s="2" t="s">
        <v>14</v>
      </c>
      <c r="F673" s="2" t="s">
        <v>15</v>
      </c>
      <c r="G673" s="2" t="s">
        <v>451</v>
      </c>
      <c r="H673" s="2" t="s">
        <v>87</v>
      </c>
      <c r="I673" s="2" t="str">
        <f>IFERROR(__xludf.DUMMYFUNCTION("GOOGLETRANSLATE(C673,""fr"",""en"")"),"I am satisfied with the service . The price is affordable. The general conditions of the site are acceptable The online form is quite easy to fill out and without ambiguity")</f>
        <v>I am satisfied with the service . The price is affordable. The general conditions of the site are acceptable The online form is quite easy to fill out and without ambiguity</v>
      </c>
    </row>
    <row r="674" ht="15.75" customHeight="1">
      <c r="A674" s="2">
        <v>1.0</v>
      </c>
      <c r="B674" s="2" t="s">
        <v>1932</v>
      </c>
      <c r="C674" s="2" t="s">
        <v>1933</v>
      </c>
      <c r="D674" s="2" t="s">
        <v>653</v>
      </c>
      <c r="E674" s="2" t="s">
        <v>322</v>
      </c>
      <c r="F674" s="2" t="s">
        <v>15</v>
      </c>
      <c r="G674" s="2" t="s">
        <v>1934</v>
      </c>
      <c r="H674" s="2" t="s">
        <v>91</v>
      </c>
      <c r="I674" s="2" t="str">
        <f>IFERROR(__xludf.DUMMYFUNCTION("GOOGLETRANSLATE(C674,""fr"",""en"")"),"Did I have a question sent you a letter saying that they were paying? We after 7 months of endless galley and threat of complaint they finally sent us an email on October 20 that they paid us our life insurance after the deces of a member of our family, t"&amp;"his company is an endless joke")</f>
        <v>Did I have a question sent you a letter saying that they were paying? We after 7 months of endless galley and threat of complaint they finally sent us an email on October 20 that they paid us our life insurance after the deces of a member of our family, this company is an endless joke</v>
      </c>
    </row>
    <row r="675" ht="15.75" customHeight="1">
      <c r="A675" s="2">
        <v>5.0</v>
      </c>
      <c r="B675" s="2" t="s">
        <v>1935</v>
      </c>
      <c r="C675" s="2" t="s">
        <v>1936</v>
      </c>
      <c r="D675" s="2" t="s">
        <v>42</v>
      </c>
      <c r="E675" s="2" t="s">
        <v>43</v>
      </c>
      <c r="F675" s="2" t="s">
        <v>15</v>
      </c>
      <c r="G675" s="2" t="s">
        <v>448</v>
      </c>
      <c r="H675" s="2" t="s">
        <v>17</v>
      </c>
      <c r="I675" s="2" t="str">
        <f>IFERROR(__xludf.DUMMYFUNCTION("GOOGLETRANSLATE(C675,""fr"",""en"")"),"Simple fast and efficient and more than correct prices
To see after in the event of a problem how it goes.
Second Motorcycle insured Green Motorcycle Insurance.
")</f>
        <v>Simple fast and efficient and more than correct prices
To see after in the event of a problem how it goes.
Second Motorcycle insured Green Motorcycle Insurance.
</v>
      </c>
    </row>
    <row r="676" ht="15.75" customHeight="1">
      <c r="A676" s="2">
        <v>3.0</v>
      </c>
      <c r="B676" s="2" t="s">
        <v>1937</v>
      </c>
      <c r="C676" s="2" t="s">
        <v>1938</v>
      </c>
      <c r="D676" s="2" t="s">
        <v>13</v>
      </c>
      <c r="E676" s="2" t="s">
        <v>14</v>
      </c>
      <c r="F676" s="2" t="s">
        <v>15</v>
      </c>
      <c r="G676" s="2" t="s">
        <v>1939</v>
      </c>
      <c r="H676" s="2" t="s">
        <v>300</v>
      </c>
      <c r="I676" s="2" t="str">
        <f>IFERROR(__xludf.DUMMYFUNCTION("GOOGLETRANSLATE(C676,""fr"",""en"")"),"I moved to a city and a much more secure place than the previous address but I had a unpleasant surprise my subscription increased, in the end I understood, it is enough to change address for direct insurance Take advantage of the opportunity to increase "&amp;"the price and she doesn't give a damn if the car in a well -secured or not place. No cordially.")</f>
        <v>I moved to a city and a much more secure place than the previous address but I had a unpleasant surprise my subscription increased, in the end I understood, it is enough to change address for direct insurance Take advantage of the opportunity to increase the price and she doesn't give a damn if the car in a well -secured or not place. No cordially.</v>
      </c>
    </row>
    <row r="677" ht="15.75" customHeight="1">
      <c r="A677" s="2">
        <v>1.0</v>
      </c>
      <c r="B677" s="2" t="s">
        <v>1940</v>
      </c>
      <c r="C677" s="2" t="s">
        <v>1941</v>
      </c>
      <c r="D677" s="2" t="s">
        <v>341</v>
      </c>
      <c r="E677" s="2" t="s">
        <v>14</v>
      </c>
      <c r="F677" s="2" t="s">
        <v>15</v>
      </c>
      <c r="G677" s="2" t="s">
        <v>1942</v>
      </c>
      <c r="H677" s="2" t="s">
        <v>906</v>
      </c>
      <c r="I677" s="2" t="str">
        <f>IFERROR(__xludf.DUMMYFUNCTION("GOOGLETRANSLATE(C677,""fr"",""en"")"),"As long as you pay your bonus without asking for anything in return, everything is fine. Have a period without luck (4 claims including 1 alone responsible) for one year and Maaf throws you outside!")</f>
        <v>As long as you pay your bonus without asking for anything in return, everything is fine. Have a period without luck (4 claims including 1 alone responsible) for one year and Maaf throws you outside!</v>
      </c>
    </row>
    <row r="678" ht="15.75" customHeight="1">
      <c r="A678" s="2">
        <v>1.0</v>
      </c>
      <c r="B678" s="2" t="s">
        <v>1943</v>
      </c>
      <c r="C678" s="2" t="s">
        <v>1944</v>
      </c>
      <c r="D678" s="2" t="s">
        <v>13</v>
      </c>
      <c r="E678" s="2" t="s">
        <v>14</v>
      </c>
      <c r="F678" s="2" t="s">
        <v>15</v>
      </c>
      <c r="G678" s="2" t="s">
        <v>270</v>
      </c>
      <c r="H678" s="2" t="s">
        <v>270</v>
      </c>
      <c r="I678" s="2" t="str">
        <f>IFERROR(__xludf.DUMMYFUNCTION("GOOGLETRANSLATE(C678,""fr"",""en"")"),"
 Direct Insurance it's really a disaster
No follow -up no response or it is precise to us and the opposite is done.
I have a bonus 50 for 20 years and according to their conditions during an accident there is no penalty application
Two years ago I go"&amp;"t my car hanging up with a person who fled but I was able to get his identity after the gendarmerie complaint
I was surprised two years after knowing that Direct Insurance had never appealed my frankness has never been reimbursed
By bad luck I hung my c"&amp;"ar six months ago small damage on the door
I declared a direct insurance by asking if it was worth the blow they intervene
It was specified to me that it did not pose a problem but that I will pay the franchise and no impact on the penalty
But I receiv"&amp;"ed my insurance subscription which goes from 780 to 1214.00 euros
I managed to exchange on the phone and it was specified to me that a refund was going to be made that there was an error
Two months later I still had nothing
I made eight emails without "&amp;"any answer
I sent to February 2019 a recommended letter putting in notice to review my subscription and my bonus level according to the conditions on which this company had engaged
I did not have any answer
I sent again a recommended letter two months "&amp;"ago and still no answer
And again a registered letter three weeks ago they accused me receipt by saying that they were going to give an answer and nothing
I find it ashamed my contribution having almost double
It is easy to hang customers to the start "&amp;"with interesting conditions and after no longer monitoring or reviewing the bonus conditions according to their commitment
I therefore strongly denote this company.
It is a big deception
No follow -up, they do not take care of your file, never an answe"&amp;"r
Run away")</f>
        <v>
 Direct Insurance it's really a disaster
No follow -up no response or it is precise to us and the opposite is done.
I have a bonus 50 for 20 years and according to their conditions during an accident there is no penalty application
Two years ago I got my car hanging up with a person who fled but I was able to get his identity after the gendarmerie complaint
I was surprised two years after knowing that Direct Insurance had never appealed my frankness has never been reimbursed
By bad luck I hung my car six months ago small damage on the door
I declared a direct insurance by asking if it was worth the blow they intervene
It was specified to me that it did not pose a problem but that I will pay the franchise and no impact on the penalty
But I received my insurance subscription which goes from 780 to 1214.00 euros
I managed to exchange on the phone and it was specified to me that a refund was going to be made that there was an error
Two months later I still had nothing
I made eight emails without any answer
I sent to February 2019 a recommended letter putting in notice to review my subscription and my bonus level according to the conditions on which this company had engaged
I did not have any answer
I sent again a recommended letter two months ago and still no answer
And again a registered letter three weeks ago they accused me receipt by saying that they were going to give an answer and nothing
I find it ashamed my contribution having almost double
It is easy to hang customers to the start with interesting conditions and after no longer monitoring or reviewing the bonus conditions according to their commitment
I therefore strongly denote this company.
It is a big deception
No follow -up, they do not take care of your file, never an answer
Run away</v>
      </c>
    </row>
    <row r="679" ht="15.75" customHeight="1">
      <c r="A679" s="2">
        <v>1.0</v>
      </c>
      <c r="B679" s="2" t="s">
        <v>1945</v>
      </c>
      <c r="C679" s="2" t="s">
        <v>1946</v>
      </c>
      <c r="D679" s="2" t="s">
        <v>397</v>
      </c>
      <c r="E679" s="2" t="s">
        <v>322</v>
      </c>
      <c r="F679" s="2" t="s">
        <v>15</v>
      </c>
      <c r="G679" s="2" t="s">
        <v>1947</v>
      </c>
      <c r="H679" s="2" t="s">
        <v>155</v>
      </c>
      <c r="I679" s="2" t="str">
        <f>IFERROR(__xludf.DUMMYFUNCTION("GOOGLETRANSLATE(C679,""fr"",""en"")"),"Life insurance to flee. Catastrophic performances since 2015! Yield of 1% in 5 years! Arbitrations not to finish it, necessarily with costs of 1%. And now an endless expectation for the return of funds following a total buyout! E-mail, however sent by Swi"&amp;"sslife mentioning a period of approximately 15 days for the buyout. We are now at 5 weeks and still nothing !!! A zero pointed!")</f>
        <v>Life insurance to flee. Catastrophic performances since 2015! Yield of 1% in 5 years! Arbitrations not to finish it, necessarily with costs of 1%. And now an endless expectation for the return of funds following a total buyout! E-mail, however sent by Swisslife mentioning a period of approximately 15 days for the buyout. We are now at 5 weeks and still nothing !!! A zero pointed!</v>
      </c>
    </row>
    <row r="680" ht="15.75" customHeight="1">
      <c r="A680" s="2">
        <v>2.0</v>
      </c>
      <c r="B680" s="2" t="s">
        <v>1948</v>
      </c>
      <c r="C680" s="2" t="s">
        <v>1949</v>
      </c>
      <c r="D680" s="2" t="s">
        <v>196</v>
      </c>
      <c r="E680" s="2" t="s">
        <v>14</v>
      </c>
      <c r="F680" s="2" t="s">
        <v>15</v>
      </c>
      <c r="G680" s="2" t="s">
        <v>1950</v>
      </c>
      <c r="H680" s="2" t="s">
        <v>201</v>
      </c>
      <c r="I680" s="2" t="str">
        <f>IFERROR(__xludf.DUMMYFUNCTION("GOOGLETRANSLATE(C680,""fr"",""en"")"),"A member for more than 20 years without liable claims, I had the misfortune to have had a traffic accident on 20/05 (50/50).
I did not expect such an obstacle course for compensation for my repairs (€ 4,500).
Vehicle deposited on 08/06 after experti"&amp;"se, repaired on 06/18.
After sending Rouen to the sale of the sale of a debt (sending by registered mail with AR because they do not want a fax or email), they tell me
that the file is at the Compta and Processing Service in progress.
On 17/07, not"&amp;" seeing anything coming, I go to the agency and call them: they have nothing to recover (while I have a copy of the AR).
The time passing (we are on 07/23), I go to concession and we call the platform: we have not received the invoice !!!
The dealer w"&amp;"ants to fax it but send by imperative mail (which they will not obviously receive).
In fact, we understood that the concession not being approved by them, they drag the file.
I therefore go to the agency which transmits the invoice digitally.
So I "&amp;"would go back next week and I am sure that something will still be missing.
I asked if they made a commercial gesture given my seniority, I was answered negatively (by offering me a funeral provident contract):
truthful, they are not ashamed of anythi"&amp;"ng.
In short, I am always without vehicle by being taken every month.
The Matmut, she says (you speak!)")</f>
        <v>A member for more than 20 years without liable claims, I had the misfortune to have had a traffic accident on 20/05 (50/50).
I did not expect such an obstacle course for compensation for my repairs (€ 4,500).
Vehicle deposited on 08/06 after expertise, repaired on 06/18.
After sending Rouen to the sale of the sale of a debt (sending by registered mail with AR because they do not want a fax or email), they tell me
that the file is at the Compta and Processing Service in progress.
On 17/07, not seeing anything coming, I go to the agency and call them: they have nothing to recover (while I have a copy of the AR).
The time passing (we are on 07/23), I go to concession and we call the platform: we have not received the invoice !!!
The dealer wants to fax it but send by imperative mail (which they will not obviously receive).
In fact, we understood that the concession not being approved by them, they drag the file.
I therefore go to the agency which transmits the invoice digitally.
So I would go back next week and I am sure that something will still be missing.
I asked if they made a commercial gesture given my seniority, I was answered negatively (by offering me a funeral provident contract):
truthful, they are not ashamed of anything.
In short, I am always without vehicle by being taken every month.
The Matmut, she says (you speak!)</v>
      </c>
    </row>
    <row r="681" ht="15.75" customHeight="1">
      <c r="A681" s="2">
        <v>5.0</v>
      </c>
      <c r="B681" s="2" t="s">
        <v>1951</v>
      </c>
      <c r="C681" s="2" t="s">
        <v>1952</v>
      </c>
      <c r="D681" s="2" t="s">
        <v>47</v>
      </c>
      <c r="E681" s="2" t="s">
        <v>14</v>
      </c>
      <c r="F681" s="2" t="s">
        <v>15</v>
      </c>
      <c r="G681" s="2" t="s">
        <v>1953</v>
      </c>
      <c r="H681" s="2" t="s">
        <v>60</v>
      </c>
      <c r="I681" s="2" t="str">
        <f>IFERROR(__xludf.DUMMYFUNCTION("GOOGLETRANSLATE(C681,""fr"",""en"")"),"I am very satisfied with the insurance olive tree. From the online quote request to the telephone call with Maxime de Lille and the finalization of my contract, everything was professional, clear and fast. Maxime, very friendly and effective guided me per"&amp;"fectly for the establishment of my first car insurance contract while answering all my questions. I recommand it !")</f>
        <v>I am very satisfied with the insurance olive tree. From the online quote request to the telephone call with Maxime de Lille and the finalization of my contract, everything was professional, clear and fast. Maxime, very friendly and effective guided me perfectly for the establishment of my first car insurance contract while answering all my questions. I recommand it !</v>
      </c>
    </row>
    <row r="682" ht="15.75" customHeight="1">
      <c r="A682" s="2">
        <v>4.0</v>
      </c>
      <c r="B682" s="2" t="s">
        <v>1954</v>
      </c>
      <c r="C682" s="2" t="s">
        <v>1955</v>
      </c>
      <c r="D682" s="2" t="s">
        <v>223</v>
      </c>
      <c r="E682" s="2" t="s">
        <v>77</v>
      </c>
      <c r="F682" s="2" t="s">
        <v>15</v>
      </c>
      <c r="G682" s="2" t="s">
        <v>1956</v>
      </c>
      <c r="H682" s="2" t="s">
        <v>1643</v>
      </c>
      <c r="I682" s="2" t="str">
        <f>IFERROR(__xludf.DUMMYFUNCTION("GOOGLETRANSLATE(C682,""fr"",""en"")"),"Following the disaster from to the temperature I made the declaration to
Pacifica who reacted very quickly.
Customer service is very effective, listening to the insured,
Thanks to Stéphanie who was my interlocutor.
")</f>
        <v>Following the disaster from to the temperature I made the declaration to
Pacifica who reacted very quickly.
Customer service is very effective, listening to the insured,
Thanks to Stéphanie who was my interlocutor.
</v>
      </c>
    </row>
    <row r="683" ht="15.75" customHeight="1">
      <c r="A683" s="2">
        <v>1.0</v>
      </c>
      <c r="B683" s="2" t="s">
        <v>1957</v>
      </c>
      <c r="C683" s="2" t="s">
        <v>1958</v>
      </c>
      <c r="D683" s="2" t="s">
        <v>133</v>
      </c>
      <c r="E683" s="2" t="s">
        <v>14</v>
      </c>
      <c r="F683" s="2" t="s">
        <v>15</v>
      </c>
      <c r="G683" s="2" t="s">
        <v>108</v>
      </c>
      <c r="H683" s="2" t="s">
        <v>87</v>
      </c>
      <c r="I683" s="2" t="str">
        <f>IFERROR(__xludf.DUMMYFUNCTION("GOOGLETRANSLATE(C683,""fr"",""en"")"),"Insurer too expensive by car, home and complementary retirement poorly managed, consequently, not to advise, he must study more closely their services to be an interesting player.")</f>
        <v>Insurer too expensive by car, home and complementary retirement poorly managed, consequently, not to advise, he must study more closely their services to be an interesting player.</v>
      </c>
    </row>
    <row r="684" ht="15.75" customHeight="1">
      <c r="A684" s="2">
        <v>5.0</v>
      </c>
      <c r="B684" s="2" t="s">
        <v>1959</v>
      </c>
      <c r="C684" s="2" t="s">
        <v>1960</v>
      </c>
      <c r="D684" s="2" t="s">
        <v>13</v>
      </c>
      <c r="E684" s="2" t="s">
        <v>14</v>
      </c>
      <c r="F684" s="2" t="s">
        <v>15</v>
      </c>
      <c r="G684" s="2" t="s">
        <v>1116</v>
      </c>
      <c r="H684" s="2" t="s">
        <v>17</v>
      </c>
      <c r="I684" s="2" t="str">
        <f>IFERROR(__xludf.DUMMYFUNCTION("GOOGLETRANSLATE(C684,""fr"",""en"")"),"Interesting coverage and attractive price, flexibility sponsorship offer management of the contract possibility to do the necessary online and reactivity of the call center")</f>
        <v>Interesting coverage and attractive price, flexibility sponsorship offer management of the contract possibility to do the necessary online and reactivity of the call center</v>
      </c>
    </row>
    <row r="685" ht="15.75" customHeight="1">
      <c r="A685" s="2">
        <v>2.0</v>
      </c>
      <c r="B685" s="2" t="s">
        <v>1961</v>
      </c>
      <c r="C685" s="2" t="s">
        <v>1962</v>
      </c>
      <c r="D685" s="2" t="s">
        <v>397</v>
      </c>
      <c r="E685" s="2" t="s">
        <v>138</v>
      </c>
      <c r="F685" s="2" t="s">
        <v>15</v>
      </c>
      <c r="G685" s="2" t="s">
        <v>942</v>
      </c>
      <c r="H685" s="2" t="s">
        <v>91</v>
      </c>
      <c r="I685" s="2" t="str">
        <f>IFERROR(__xludf.DUMMYFUNCTION("GOOGLETRANSLATE(C685,""fr"",""en"")"),"Currently pregnant I have applied for care for a judgment linked to the coronavirus since professional health therefore in close contact with people.
After a month and a half of silence the only answer that I have been given is a refusal to take care bec"&amp;"ause it does not enter into a pathological pregnancy. However, the declared judgment has nothing to do with pathological pregnancy
This is not the first time that I have encountered problems to be compensated at Swisslife
There followed long approaches "&amp;"to complaints (written and oral) making us waste time, patience and putting us in psychological and budgetary anxiety. While during the subscription it is stipulated that the contract ""allows you to protect yourself as well as your family, in the event o"&amp;"f death or work stoppage"" on page 6 of the information notice. This is not the case ... The only proposed protection is the protection of their capital and not of the person subscribing to a contract.
I will never recommend anyone to take a contract fro"&amp;"m Swisslife ...
What is an insurer? A person offering you an umbrella when the weather is nice. It characterizes you so much ...")</f>
        <v>Currently pregnant I have applied for care for a judgment linked to the coronavirus since professional health therefore in close contact with people.
After a month and a half of silence the only answer that I have been given is a refusal to take care because it does not enter into a pathological pregnancy. However, the declared judgment has nothing to do with pathological pregnancy
This is not the first time that I have encountered problems to be compensated at Swisslife
There followed long approaches to complaints (written and oral) making us waste time, patience and putting us in psychological and budgetary anxiety. While during the subscription it is stipulated that the contract "allows you to protect yourself as well as your family, in the event of death or work stoppage" on page 6 of the information notice. This is not the case ... The only proposed protection is the protection of their capital and not of the person subscribing to a contract.
I will never recommend anyone to take a contract from Swisslife ...
What is an insurer? A person offering you an umbrella when the weather is nice. It characterizes you so much ...</v>
      </c>
    </row>
    <row r="686" ht="15.75" customHeight="1">
      <c r="A686" s="2">
        <v>5.0</v>
      </c>
      <c r="B686" s="2" t="s">
        <v>1963</v>
      </c>
      <c r="C686" s="2" t="s">
        <v>1964</v>
      </c>
      <c r="D686" s="2" t="s">
        <v>47</v>
      </c>
      <c r="E686" s="2" t="s">
        <v>14</v>
      </c>
      <c r="F686" s="2" t="s">
        <v>15</v>
      </c>
      <c r="G686" s="2" t="s">
        <v>1965</v>
      </c>
      <c r="H686" s="2" t="s">
        <v>23</v>
      </c>
      <c r="I686" s="2" t="str">
        <f>IFERROR(__xludf.DUMMYFUNCTION("GOOGLETRANSLATE(C686,""fr"",""en"")"),"Nothing to say, since I was with this insurance, I have never been disappointed")</f>
        <v>Nothing to say, since I was with this insurance, I have never been disappointed</v>
      </c>
    </row>
    <row r="687" ht="15.75" customHeight="1">
      <c r="A687" s="2">
        <v>3.0</v>
      </c>
      <c r="B687" s="2" t="s">
        <v>1966</v>
      </c>
      <c r="C687" s="2" t="s">
        <v>1967</v>
      </c>
      <c r="D687" s="2" t="s">
        <v>13</v>
      </c>
      <c r="E687" s="2" t="s">
        <v>14</v>
      </c>
      <c r="F687" s="2" t="s">
        <v>15</v>
      </c>
      <c r="G687" s="2" t="s">
        <v>1968</v>
      </c>
      <c r="H687" s="2" t="s">
        <v>87</v>
      </c>
      <c r="I687" s="2" t="str">
        <f>IFERROR(__xludf.DUMMYFUNCTION("GOOGLETRANSLATE(C687,""fr"",""en"")"),"Impression of being balladed between the services, to start telling your life with each and as soon as we specify the dates we are told that it is more expensive ...
Not really the impression of being a loyal")</f>
        <v>Impression of being balladed between the services, to start telling your life with each and as soon as we specify the dates we are told that it is more expensive ...
Not really the impression of being a loyal</v>
      </c>
    </row>
    <row r="688" ht="15.75" customHeight="1">
      <c r="A688" s="2">
        <v>5.0</v>
      </c>
      <c r="B688" s="2" t="s">
        <v>1969</v>
      </c>
      <c r="C688" s="2" t="s">
        <v>1970</v>
      </c>
      <c r="D688" s="2" t="s">
        <v>97</v>
      </c>
      <c r="E688" s="2" t="s">
        <v>43</v>
      </c>
      <c r="F688" s="2" t="s">
        <v>15</v>
      </c>
      <c r="G688" s="2" t="s">
        <v>99</v>
      </c>
      <c r="H688" s="2" t="s">
        <v>99</v>
      </c>
      <c r="I688" s="2" t="str">
        <f>IFERROR(__xludf.DUMMYFUNCTION("GOOGLETRANSLATE(C688,""fr"",""en"")"),"Satisfied very happy to find the insurance very easy to use.
Satisfied very happy to find the insurance very easy to use
")</f>
        <v>Satisfied very happy to find the insurance very easy to use.
Satisfied very happy to find the insurance very easy to use
</v>
      </c>
    </row>
    <row r="689" ht="15.75" customHeight="1">
      <c r="A689" s="2">
        <v>4.0</v>
      </c>
      <c r="B689" s="2" t="s">
        <v>1971</v>
      </c>
      <c r="C689" s="2" t="s">
        <v>1972</v>
      </c>
      <c r="D689" s="2" t="s">
        <v>42</v>
      </c>
      <c r="E689" s="2" t="s">
        <v>43</v>
      </c>
      <c r="F689" s="2" t="s">
        <v>15</v>
      </c>
      <c r="G689" s="2" t="s">
        <v>556</v>
      </c>
      <c r="H689" s="2" t="s">
        <v>69</v>
      </c>
      <c r="I689" s="2" t="str">
        <f>IFERROR(__xludf.DUMMYFUNCTION("GOOGLETRANSLATE(C689,""fr"",""en"")"),"Still particularly very satisfied with the quality of the AMV telephone reception, advice and support for ""the operator""
Cordially")</f>
        <v>Still particularly very satisfied with the quality of the AMV telephone reception, advice and support for "the operator"
Cordially</v>
      </c>
    </row>
    <row r="690" ht="15.75" customHeight="1">
      <c r="A690" s="2">
        <v>3.0</v>
      </c>
      <c r="B690" s="2" t="s">
        <v>1973</v>
      </c>
      <c r="C690" s="2" t="s">
        <v>1974</v>
      </c>
      <c r="D690" s="2" t="s">
        <v>47</v>
      </c>
      <c r="E690" s="2" t="s">
        <v>14</v>
      </c>
      <c r="F690" s="2" t="s">
        <v>15</v>
      </c>
      <c r="G690" s="2" t="s">
        <v>440</v>
      </c>
      <c r="H690" s="2" t="s">
        <v>99</v>
      </c>
      <c r="I690" s="2" t="str">
        <f>IFERROR(__xludf.DUMMYFUNCTION("GOOGLETRANSLATE(C690,""fr"",""en"")"),"I am satisfied with the attractive prices but the advisor explained to me the deposit (which in the end is not really one) at the exorbitant price. Fortunately the following advisor was much clearer and precise in her explanations")</f>
        <v>I am satisfied with the attractive prices but the advisor explained to me the deposit (which in the end is not really one) at the exorbitant price. Fortunately the following advisor was much clearer and precise in her explanations</v>
      </c>
    </row>
    <row r="691" ht="15.75" customHeight="1">
      <c r="A691" s="2">
        <v>1.0</v>
      </c>
      <c r="B691" s="2" t="s">
        <v>1975</v>
      </c>
      <c r="C691" s="2" t="s">
        <v>1976</v>
      </c>
      <c r="D691" s="2" t="s">
        <v>243</v>
      </c>
      <c r="E691" s="2" t="s">
        <v>77</v>
      </c>
      <c r="F691" s="2" t="s">
        <v>15</v>
      </c>
      <c r="G691" s="2" t="s">
        <v>1977</v>
      </c>
      <c r="H691" s="2" t="s">
        <v>91</v>
      </c>
      <c r="I691" s="2" t="str">
        <f>IFERROR(__xludf.DUMMYFUNCTION("GOOGLETRANSLATE(C691,""fr"",""en"")"),"Refuses a quote and asks the insured to make another opinion ... try to charge the deductible several times on the same disaster. Unilateral fence a disaster ... am not the intervention of their technician ...")</f>
        <v>Refuses a quote and asks the insured to make another opinion ... try to charge the deductible several times on the same disaster. Unilateral fence a disaster ... am not the intervention of their technician ...</v>
      </c>
    </row>
    <row r="692" ht="15.75" customHeight="1">
      <c r="A692" s="2">
        <v>1.0</v>
      </c>
      <c r="B692" s="2" t="s">
        <v>1978</v>
      </c>
      <c r="C692" s="2" t="s">
        <v>1979</v>
      </c>
      <c r="D692" s="2" t="s">
        <v>133</v>
      </c>
      <c r="E692" s="2" t="s">
        <v>14</v>
      </c>
      <c r="F692" s="2" t="s">
        <v>15</v>
      </c>
      <c r="G692" s="2" t="s">
        <v>1276</v>
      </c>
      <c r="H692" s="2" t="s">
        <v>56</v>
      </c>
      <c r="I692" s="2" t="str">
        <f>IFERROR(__xludf.DUMMYFUNCTION("GOOGLETRANSLATE(C692,""fr"",""en"")"),"Allianz continues to collect 2 contracts terminated within the framework of the Hamon law and this despite my various reminders, I strongly advise against this not very serious insurer")</f>
        <v>Allianz continues to collect 2 contracts terminated within the framework of the Hamon law and this despite my various reminders, I strongly advise against this not very serious insurer</v>
      </c>
    </row>
    <row r="693" ht="15.75" customHeight="1">
      <c r="A693" s="2">
        <v>5.0</v>
      </c>
      <c r="B693" s="2" t="s">
        <v>1980</v>
      </c>
      <c r="C693" s="2" t="s">
        <v>1981</v>
      </c>
      <c r="D693" s="2" t="s">
        <v>47</v>
      </c>
      <c r="E693" s="2" t="s">
        <v>14</v>
      </c>
      <c r="F693" s="2" t="s">
        <v>15</v>
      </c>
      <c r="G693" s="2" t="s">
        <v>688</v>
      </c>
      <c r="H693" s="2" t="s">
        <v>60</v>
      </c>
      <c r="I693" s="2" t="str">
        <f>IFERROR(__xludf.DUMMYFUNCTION("GOOGLETRANSLATE(C693,""fr"",""en"")"),"Satisfied: welcome, advice, nickel prices
PRICE PRICE PRIP is the best compared to competition. To follow therefore. Easy to sign contract")</f>
        <v>Satisfied: welcome, advice, nickel prices
PRICE PRICE PRIP is the best compared to competition. To follow therefore. Easy to sign contract</v>
      </c>
    </row>
    <row r="694" ht="15.75" customHeight="1">
      <c r="A694" s="2">
        <v>4.0</v>
      </c>
      <c r="B694" s="2" t="s">
        <v>1982</v>
      </c>
      <c r="C694" s="2" t="s">
        <v>1983</v>
      </c>
      <c r="D694" s="2" t="s">
        <v>13</v>
      </c>
      <c r="E694" s="2" t="s">
        <v>14</v>
      </c>
      <c r="F694" s="2" t="s">
        <v>15</v>
      </c>
      <c r="G694" s="2" t="s">
        <v>1984</v>
      </c>
      <c r="H694" s="2" t="s">
        <v>201</v>
      </c>
      <c r="I694" s="2" t="str">
        <f>IFERROR(__xludf.DUMMYFUNCTION("GOOGLETRANSLATE(C694,""fr"",""en"")"),"hello I am satisfied with the quote that was made this evening on Monday July twenty twenty thank you for removing us cordially")</f>
        <v>hello I am satisfied with the quote that was made this evening on Monday July twenty twenty thank you for removing us cordially</v>
      </c>
    </row>
    <row r="695" ht="15.75" customHeight="1">
      <c r="A695" s="2">
        <v>2.0</v>
      </c>
      <c r="B695" s="2" t="s">
        <v>1985</v>
      </c>
      <c r="C695" s="2" t="s">
        <v>1986</v>
      </c>
      <c r="D695" s="2" t="s">
        <v>13</v>
      </c>
      <c r="E695" s="2" t="s">
        <v>14</v>
      </c>
      <c r="F695" s="2" t="s">
        <v>15</v>
      </c>
      <c r="G695" s="2" t="s">
        <v>87</v>
      </c>
      <c r="H695" s="2" t="s">
        <v>87</v>
      </c>
      <c r="I695" s="2" t="str">
        <f>IFERROR(__xludf.DUMMYFUNCTION("GOOGLETRANSLATE(C695,""fr"",""en"")"),"I am satisfied with the service.
The price is increasing while no claims and a bonus that increases, I have never seen that! I would like to have explanations, thank you.")</f>
        <v>I am satisfied with the service.
The price is increasing while no claims and a bonus that increases, I have never seen that! I would like to have explanations, thank you.</v>
      </c>
    </row>
    <row r="696" ht="15.75" customHeight="1">
      <c r="A696" s="2">
        <v>4.0</v>
      </c>
      <c r="B696" s="2" t="s">
        <v>1987</v>
      </c>
      <c r="C696" s="2" t="s">
        <v>1988</v>
      </c>
      <c r="D696" s="2" t="s">
        <v>26</v>
      </c>
      <c r="E696" s="2" t="s">
        <v>14</v>
      </c>
      <c r="F696" s="2" t="s">
        <v>15</v>
      </c>
      <c r="G696" s="2" t="s">
        <v>1989</v>
      </c>
      <c r="H696" s="2" t="s">
        <v>585</v>
      </c>
      <c r="I696" s="2" t="str">
        <f>IFERROR(__xludf.DUMMYFUNCTION("GOOGLETRANSLATE(C696,""fr"",""en"")"),"I have been a member for 45 years I think it is for ""car"" insurance and also ""housing"". I never had to complain but it is true that I have been maximum bonus for a long time (I hope it will not be bad to express myself like this!)")</f>
        <v>I have been a member for 45 years I think it is for "car" insurance and also "housing". I never had to complain but it is true that I have been maximum bonus for a long time (I hope it will not be bad to express myself like this!)</v>
      </c>
    </row>
    <row r="697" ht="15.75" customHeight="1">
      <c r="A697" s="2">
        <v>2.0</v>
      </c>
      <c r="B697" s="2" t="s">
        <v>1990</v>
      </c>
      <c r="C697" s="2" t="s">
        <v>1991</v>
      </c>
      <c r="D697" s="2" t="s">
        <v>13</v>
      </c>
      <c r="E697" s="2" t="s">
        <v>14</v>
      </c>
      <c r="F697" s="2" t="s">
        <v>15</v>
      </c>
      <c r="G697" s="2" t="s">
        <v>230</v>
      </c>
      <c r="H697" s="2" t="s">
        <v>181</v>
      </c>
      <c r="I697" s="2" t="str">
        <f>IFERROR(__xludf.DUMMYFUNCTION("GOOGLETRANSLATE(C697,""fr"",""en"")"),"I would like to give zero stars for satisfaction but impossible. What awful business, if you like sadomasochism you have to register for Direct Insurance. They do not listen to customers, they do not answer your questions, they bombed you, terrorize with "&amp;"false, bizarre, confused, contradictory, stupid emails. They are only interested in your money. Incompetence and flexible as a concrete block.")</f>
        <v>I would like to give zero stars for satisfaction but impossible. What awful business, if you like sadomasochism you have to register for Direct Insurance. They do not listen to customers, they do not answer your questions, they bombed you, terrorize with false, bizarre, confused, contradictory, stupid emails. They are only interested in your money. Incompetence and flexible as a concrete block.</v>
      </c>
    </row>
    <row r="698" ht="15.75" customHeight="1">
      <c r="A698" s="2">
        <v>2.0</v>
      </c>
      <c r="B698" s="2" t="s">
        <v>1992</v>
      </c>
      <c r="C698" s="2" t="s">
        <v>1993</v>
      </c>
      <c r="D698" s="2" t="s">
        <v>47</v>
      </c>
      <c r="E698" s="2" t="s">
        <v>14</v>
      </c>
      <c r="F698" s="2" t="s">
        <v>15</v>
      </c>
      <c r="G698" s="2" t="s">
        <v>1081</v>
      </c>
      <c r="H698" s="2" t="s">
        <v>17</v>
      </c>
      <c r="I698" s="2" t="str">
        <f>IFERROR(__xludf.DUMMYFUNCTION("GOOGLETRANSLATE(C698,""fr"",""en"")"),"Between quote and payment, increase of almost 10%. Promo code does not work!
Bad initial impression. What will he be in the event of a dispute? Not too reassured.")</f>
        <v>Between quote and payment, increase of almost 10%. Promo code does not work!
Bad initial impression. What will he be in the event of a dispute? Not too reassured.</v>
      </c>
    </row>
    <row r="699" ht="15.75" customHeight="1">
      <c r="A699" s="2">
        <v>5.0</v>
      </c>
      <c r="B699" s="2" t="s">
        <v>1994</v>
      </c>
      <c r="C699" s="2" t="s">
        <v>1995</v>
      </c>
      <c r="D699" s="2" t="s">
        <v>47</v>
      </c>
      <c r="E699" s="2" t="s">
        <v>14</v>
      </c>
      <c r="F699" s="2" t="s">
        <v>15</v>
      </c>
      <c r="G699" s="2" t="s">
        <v>612</v>
      </c>
      <c r="H699" s="2" t="s">
        <v>17</v>
      </c>
      <c r="I699" s="2" t="str">
        <f>IFERROR(__xludf.DUMMYFUNCTION("GOOGLETRANSLATE(C699,""fr"",""en"")"),"perfect. Reactive and very friendly team. Competitive rates. I recommend. sponsorship allows you to benefit from 50 euros for each customer provided")</f>
        <v>perfect. Reactive and very friendly team. Competitive rates. I recommend. sponsorship allows you to benefit from 50 euros for each customer provided</v>
      </c>
    </row>
    <row r="700" ht="15.75" customHeight="1">
      <c r="A700" s="2">
        <v>2.0</v>
      </c>
      <c r="B700" s="2" t="s">
        <v>1996</v>
      </c>
      <c r="C700" s="2" t="s">
        <v>1997</v>
      </c>
      <c r="D700" s="2" t="s">
        <v>13</v>
      </c>
      <c r="E700" s="2" t="s">
        <v>14</v>
      </c>
      <c r="F700" s="2" t="s">
        <v>15</v>
      </c>
      <c r="G700" s="2" t="s">
        <v>920</v>
      </c>
      <c r="H700" s="2" t="s">
        <v>60</v>
      </c>
      <c r="I700" s="2" t="str">
        <f>IFERROR(__xludf.DUMMYFUNCTION("GOOGLETRANSLATE(C700,""fr"",""en"")"),"The prices are dear despite many people on my part who have become customers. Remember to reduce prices especially for first members
fast service")</f>
        <v>The prices are dear despite many people on my part who have become customers. Remember to reduce prices especially for first members
fast service</v>
      </c>
    </row>
    <row r="701" ht="15.75" customHeight="1">
      <c r="A701" s="2">
        <v>5.0</v>
      </c>
      <c r="B701" s="2" t="s">
        <v>1998</v>
      </c>
      <c r="C701" s="2" t="s">
        <v>1999</v>
      </c>
      <c r="D701" s="2" t="s">
        <v>47</v>
      </c>
      <c r="E701" s="2" t="s">
        <v>14</v>
      </c>
      <c r="F701" s="2" t="s">
        <v>15</v>
      </c>
      <c r="G701" s="2" t="s">
        <v>1245</v>
      </c>
      <c r="H701" s="2" t="s">
        <v>69</v>
      </c>
      <c r="I701" s="2" t="str">
        <f>IFERROR(__xludf.DUMMYFUNCTION("GOOGLETRANSLATE(C701,""fr"",""en"")"),"Hello,
Very satisfied with service and simplicity to ensure my vehicle. I recommend this site and think of ensuring my other vehicle in stride.")</f>
        <v>Hello,
Very satisfied with service and simplicity to ensure my vehicle. I recommend this site and think of ensuring my other vehicle in stride.</v>
      </c>
    </row>
    <row r="702" ht="15.75" customHeight="1">
      <c r="A702" s="2">
        <v>1.0</v>
      </c>
      <c r="B702" s="2" t="s">
        <v>2000</v>
      </c>
      <c r="C702" s="2" t="s">
        <v>2001</v>
      </c>
      <c r="D702" s="2" t="s">
        <v>781</v>
      </c>
      <c r="E702" s="2" t="s">
        <v>21</v>
      </c>
      <c r="F702" s="2" t="s">
        <v>15</v>
      </c>
      <c r="G702" s="2" t="s">
        <v>2002</v>
      </c>
      <c r="H702" s="2" t="s">
        <v>741</v>
      </c>
      <c r="I702" s="2" t="str">
        <f>IFERROR(__xludf.DUMMYFUNCTION("GOOGLETRANSLATE(C702,""fr"",""en"")"),"TO FLEE !!! Answer on the phone after 20 minutes if they answer !!
And when they answer, they bring no answers to our problems and hang up on the nose when they have in pond of you listening by making believe that they no longer hear you.
Nuuuul, go see"&amp;" elsewhere !!!")</f>
        <v>TO FLEE !!! Answer on the phone after 20 minutes if they answer !!
And when they answer, they bring no answers to our problems and hang up on the nose when they have in pond of you listening by making believe that they no longer hear you.
Nuuuul, go see elsewhere !!!</v>
      </c>
    </row>
    <row r="703" ht="15.75" customHeight="1">
      <c r="A703" s="2">
        <v>1.0</v>
      </c>
      <c r="B703" s="2" t="s">
        <v>2003</v>
      </c>
      <c r="C703" s="2" t="s">
        <v>2004</v>
      </c>
      <c r="D703" s="2" t="s">
        <v>781</v>
      </c>
      <c r="E703" s="2" t="s">
        <v>21</v>
      </c>
      <c r="F703" s="2" t="s">
        <v>15</v>
      </c>
      <c r="G703" s="2" t="s">
        <v>893</v>
      </c>
      <c r="H703" s="2" t="s">
        <v>87</v>
      </c>
      <c r="I703" s="2" t="str">
        <f>IFERROR(__xludf.DUMMYFUNCTION("GOOGLETRANSLATE(C703,""fr"",""en"")"),"No one I do not recommend delay in reimbursement. For months and always rewind the incompetent in this service. No response to email letters etc. ..")</f>
        <v>No one I do not recommend delay in reimbursement. For months and always rewind the incompetent in this service. No response to email letters etc. ..</v>
      </c>
    </row>
    <row r="704" ht="15.75" customHeight="1">
      <c r="A704" s="2">
        <v>5.0</v>
      </c>
      <c r="B704" s="2" t="s">
        <v>2005</v>
      </c>
      <c r="C704" s="2" t="s">
        <v>2006</v>
      </c>
      <c r="D704" s="2" t="s">
        <v>253</v>
      </c>
      <c r="E704" s="2" t="s">
        <v>21</v>
      </c>
      <c r="F704" s="2" t="s">
        <v>15</v>
      </c>
      <c r="G704" s="2" t="s">
        <v>2007</v>
      </c>
      <c r="H704" s="2" t="s">
        <v>294</v>
      </c>
      <c r="I704" s="2" t="str">
        <f>IFERROR(__xludf.DUMMYFUNCTION("GOOGLETRANSLATE(C704,""fr"",""en"")"),"Very good customer service The requests are well followed. Thank you Sara M. a friendly and concensious person. She responded very quickly to my request. I highly recommend this insurer.")</f>
        <v>Very good customer service The requests are well followed. Thank you Sara M. a friendly and concensious person. She responded very quickly to my request. I highly recommend this insurer.</v>
      </c>
    </row>
    <row r="705" ht="15.75" customHeight="1">
      <c r="A705" s="2">
        <v>2.0</v>
      </c>
      <c r="B705" s="2" t="s">
        <v>2008</v>
      </c>
      <c r="C705" s="2" t="s">
        <v>2009</v>
      </c>
      <c r="D705" s="2" t="s">
        <v>287</v>
      </c>
      <c r="E705" s="2" t="s">
        <v>14</v>
      </c>
      <c r="F705" s="2" t="s">
        <v>15</v>
      </c>
      <c r="G705" s="2" t="s">
        <v>2010</v>
      </c>
      <c r="H705" s="2" t="s">
        <v>585</v>
      </c>
      <c r="I705" s="2" t="str">
        <f>IFERROR(__xludf.DUMMYFUNCTION("GOOGLETRANSLATE(C705,""fr"",""en"")"),"1 Ice Broke, 1 non -responsible and 1 responsible without damage to others in 3 years. The Director Croix Rousse 69004 simply radiated me. Anger and disgust")</f>
        <v>1 Ice Broke, 1 non -responsible and 1 responsible without damage to others in 3 years. The Director Croix Rousse 69004 simply radiated me. Anger and disgust</v>
      </c>
    </row>
    <row r="706" ht="15.75" customHeight="1">
      <c r="A706" s="2">
        <v>1.0</v>
      </c>
      <c r="B706" s="2" t="s">
        <v>2011</v>
      </c>
      <c r="C706" s="2" t="s">
        <v>2012</v>
      </c>
      <c r="D706" s="2" t="s">
        <v>26</v>
      </c>
      <c r="E706" s="2" t="s">
        <v>14</v>
      </c>
      <c r="F706" s="2" t="s">
        <v>15</v>
      </c>
      <c r="G706" s="2" t="s">
        <v>685</v>
      </c>
      <c r="H706" s="2" t="s">
        <v>87</v>
      </c>
      <c r="I706" s="2" t="str">
        <f>IFERROR(__xludf.DUMMYFUNCTION("GOOGLETRANSLATE(C706,""fr"",""en"")"),"Billing of maturity costs never mentioned when signing my contract. The amount is not important but I have the impression that this insurance is not transparent ... Too bad!")</f>
        <v>Billing of maturity costs never mentioned when signing my contract. The amount is not important but I have the impression that this insurance is not transparent ... Too bad!</v>
      </c>
    </row>
    <row r="707" ht="15.75" customHeight="1">
      <c r="A707" s="2">
        <v>3.0</v>
      </c>
      <c r="B707" s="2" t="s">
        <v>2013</v>
      </c>
      <c r="C707" s="2" t="s">
        <v>2014</v>
      </c>
      <c r="D707" s="2" t="s">
        <v>287</v>
      </c>
      <c r="E707" s="2" t="s">
        <v>14</v>
      </c>
      <c r="F707" s="2" t="s">
        <v>15</v>
      </c>
      <c r="G707" s="2" t="s">
        <v>56</v>
      </c>
      <c r="H707" s="2" t="s">
        <v>56</v>
      </c>
      <c r="I707" s="2" t="str">
        <f>IFERROR(__xludf.DUMMYFUNCTION("GOOGLETRANSLATE(C707,""fr"",""en"")"),"School insurance is quite high but it is easier to have in the same place. Rather than sending the certificate by email, would it not be possible to edit and download it live?")</f>
        <v>School insurance is quite high but it is easier to have in the same place. Rather than sending the certificate by email, would it not be possible to edit and download it live?</v>
      </c>
    </row>
    <row r="708" ht="15.75" customHeight="1">
      <c r="A708" s="2">
        <v>4.0</v>
      </c>
      <c r="B708" s="2" t="s">
        <v>2015</v>
      </c>
      <c r="C708" s="2" t="s">
        <v>2016</v>
      </c>
      <c r="D708" s="2" t="s">
        <v>72</v>
      </c>
      <c r="E708" s="2" t="s">
        <v>21</v>
      </c>
      <c r="F708" s="2" t="s">
        <v>15</v>
      </c>
      <c r="G708" s="2" t="s">
        <v>2017</v>
      </c>
      <c r="H708" s="2" t="s">
        <v>343</v>
      </c>
      <c r="I708" s="2" t="str">
        <f>IFERROR(__xludf.DUMMYFUNCTION("GOOGLETRANSLATE(C708,""fr"",""en"")"),"Remarkable welcome by Emeline; great competence, and professionalism.
I also thank her for her diligence and kindness.
Bravo and thank you!")</f>
        <v>Remarkable welcome by Emeline; great competence, and professionalism.
I also thank her for her diligence and kindness.
Bravo and thank you!</v>
      </c>
    </row>
    <row r="709" ht="15.75" customHeight="1">
      <c r="A709" s="2">
        <v>3.0</v>
      </c>
      <c r="B709" s="2" t="s">
        <v>2018</v>
      </c>
      <c r="C709" s="2" t="s">
        <v>2019</v>
      </c>
      <c r="D709" s="2" t="s">
        <v>341</v>
      </c>
      <c r="E709" s="2" t="s">
        <v>14</v>
      </c>
      <c r="F709" s="2" t="s">
        <v>15</v>
      </c>
      <c r="G709" s="2" t="s">
        <v>2020</v>
      </c>
      <c r="H709" s="2" t="s">
        <v>578</v>
      </c>
      <c r="I709" s="2" t="str">
        <f>IFERROR(__xludf.DUMMYFUNCTION("GOOGLETRANSLATE(C709,""fr"",""en"")"),"Faithful customer for over 25 years; There will be no 26th! Following a non -responsible accident (victim of an offense), no action carried out to obtain a refund, no follow -up of the case (it is I who announces to them hearings in the court, ..); And to"&amp;" nail everything: non -reimbursement of the sums due in accordance with the contract. Insured to the third party, the words of the MAAF: ""You only had to make sure you all risk !!"" How not to get out of his hinges ...!")</f>
        <v>Faithful customer for over 25 years; There will be no 26th! Following a non -responsible accident (victim of an offense), no action carried out to obtain a refund, no follow -up of the case (it is I who announces to them hearings in the court, ..); And to nail everything: non -reimbursement of the sums due in accordance with the contract. Insured to the third party, the words of the MAAF: "You only had to make sure you all risk !!" How not to get out of his hinges ...!</v>
      </c>
    </row>
    <row r="710" ht="15.75" customHeight="1">
      <c r="A710" s="2">
        <v>2.0</v>
      </c>
      <c r="B710" s="2" t="s">
        <v>2021</v>
      </c>
      <c r="C710" s="2" t="s">
        <v>2022</v>
      </c>
      <c r="D710" s="2" t="s">
        <v>13</v>
      </c>
      <c r="E710" s="2" t="s">
        <v>14</v>
      </c>
      <c r="F710" s="2" t="s">
        <v>15</v>
      </c>
      <c r="G710" s="2" t="s">
        <v>2023</v>
      </c>
      <c r="H710" s="2" t="s">
        <v>805</v>
      </c>
      <c r="I710" s="2" t="str">
        <f>IFERROR(__xludf.DUMMYFUNCTION("GOOGLETRANSLATE(C710,""fr"",""en"")"),"I've been waiting for me for 15 days !!! Despite already 4 telephone appointments, still no news and the people who respond to the telephone central are absolutely unable to say something other than: ""sorry madam, but I can't do anything for you, someone"&amp;" will remind you tomorrow, without fault""
I don't even dare to imagine the hunges in the event of a disaster. The attractive price that makes you choose these incapacitated is the only commercial thing at home.
I will have to sell my car because I cann"&amp;"ot pay all the insurance for the year, and can, either, split the payment. With the money of the sale, I will buy another and can then make sure wherever I see, asking the monthly payment")</f>
        <v>I've been waiting for me for 15 days !!! Despite already 4 telephone appointments, still no news and the people who respond to the telephone central are absolutely unable to say something other than: "sorry madam, but I can't do anything for you, someone will remind you tomorrow, without fault"
I don't even dare to imagine the hunges in the event of a disaster. The attractive price that makes you choose these incapacitated is the only commercial thing at home.
I will have to sell my car because I cannot pay all the insurance for the year, and can, either, split the payment. With the money of the sale, I will buy another and can then make sure wherever I see, asking the monthly payment</v>
      </c>
    </row>
    <row r="711" ht="15.75" customHeight="1">
      <c r="A711" s="2">
        <v>5.0</v>
      </c>
      <c r="B711" s="2" t="s">
        <v>2024</v>
      </c>
      <c r="C711" s="2" t="s">
        <v>2025</v>
      </c>
      <c r="D711" s="2" t="s">
        <v>13</v>
      </c>
      <c r="E711" s="2" t="s">
        <v>14</v>
      </c>
      <c r="F711" s="2" t="s">
        <v>15</v>
      </c>
      <c r="G711" s="2" t="s">
        <v>516</v>
      </c>
      <c r="H711" s="2" t="s">
        <v>60</v>
      </c>
      <c r="I711" s="2" t="str">
        <f>IFERROR(__xludf.DUMMYFUNCTION("GOOGLETRANSLATE(C711,""fr"",""en"")"),"Everything is correct for me, price, services.
For the moment I have not had any appeal either for accident, or for other files.
I hope that in need of it will be up to my expectations
Thanks")</f>
        <v>Everything is correct for me, price, services.
For the moment I have not had any appeal either for accident, or for other files.
I hope that in need of it will be up to my expectations
Thanks</v>
      </c>
    </row>
    <row r="712" ht="15.75" customHeight="1">
      <c r="A712" s="2">
        <v>1.0</v>
      </c>
      <c r="B712" s="2" t="s">
        <v>2026</v>
      </c>
      <c r="C712" s="2" t="s">
        <v>2027</v>
      </c>
      <c r="D712" s="2" t="s">
        <v>13</v>
      </c>
      <c r="E712" s="2" t="s">
        <v>14</v>
      </c>
      <c r="F712" s="2" t="s">
        <v>15</v>
      </c>
      <c r="G712" s="2" t="s">
        <v>2028</v>
      </c>
      <c r="H712" s="2" t="s">
        <v>670</v>
      </c>
      <c r="I712" s="2" t="str">
        <f>IFERROR(__xludf.DUMMYFUNCTION("GOOGLETRANSLATE(C712,""fr"",""en"")"),"I have been insured at Direct Insurance for 2 years and 2 months. The first year, my contract was € 870 per year. During these 2 years and 2 months, I had two non -responsible claims (0% liability).
After checking my schedule, my insurance went from € 87"&amp;"0 to € 1470 !!
I call direct insurance and I am informed that everything is normal. The subscription increased because 2016 was affected by attacks and natural disasters. To top it off, the person of Direct Insurance tells me that if I have a partial, to"&amp;"tal or null disaster, Direct Assurance will carry out a termination !! I thought I dreamed ....
To say that Direct Insurance, it is a inexpensive solution but at your own risk! It is better to opt for a solution certainly more expensive but with more ser"&amp;"enity.
I am currently making quote requests to change insurance.")</f>
        <v>I have been insured at Direct Insurance for 2 years and 2 months. The first year, my contract was € 870 per year. During these 2 years and 2 months, I had two non -responsible claims (0% liability).
After checking my schedule, my insurance went from € 870 to € 1470 !!
I call direct insurance and I am informed that everything is normal. The subscription increased because 2016 was affected by attacks and natural disasters. To top it off, the person of Direct Insurance tells me that if I have a partial, total or null disaster, Direct Assurance will carry out a termination !! I thought I dreamed ....
To say that Direct Insurance, it is a inexpensive solution but at your own risk! It is better to opt for a solution certainly more expensive but with more serenity.
I am currently making quote requests to change insurance.</v>
      </c>
    </row>
    <row r="713" ht="15.75" customHeight="1">
      <c r="A713" s="2">
        <v>4.0</v>
      </c>
      <c r="B713" s="2" t="s">
        <v>2029</v>
      </c>
      <c r="C713" s="2" t="s">
        <v>2030</v>
      </c>
      <c r="D713" s="2" t="s">
        <v>26</v>
      </c>
      <c r="E713" s="2" t="s">
        <v>14</v>
      </c>
      <c r="F713" s="2" t="s">
        <v>15</v>
      </c>
      <c r="G713" s="2" t="s">
        <v>2031</v>
      </c>
      <c r="H713" s="2" t="s">
        <v>485</v>
      </c>
      <c r="I713" s="2" t="str">
        <f>IFERROR(__xludf.DUMMYFUNCTION("GOOGLETRANSLATE(C713,""fr"",""en"")"),"On the occasion of the last automobile claim recorded at the Macif office, the compensation which was due to me was paid to me in the form of an immediate transfer to my bank account.")</f>
        <v>On the occasion of the last automobile claim recorded at the Macif office, the compensation which was due to me was paid to me in the form of an immediate transfer to my bank account.</v>
      </c>
    </row>
    <row r="714" ht="15.75" customHeight="1">
      <c r="A714" s="2">
        <v>1.0</v>
      </c>
      <c r="B714" s="2" t="s">
        <v>2032</v>
      </c>
      <c r="C714" s="2" t="s">
        <v>2033</v>
      </c>
      <c r="D714" s="2" t="s">
        <v>26</v>
      </c>
      <c r="E714" s="2" t="s">
        <v>14</v>
      </c>
      <c r="F714" s="2" t="s">
        <v>15</v>
      </c>
      <c r="G714" s="2" t="s">
        <v>694</v>
      </c>
      <c r="H714" s="2" t="s">
        <v>87</v>
      </c>
      <c r="I714" s="2" t="str">
        <f>IFERROR(__xludf.DUMMYFUNCTION("GOOGLETRANSLATE(C714,""fr"",""en"")"),"I post for my parents who do not know how to put an opinion for the Macif, here is their history after 15 years seniorities and how the Macif the ace.
Rant towards the Macif. Assured since 2006 for our motorhome in all risks; The Macif struck us down on "&amp;"March 31 for 4 claims.
Including 2 non -responsible: 1 parking in a motorway car park, we are woken up at 3 a.m. The second while rolling in very strong wind the roof lantern of the motorhome flew away and 2 managers but it is ""par-choc"" equipment.
"&amp;"
Due to being struck off by the MACIF no insurance wants to sign a new contract for our motorhome; Even the unlimited bonus insurance terminated. It is necessary to go through the organization central pricing office which will designate automatic insuran"&amp;"ce, the investigation of the file requires approximately 1 to 2 months. In short, as long as it is to pay it's okay. Flee this Macif insurance which does not assume its role as an insurer or only for those who have no claims. The insured, the members are "&amp;"only pigeons.")</f>
        <v>I post for my parents who do not know how to put an opinion for the Macif, here is their history after 15 years seniorities and how the Macif the ace.
Rant towards the Macif. Assured since 2006 for our motorhome in all risks; The Macif struck us down on March 31 for 4 claims.
Including 2 non -responsible: 1 parking in a motorway car park, we are woken up at 3 a.m. The second while rolling in very strong wind the roof lantern of the motorhome flew away and 2 managers but it is "par-choc" equipment.
Due to being struck off by the MACIF no insurance wants to sign a new contract for our motorhome; Even the unlimited bonus insurance terminated. It is necessary to go through the organization central pricing office which will designate automatic insurance, the investigation of the file requires approximately 1 to 2 months. In short, as long as it is to pay it's okay. Flee this Macif insurance which does not assume its role as an insurer or only for those who have no claims. The insured, the members are only pigeons.</v>
      </c>
    </row>
    <row r="715" ht="15.75" customHeight="1">
      <c r="A715" s="2">
        <v>1.0</v>
      </c>
      <c r="B715" s="2" t="s">
        <v>2034</v>
      </c>
      <c r="C715" s="2" t="s">
        <v>2035</v>
      </c>
      <c r="D715" s="2" t="s">
        <v>923</v>
      </c>
      <c r="E715" s="2" t="s">
        <v>32</v>
      </c>
      <c r="F715" s="2" t="s">
        <v>15</v>
      </c>
      <c r="G715" s="2" t="s">
        <v>1017</v>
      </c>
      <c r="H715" s="2" t="s">
        <v>17</v>
      </c>
      <c r="I715" s="2" t="str">
        <f>IFERROR(__xludf.DUMMYFUNCTION("GOOGLETRANSLATE(C715,""fr"",""en"")"),"What a catastrophe !!!
Following a mortgage loan insurance delegation quote, an offer was offered to me.
This one seemed indeed interesting, very interesting even.
I took the trouble to ask my interlocutor by email if we were insured my husband and I a"&amp;"t 100 percent on the entire loan. I received a confirmation email, but it is clear after signing the contract that my interlocutor was wrong and actually assured our loan at 100 percent but on half of the amount of our loan.
For 3 weeks we are asked to r"&amp;"enounce this contract, but the error comes from the services of Magnolia. On the principle I ask that we are sent a stamped sticker corresponding to the recommended price, I think it is the least of things and my interlocutor turns in a loop, without any "&amp;"responsible for me. I am tired of this situation and do not recommend at all.
")</f>
        <v>What a catastrophe !!!
Following a mortgage loan insurance delegation quote, an offer was offered to me.
This one seemed indeed interesting, very interesting even.
I took the trouble to ask my interlocutor by email if we were insured my husband and I at 100 percent on the entire loan. I received a confirmation email, but it is clear after signing the contract that my interlocutor was wrong and actually assured our loan at 100 percent but on half of the amount of our loan.
For 3 weeks we are asked to renounce this contract, but the error comes from the services of Magnolia. On the principle I ask that we are sent a stamped sticker corresponding to the recommended price, I think it is the least of things and my interlocutor turns in a loop, without any responsible for me. I am tired of this situation and do not recommend at all.
</v>
      </c>
    </row>
    <row r="716" ht="15.75" customHeight="1">
      <c r="A716" s="2">
        <v>1.0</v>
      </c>
      <c r="B716" s="2" t="s">
        <v>2036</v>
      </c>
      <c r="C716" s="2" t="s">
        <v>2037</v>
      </c>
      <c r="D716" s="2" t="s">
        <v>13</v>
      </c>
      <c r="E716" s="2" t="s">
        <v>14</v>
      </c>
      <c r="F716" s="2" t="s">
        <v>15</v>
      </c>
      <c r="G716" s="2" t="s">
        <v>685</v>
      </c>
      <c r="H716" s="2" t="s">
        <v>87</v>
      </c>
      <c r="I716" s="2" t="str">
        <f>IFERROR(__xludf.DUMMYFUNCTION("GOOGLETRANSLATE(C716,""fr"",""en"")"),"The prices are too high compared to the competition, I would change automotive insurance from the revolving year. Even the guarantees are less compared to others. I really mistaken myself by thinking them competitive.")</f>
        <v>The prices are too high compared to the competition, I would change automotive insurance from the revolving year. Even the guarantees are less compared to others. I really mistaken myself by thinking them competitive.</v>
      </c>
    </row>
    <row r="717" ht="15.75" customHeight="1">
      <c r="A717" s="2">
        <v>4.0</v>
      </c>
      <c r="B717" s="2" t="s">
        <v>2038</v>
      </c>
      <c r="C717" s="2" t="s">
        <v>2039</v>
      </c>
      <c r="D717" s="2" t="s">
        <v>97</v>
      </c>
      <c r="E717" s="2" t="s">
        <v>43</v>
      </c>
      <c r="F717" s="2" t="s">
        <v>15</v>
      </c>
      <c r="G717" s="2" t="s">
        <v>173</v>
      </c>
      <c r="H717" s="2" t="s">
        <v>60</v>
      </c>
      <c r="I717" s="2" t="str">
        <f>IFERROR(__xludf.DUMMYFUNCTION("GOOGLETRANSLATE(C717,""fr"",""en"")"),"I am satisfied with fast management. Very attractive price.
To give other two -wheeled users who only ask to pay less while having the same guarantees.")</f>
        <v>I am satisfied with fast management. Very attractive price.
To give other two -wheeled users who only ask to pay less while having the same guarantees.</v>
      </c>
    </row>
    <row r="718" ht="15.75" customHeight="1">
      <c r="A718" s="2">
        <v>1.0</v>
      </c>
      <c r="B718" s="2" t="s">
        <v>2040</v>
      </c>
      <c r="C718" s="2" t="s">
        <v>2041</v>
      </c>
      <c r="D718" s="2" t="s">
        <v>781</v>
      </c>
      <c r="E718" s="2" t="s">
        <v>21</v>
      </c>
      <c r="F718" s="2" t="s">
        <v>15</v>
      </c>
      <c r="G718" s="2" t="s">
        <v>2042</v>
      </c>
      <c r="H718" s="2" t="s">
        <v>49</v>
      </c>
      <c r="I718" s="2" t="str">
        <f>IFERROR(__xludf.DUMMYFUNCTION("GOOGLETRANSLATE(C718,""fr"",""en"")"),"For the past year, I have been trying to be reimbursed for optics for my son. The file was sent paper, then seeing that nothing happened I sent it back via the site. Rest assured, I have still not been reimbursed (my son's care date from October 2020). 3 "&amp;"times I have operators who confirm that my file is complete. Mercer intervenes in 2nd mutual, obviously it's too complicated for them. I suggest them change jobs !!!")</f>
        <v>For the past year, I have been trying to be reimbursed for optics for my son. The file was sent paper, then seeing that nothing happened I sent it back via the site. Rest assured, I have still not been reimbursed (my son's care date from October 2020). 3 times I have operators who confirm that my file is complete. Mercer intervenes in 2nd mutual, obviously it's too complicated for them. I suggest them change jobs !!!</v>
      </c>
    </row>
    <row r="719" ht="15.75" customHeight="1">
      <c r="A719" s="2">
        <v>2.0</v>
      </c>
      <c r="B719" s="2" t="s">
        <v>2043</v>
      </c>
      <c r="C719" s="2" t="s">
        <v>2044</v>
      </c>
      <c r="D719" s="2" t="s">
        <v>341</v>
      </c>
      <c r="E719" s="2" t="s">
        <v>14</v>
      </c>
      <c r="F719" s="2" t="s">
        <v>15</v>
      </c>
      <c r="G719" s="2" t="s">
        <v>2045</v>
      </c>
      <c r="H719" s="2" t="s">
        <v>125</v>
      </c>
      <c r="I719" s="2" t="str">
        <f>IFERROR(__xludf.DUMMYFUNCTION("GOOGLETRANSLATE(C719,""fr"",""en"")"),"MAAF customer since October 1969 for all insurance: auto, housing, health, and professional.
Until 2018, everything went very well ..... Since then, my wife's auto contract has been terminated .... for 2 clashes without any responsibility and 1 with resp"&amp;"onsibility that occurred 3 years before With its old vehicle. The contract of this vehicle has therefore started elsewhere from another contract which concerned my wife.
Personally I benefit from the 50% bonus for life.
Maaf found the solution to delete"&amp;" this bonus they had given me.
By phone, the agency that I will receive an endorsement to my car contract which will pass the deductible from 200 to 400 €. I obviously refuse.
A week later, I receive an auto contract that will replace the current one wi"&amp;"th the franchise lined without any reason. Contract to be returned signed before a month under penalty of seeing me terminate at the end of the year.
In addition a politeness formula that delighted me particularly after 51 years of loyalty .... I quote t"&amp;"he maaf:
""Unanswered on your part, and believe that I regret it, this modification does not take effect and we will terminate your contract.""
So if I want to keep the 50% bonus for life, I agree to do me .........
For the moment, it makes me think, b"&amp;"ecause, I currently still have 5 contracts differ at home. These contracts may well join those of my wife who is delighted with his new insurance.")</f>
        <v>MAAF customer since October 1969 for all insurance: auto, housing, health, and professional.
Until 2018, everything went very well ..... Since then, my wife's auto contract has been terminated .... for 2 clashes without any responsibility and 1 with responsibility that occurred 3 years before With its old vehicle. The contract of this vehicle has therefore started elsewhere from another contract which concerned my wife.
Personally I benefit from the 50% bonus for life.
Maaf found the solution to delete this bonus they had given me.
By phone, the agency that I will receive an endorsement to my car contract which will pass the deductible from 200 to 400 €. I obviously refuse.
A week later, I receive an auto contract that will replace the current one with the franchise lined without any reason. Contract to be returned signed before a month under penalty of seeing me terminate at the end of the year.
In addition a politeness formula that delighted me particularly after 51 years of loyalty .... I quote the maaf:
"Unanswered on your part, and believe that I regret it, this modification does not take effect and we will terminate your contract."
So if I want to keep the 50% bonus for life, I agree to do me .........
For the moment, it makes me think, because, I currently still have 5 contracts differ at home. These contracts may well join those of my wife who is delighted with his new insurance.</v>
      </c>
    </row>
    <row r="720" ht="15.75" customHeight="1">
      <c r="A720" s="2">
        <v>2.0</v>
      </c>
      <c r="B720" s="2" t="s">
        <v>2046</v>
      </c>
      <c r="C720" s="2" t="s">
        <v>2047</v>
      </c>
      <c r="D720" s="2" t="s">
        <v>803</v>
      </c>
      <c r="E720" s="2" t="s">
        <v>21</v>
      </c>
      <c r="F720" s="2" t="s">
        <v>15</v>
      </c>
      <c r="G720" s="2" t="s">
        <v>87</v>
      </c>
      <c r="H720" s="2" t="s">
        <v>87</v>
      </c>
      <c r="I720" s="2" t="str">
        <f>IFERROR(__xludf.DUMMYFUNCTION("GOOGLETRANSLATE(C720,""fr"",""en"")"),"To be fleeing following a invalidity update every year the gold update of the file The lost Spa Papers are not received however in RC mode of calculation of the lace amount guaranteed for a total invalidity CPAM Plus AG2R rent What would be the amount")</f>
        <v>To be fleeing following a invalidity update every year the gold update of the file The lost Spa Papers are not received however in RC mode of calculation of the lace amount guaranteed for a total invalidity CPAM Plus AG2R rent What would be the amount</v>
      </c>
    </row>
    <row r="721" ht="15.75" customHeight="1">
      <c r="A721" s="2">
        <v>5.0</v>
      </c>
      <c r="B721" s="2" t="s">
        <v>2048</v>
      </c>
      <c r="C721" s="2" t="s">
        <v>2049</v>
      </c>
      <c r="D721" s="2" t="s">
        <v>97</v>
      </c>
      <c r="E721" s="2" t="s">
        <v>43</v>
      </c>
      <c r="F721" s="2" t="s">
        <v>15</v>
      </c>
      <c r="G721" s="2" t="s">
        <v>105</v>
      </c>
      <c r="H721" s="2" t="s">
        <v>49</v>
      </c>
      <c r="I721" s="2" t="str">
        <f>IFERROR(__xludf.DUMMYFUNCTION("GOOGLETRANSLATE(C721,""fr"",""en"")"),"Insurance that looks very serious. Welcome telephone. Everything can be done online very well! Competitive enough rates for a 50cc scooter. To see in case of claims so still as well.")</f>
        <v>Insurance that looks very serious. Welcome telephone. Everything can be done online very well! Competitive enough rates for a 50cc scooter. To see in case of claims so still as well.</v>
      </c>
    </row>
    <row r="722" ht="15.75" customHeight="1">
      <c r="A722" s="2">
        <v>1.0</v>
      </c>
      <c r="B722" s="2" t="s">
        <v>2050</v>
      </c>
      <c r="C722" s="2" t="s">
        <v>2051</v>
      </c>
      <c r="D722" s="2" t="s">
        <v>26</v>
      </c>
      <c r="E722" s="2" t="s">
        <v>14</v>
      </c>
      <c r="F722" s="2" t="s">
        <v>15</v>
      </c>
      <c r="G722" s="2" t="s">
        <v>2052</v>
      </c>
      <c r="H722" s="2" t="s">
        <v>897</v>
      </c>
      <c r="I722" s="2" t="str">
        <f>IFERROR(__xludf.DUMMYFUNCTION("GOOGLETRANSLATE(C722,""fr"",""en"")"),"Another lie. We give you an agreement on the 20th. On the 26th no one knows anything anymore. No respect for the customer (25 years of contributions)
Liars, incompetence of advisers.
This time I change. 6 contracts.")</f>
        <v>Another lie. We give you an agreement on the 20th. On the 26th no one knows anything anymore. No respect for the customer (25 years of contributions)
Liars, incompetence of advisers.
This time I change. 6 contracts.</v>
      </c>
    </row>
    <row r="723" ht="15.75" customHeight="1">
      <c r="A723" s="2">
        <v>2.0</v>
      </c>
      <c r="B723" s="2" t="s">
        <v>2053</v>
      </c>
      <c r="C723" s="2" t="s">
        <v>2054</v>
      </c>
      <c r="D723" s="2" t="s">
        <v>341</v>
      </c>
      <c r="E723" s="2" t="s">
        <v>14</v>
      </c>
      <c r="F723" s="2" t="s">
        <v>15</v>
      </c>
      <c r="G723" s="2" t="s">
        <v>333</v>
      </c>
      <c r="H723" s="2" t="s">
        <v>334</v>
      </c>
      <c r="I723" s="2" t="str">
        <f>IFERROR(__xludf.DUMMYFUNCTION("GOOGLETRANSLATE(C723,""fr"",""en"")"),"Like everyone I was attracted to the advertisement and the maaf delivery offer. Everyone was very listening to subscribe but once signed, hello the galley. I was struck by the back on January 24 one evening by a motorist. The gendarmerie takes care of it "&amp;"(observation ....). I do not hide the psychological shock and physical condition with pain with pain following the accident. I did not have any injuries but pain following the shock: shoulders, knees and blocking to take the vehicle. I contact my doctor w"&amp;"ho gives me an appointment 4 days after the shock. He finds nothing serious and asks me to come back to see him in a month. I suffer from knee pains, on the shoulders that were woken up following the shock.
I receive a medical questionnaire that I return"&amp;". To my surprise I have a mail with a ditto of 200 euros, for commercial gesture.
I dispute this ridiculous amount and explains the embarrassment caused to my wife who took care of me at the start of my accident, the persistent pain ......
Nothing to do"&amp;", I had a pure commercial in front of me that listens and does not take anything into account.
In short, she recites her argument and just has nothing to do with.
I find it shameful, swing 200 euros.
I therefore advise you to be careful and prepare eve"&amp;"rything before you have to do the advisers because they are robots and not human beings.
Here is my experience with the MAAF.
Do I have to take a specialized lawyer? My entourage encourages me to do so.
Thank you for your help.")</f>
        <v>Like everyone I was attracted to the advertisement and the maaf delivery offer. Everyone was very listening to subscribe but once signed, hello the galley. I was struck by the back on January 24 one evening by a motorist. The gendarmerie takes care of it (observation ....). I do not hide the psychological shock and physical condition with pain with pain following the accident. I did not have any injuries but pain following the shock: shoulders, knees and blocking to take the vehicle. I contact my doctor who gives me an appointment 4 days after the shock. He finds nothing serious and asks me to come back to see him in a month. I suffer from knee pains, on the shoulders that were woken up following the shock.
I receive a medical questionnaire that I return. To my surprise I have a mail with a ditto of 200 euros, for commercial gesture.
I dispute this ridiculous amount and explains the embarrassment caused to my wife who took care of me at the start of my accident, the persistent pain ......
Nothing to do, I had a pure commercial in front of me that listens and does not take anything into account.
In short, she recites her argument and just has nothing to do with.
I find it shameful, swing 200 euros.
I therefore advise you to be careful and prepare everything before you have to do the advisers because they are robots and not human beings.
Here is my experience with the MAAF.
Do I have to take a specialized lawyer? My entourage encourages me to do so.
Thank you for your help.</v>
      </c>
    </row>
    <row r="724" ht="15.75" customHeight="1">
      <c r="A724" s="2">
        <v>4.0</v>
      </c>
      <c r="B724" s="2" t="s">
        <v>2055</v>
      </c>
      <c r="C724" s="2" t="s">
        <v>2056</v>
      </c>
      <c r="D724" s="2" t="s">
        <v>287</v>
      </c>
      <c r="E724" s="2" t="s">
        <v>14</v>
      </c>
      <c r="F724" s="2" t="s">
        <v>15</v>
      </c>
      <c r="G724" s="2" t="s">
        <v>2057</v>
      </c>
      <c r="H724" s="2" t="s">
        <v>28</v>
      </c>
      <c r="I724" s="2" t="str">
        <f>IFERROR(__xludf.DUMMYFUNCTION("GOOGLETRANSLATE(C724,""fr"",""en"")"),"hello I saw my subscription increases after the change of car, pr the moment I am not decided, I hope over time I think that is down, otherwise on the whole it goes")</f>
        <v>hello I saw my subscription increases after the change of car, pr the moment I am not decided, I hope over time I think that is down, otherwise on the whole it goes</v>
      </c>
    </row>
    <row r="725" ht="15.75" customHeight="1">
      <c r="A725" s="2">
        <v>3.0</v>
      </c>
      <c r="B725" s="2" t="s">
        <v>2058</v>
      </c>
      <c r="C725" s="2" t="s">
        <v>2059</v>
      </c>
      <c r="D725" s="2" t="s">
        <v>42</v>
      </c>
      <c r="E725" s="2" t="s">
        <v>43</v>
      </c>
      <c r="F725" s="2" t="s">
        <v>15</v>
      </c>
      <c r="G725" s="2" t="s">
        <v>52</v>
      </c>
      <c r="H725" s="2" t="s">
        <v>28</v>
      </c>
      <c r="I725" s="2" t="str">
        <f>IFERROR(__xludf.DUMMYFUNCTION("GOOGLETRANSLATE(C725,""fr"",""en"")"),"I am satisfied with the service following my request on the net and to leful to offer thank you to all the AMV team for the work provided cordially")</f>
        <v>I am satisfied with the service following my request on the net and to leful to offer thank you to all the AMV team for the work provided cordially</v>
      </c>
    </row>
    <row r="726" ht="15.75" customHeight="1">
      <c r="A726" s="2">
        <v>4.0</v>
      </c>
      <c r="B726" s="2" t="s">
        <v>2060</v>
      </c>
      <c r="C726" s="2" t="s">
        <v>2061</v>
      </c>
      <c r="D726" s="2" t="s">
        <v>47</v>
      </c>
      <c r="E726" s="2" t="s">
        <v>14</v>
      </c>
      <c r="F726" s="2" t="s">
        <v>15</v>
      </c>
      <c r="G726" s="2" t="s">
        <v>1783</v>
      </c>
      <c r="H726" s="2" t="s">
        <v>338</v>
      </c>
      <c r="I726" s="2" t="str">
        <f>IFERROR(__xludf.DUMMYFUNCTION("GOOGLETRANSLATE(C726,""fr"",""en"")"),"I am satisfied at the moment, I hope not to be disappointed and to be well protected. Price in the average.
The person who advised me was very kind")</f>
        <v>I am satisfied at the moment, I hope not to be disappointed and to be well protected. Price in the average.
The person who advised me was very kind</v>
      </c>
    </row>
    <row r="727" ht="15.75" customHeight="1">
      <c r="A727" s="2">
        <v>5.0</v>
      </c>
      <c r="B727" s="2" t="s">
        <v>2062</v>
      </c>
      <c r="C727" s="2" t="s">
        <v>2063</v>
      </c>
      <c r="D727" s="2" t="s">
        <v>13</v>
      </c>
      <c r="E727" s="2" t="s">
        <v>14</v>
      </c>
      <c r="F727" s="2" t="s">
        <v>15</v>
      </c>
      <c r="G727" s="2" t="s">
        <v>2064</v>
      </c>
      <c r="H727" s="2" t="s">
        <v>60</v>
      </c>
      <c r="I727" s="2" t="str">
        <f>IFERROR(__xludf.DUMMYFUNCTION("GOOGLETRANSLATE(C727,""fr"",""en"")"),"Very satisfied with the formulas you offer. Excellent value. And thank you for the clarity of the different packs offered. I would highly recommend you.")</f>
        <v>Very satisfied with the formulas you offer. Excellent value. And thank you for the clarity of the different packs offered. I would highly recommend you.</v>
      </c>
    </row>
    <row r="728" ht="15.75" customHeight="1">
      <c r="A728" s="2">
        <v>2.0</v>
      </c>
      <c r="B728" s="2" t="s">
        <v>2065</v>
      </c>
      <c r="C728" s="2" t="s">
        <v>2066</v>
      </c>
      <c r="D728" s="2" t="s">
        <v>13</v>
      </c>
      <c r="E728" s="2" t="s">
        <v>14</v>
      </c>
      <c r="F728" s="2" t="s">
        <v>15</v>
      </c>
      <c r="G728" s="2" t="s">
        <v>1075</v>
      </c>
      <c r="H728" s="2" t="s">
        <v>99</v>
      </c>
      <c r="I728" s="2" t="str">
        <f>IFERROR(__xludf.DUMMYFUNCTION("GOOGLETRANSLATE(C728,""fr"",""en"")"),"I am satisfied with your services but I have to change insurance for my new vehicle because the quote of the contract is too expensive, even more expensive than the contract of my bank")</f>
        <v>I am satisfied with your services but I have to change insurance for my new vehicle because the quote of the contract is too expensive, even more expensive than the contract of my bank</v>
      </c>
    </row>
    <row r="729" ht="15.75" customHeight="1">
      <c r="A729" s="2">
        <v>1.0</v>
      </c>
      <c r="B729" s="2" t="s">
        <v>2067</v>
      </c>
      <c r="C729" s="2" t="s">
        <v>2068</v>
      </c>
      <c r="D729" s="2" t="s">
        <v>1063</v>
      </c>
      <c r="E729" s="2" t="s">
        <v>159</v>
      </c>
      <c r="F729" s="2" t="s">
        <v>15</v>
      </c>
      <c r="G729" s="2" t="s">
        <v>2069</v>
      </c>
      <c r="H729" s="2" t="s">
        <v>565</v>
      </c>
      <c r="I729" s="2" t="str">
        <f>IFERROR(__xludf.DUMMYFUNCTION("GOOGLETRANSLATE(C729,""fr"",""en"")"),"Very bad insurance, does not reimburse absolutely nothing except 25 € of vaccine per year .... everything that is marked repayable in the contract is not .... to avoid absolutely !!")</f>
        <v>Very bad insurance, does not reimburse absolutely nothing except 25 € of vaccine per year .... everything that is marked repayable in the contract is not .... to avoid absolutely !!</v>
      </c>
    </row>
    <row r="730" ht="15.75" customHeight="1">
      <c r="A730" s="2">
        <v>4.0</v>
      </c>
      <c r="B730" s="2" t="s">
        <v>2070</v>
      </c>
      <c r="C730" s="2" t="s">
        <v>2071</v>
      </c>
      <c r="D730" s="2" t="s">
        <v>47</v>
      </c>
      <c r="E730" s="2" t="s">
        <v>14</v>
      </c>
      <c r="F730" s="2" t="s">
        <v>15</v>
      </c>
      <c r="G730" s="2" t="s">
        <v>995</v>
      </c>
      <c r="H730" s="2" t="s">
        <v>670</v>
      </c>
      <c r="I730" s="2" t="str">
        <f>IFERROR(__xludf.DUMMYFUNCTION("GOOGLETRANSLATE(C730,""fr"",""en"")"),"Very good value for money in general. Prices for the 2nd year because often the Internet offer is much more interesting than the 2nd year rate!")</f>
        <v>Very good value for money in general. Prices for the 2nd year because often the Internet offer is much more interesting than the 2nd year rate!</v>
      </c>
    </row>
    <row r="731" ht="15.75" customHeight="1">
      <c r="A731" s="2">
        <v>1.0</v>
      </c>
      <c r="B731" s="2" t="s">
        <v>2072</v>
      </c>
      <c r="C731" s="2" t="s">
        <v>2073</v>
      </c>
      <c r="D731" s="2" t="s">
        <v>133</v>
      </c>
      <c r="E731" s="2" t="s">
        <v>14</v>
      </c>
      <c r="F731" s="2" t="s">
        <v>15</v>
      </c>
      <c r="G731" s="2" t="s">
        <v>2074</v>
      </c>
      <c r="H731" s="2" t="s">
        <v>155</v>
      </c>
      <c r="I731" s="2" t="str">
        <f>IFERROR(__xludf.DUMMYFUNCTION("GOOGLETRANSLATE(C731,""fr"",""en"")"),"I had a non -responsible claim dated 15/11/2019, I advanced the repair costs of my vehicle and Allianz was said to be sent a check for the amount of repairs that I never received and After many phone calls to customer service, I asked them to make a trans"&amp;"fer and their response was ""we don't have your RIB to make you a transfer"". So there they are too strong at Allianz, for samples, how do they do it?
Following this, we are on 02/10/2020 AI I still do not have the transfer on my account when I received "&amp;"an email from them that the transaction was made on 02/06/2020 and we tells me today that I have to wait 10 days, which makes us 3 months of waiting for a refund for a disaster which, I remind you, I am not at fault.
Especially since I have been a very g"&amp;"ood customer for over 30 years and with several contracts (4 vehicles + housing).
And moreover I am a good payer. (Normal, there, they have my rib).
Well, in short, I think after that I strongly risk going to see elsewhere.
")</f>
        <v>I had a non -responsible claim dated 15/11/2019, I advanced the repair costs of my vehicle and Allianz was said to be sent a check for the amount of repairs that I never received and After many phone calls to customer service, I asked them to make a transfer and their response was "we don't have your RIB to make you a transfer". So there they are too strong at Allianz, for samples, how do they do it?
Following this, we are on 02/10/2020 AI I still do not have the transfer on my account when I received an email from them that the transaction was made on 02/06/2020 and we tells me today that I have to wait 10 days, which makes us 3 months of waiting for a refund for a disaster which, I remind you, I am not at fault.
Especially since I have been a very good customer for over 30 years and with several contracts (4 vehicles + housing).
And moreover I am a good payer. (Normal, there, they have my rib).
Well, in short, I think after that I strongly risk going to see elsewhere.
</v>
      </c>
    </row>
    <row r="732" ht="15.75" customHeight="1">
      <c r="A732" s="2">
        <v>1.0</v>
      </c>
      <c r="B732" s="2" t="s">
        <v>2075</v>
      </c>
      <c r="C732" s="2" t="s">
        <v>2076</v>
      </c>
      <c r="D732" s="2" t="s">
        <v>20</v>
      </c>
      <c r="E732" s="2" t="s">
        <v>21</v>
      </c>
      <c r="F732" s="2" t="s">
        <v>15</v>
      </c>
      <c r="G732" s="2" t="s">
        <v>457</v>
      </c>
      <c r="H732" s="2" t="s">
        <v>56</v>
      </c>
      <c r="I732" s="2" t="str">
        <f>IFERROR(__xludf.DUMMYFUNCTION("GOOGLETRANSLATE(C732,""fr"",""en"")"),"I have just canceled my contract that I had for 10 years. For a small amount in pharmacy that I paid on May 19, they have regulated me on May 26 (in addition it represents half of what I paid) and the regulations are still not on My account 3 weeks later."&amp;"
I just verified their financial situation:
05/14/2021 Extract from Mixed General Meeting Minutes
Continuation of activity despite a net asset which has become less than half of the share capital
Deposit number 3114 of 31/05/2021
Run away.")</f>
        <v>I have just canceled my contract that I had for 10 years. For a small amount in pharmacy that I paid on May 19, they have regulated me on May 26 (in addition it represents half of what I paid) and the regulations are still not on My account 3 weeks later.
I just verified their financial situation:
05/14/2021 Extract from Mixed General Meeting Minutes
Continuation of activity despite a net asset which has become less than half of the share capital
Deposit number 3114 of 31/05/2021
Run away.</v>
      </c>
    </row>
    <row r="733" ht="15.75" customHeight="1">
      <c r="A733" s="2">
        <v>1.0</v>
      </c>
      <c r="B733" s="2" t="s">
        <v>2077</v>
      </c>
      <c r="C733" s="2" t="s">
        <v>2078</v>
      </c>
      <c r="D733" s="2" t="s">
        <v>37</v>
      </c>
      <c r="E733" s="2" t="s">
        <v>21</v>
      </c>
      <c r="F733" s="2" t="s">
        <v>15</v>
      </c>
      <c r="G733" s="2" t="s">
        <v>2079</v>
      </c>
      <c r="H733" s="2" t="s">
        <v>17</v>
      </c>
      <c r="I733" s="2" t="str">
        <f>IFERROR(__xludf.DUMMYFUNCTION("GOOGLETRANSLATE(C733,""fr"",""en"")"),"For me no escape is a professional framework group contract!
Here it is like elsewhere an effective interface, advisers who do not answer anything but who respond anyway and nobody to the treatment neither in front nor in back office. Inoperative organiz"&amp;"ation, which in fact excludes, advice, compliance with quality procedures, coherence between interlocutors, fine competence on specific cases.
And which values ​​the availability of advisers much more. The problem is that with Harmonie as elsewhere an ad"&amp;"visor has very little competence in the field and is content to understand you "","" to get up ""but where? not to ""have at your answer"". Any individual problem is evacuated to recall your request under an item previously established. Thus a refusal of "&amp;"care is not for lack of the mutual, contractual non -respect, but the fact of a missing procedure that no one had ever told you about and which appears anywhere other than in the head of the advisor Which worked at Free previously and Amazon tomorrow!
"&amp;"My group contract is recent, for a year no problem ... Then I asked on presentation of quotes an estimate of the reimbursements to which I could claim dental care framework .... ""experts"" respond that quotes are not in accordance with To the SS nomencla"&amp;"tures, I refer this assertion to the dental clinics ... which send me the 38 pages of the SS nomenclature, asking me ironically to provide them! So still no answer to 26 days
I have been with them for 3 years, during my last refund request I have a ref"&amp;"usal because they want to know what is my first mutual ????? I indicate that I have 136 and that I do not know what is the first! Still no answer either. In addition to being ineffective they have no sense of humor, (it is generally going together)
Never"&amp;" use the second degree, the first is already difficult to access!
I continually provide legal certificates so that SS systematically makes the link with them, nothing is done! It is valid for 3 months it would be necessary to react before.
")</f>
        <v>For me no escape is a professional framework group contract!
Here it is like elsewhere an effective interface, advisers who do not answer anything but who respond anyway and nobody to the treatment neither in front nor in back office. Inoperative organization, which in fact excludes, advice, compliance with quality procedures, coherence between interlocutors, fine competence on specific cases.
And which values ​​the availability of advisers much more. The problem is that with Harmonie as elsewhere an advisor has very little competence in the field and is content to understand you "," to get up "but where? not to "have at your answer". Any individual problem is evacuated to recall your request under an item previously established. Thus a refusal of care is not for lack of the mutual, contractual non -respect, but the fact of a missing procedure that no one had ever told you about and which appears anywhere other than in the head of the advisor Which worked at Free previously and Amazon tomorrow!
My group contract is recent, for a year no problem ... Then I asked on presentation of quotes an estimate of the reimbursements to which I could claim dental care framework .... "experts" respond that quotes are not in accordance with To the SS nomenclatures, I refer this assertion to the dental clinics ... which send me the 38 pages of the SS nomenclature, asking me ironically to provide them! So still no answer to 26 days
I have been with them for 3 years, during my last refund request I have a refusal because they want to know what is my first mutual ????? I indicate that I have 136 and that I do not know what is the first! Still no answer either. In addition to being ineffective they have no sense of humor, (it is generally going together)
Never use the second degree, the first is already difficult to access!
I continually provide legal certificates so that SS systematically makes the link with them, nothing is done! It is valid for 3 months it would be necessary to react before.
</v>
      </c>
    </row>
    <row r="734" ht="15.75" customHeight="1">
      <c r="A734" s="2">
        <v>1.0</v>
      </c>
      <c r="B734" s="2" t="s">
        <v>2080</v>
      </c>
      <c r="C734" s="2" t="s">
        <v>2081</v>
      </c>
      <c r="D734" s="2" t="s">
        <v>47</v>
      </c>
      <c r="E734" s="2" t="s">
        <v>14</v>
      </c>
      <c r="F734" s="2" t="s">
        <v>15</v>
      </c>
      <c r="G734" s="2" t="s">
        <v>2082</v>
      </c>
      <c r="H734" s="2" t="s">
        <v>650</v>
      </c>
      <c r="I734" s="2" t="str">
        <f>IFERROR(__xludf.DUMMYFUNCTION("GOOGLETRANSLATE(C734,""fr"",""en"")"),"only present to take your money. Do not ask them anything else")</f>
        <v>only present to take your money. Do not ask them anything else</v>
      </c>
    </row>
    <row r="735" ht="15.75" customHeight="1">
      <c r="A735" s="2">
        <v>4.0</v>
      </c>
      <c r="B735" s="2" t="s">
        <v>2083</v>
      </c>
      <c r="C735" s="2" t="s">
        <v>2084</v>
      </c>
      <c r="D735" s="2" t="s">
        <v>253</v>
      </c>
      <c r="E735" s="2" t="s">
        <v>21</v>
      </c>
      <c r="F735" s="2" t="s">
        <v>15</v>
      </c>
      <c r="G735" s="2" t="s">
        <v>556</v>
      </c>
      <c r="H735" s="2" t="s">
        <v>69</v>
      </c>
      <c r="I735" s="2" t="str">
        <f>IFERROR(__xludf.DUMMYFUNCTION("GOOGLETRANSLATE(C735,""fr"",""en"")"),"I was received by Widad who informed me well on my request. The maintenance was short, constructive, and efficient. So I'm waiting for my final mutual card which should arrive soon")</f>
        <v>I was received by Widad who informed me well on my request. The maintenance was short, constructive, and efficient. So I'm waiting for my final mutual card which should arrive soon</v>
      </c>
    </row>
    <row r="736" ht="15.75" customHeight="1">
      <c r="A736" s="2">
        <v>1.0</v>
      </c>
      <c r="B736" s="2" t="s">
        <v>2085</v>
      </c>
      <c r="C736" s="2" t="s">
        <v>2086</v>
      </c>
      <c r="D736" s="2" t="s">
        <v>26</v>
      </c>
      <c r="E736" s="2" t="s">
        <v>14</v>
      </c>
      <c r="F736" s="2" t="s">
        <v>15</v>
      </c>
      <c r="G736" s="2" t="s">
        <v>2087</v>
      </c>
      <c r="H736" s="2" t="s">
        <v>1643</v>
      </c>
      <c r="I736" s="2" t="str">
        <f>IFERROR(__xludf.DUMMYFUNCTION("GOOGLETRANSLATE(C736,""fr"",""en"")"),"Customers for 40 years the Macif is no longer what it was! Now we are only a member of the member! And they are more expensive in car insurance. If by chance you want to ensure a caravan then there for help they no longer know anyone. They are so afraid o"&amp;"f traveling people. And yet I am at my 17th caravan, yes it is our leisure, at home! I will leave them too bad")</f>
        <v>Customers for 40 years the Macif is no longer what it was! Now we are only a member of the member! And they are more expensive in car insurance. If by chance you want to ensure a caravan then there for help they no longer know anyone. They are so afraid of traveling people. And yet I am at my 17th caravan, yes it is our leisure, at home! I will leave them too bad</v>
      </c>
    </row>
    <row r="737" ht="15.75" customHeight="1">
      <c r="A737" s="2">
        <v>5.0</v>
      </c>
      <c r="B737" s="2" t="s">
        <v>2088</v>
      </c>
      <c r="C737" s="2" t="s">
        <v>2089</v>
      </c>
      <c r="D737" s="2" t="s">
        <v>13</v>
      </c>
      <c r="E737" s="2" t="s">
        <v>14</v>
      </c>
      <c r="F737" s="2" t="s">
        <v>15</v>
      </c>
      <c r="G737" s="2" t="s">
        <v>60</v>
      </c>
      <c r="H737" s="2" t="s">
        <v>60</v>
      </c>
      <c r="I737" s="2" t="str">
        <f>IFERROR(__xludf.DUMMYFUNCTION("GOOGLETRANSLATE(C737,""fr"",""en"")"),"Very satisfied as much level prices as conditions of housing and car coverage. Very good customer service. Former customer back after seeing everything and anything elsewhere.")</f>
        <v>Very satisfied as much level prices as conditions of housing and car coverage. Very good customer service. Former customer back after seeing everything and anything elsewhere.</v>
      </c>
    </row>
    <row r="738" ht="15.75" customHeight="1">
      <c r="A738" s="2">
        <v>2.0</v>
      </c>
      <c r="B738" s="2" t="s">
        <v>2090</v>
      </c>
      <c r="C738" s="2" t="s">
        <v>2091</v>
      </c>
      <c r="D738" s="2" t="s">
        <v>1066</v>
      </c>
      <c r="E738" s="2" t="s">
        <v>32</v>
      </c>
      <c r="F738" s="2" t="s">
        <v>15</v>
      </c>
      <c r="G738" s="2" t="s">
        <v>815</v>
      </c>
      <c r="H738" s="2" t="s">
        <v>815</v>
      </c>
      <c r="I738" s="2" t="str">
        <f>IFERROR(__xludf.DUMMYFUNCTION("GOOGLETRANSLATE(C738,""fr"",""en"")"),"I asked for documents in September 2016 to be able to renegotiate my mortgage loan. To date, I have still had nothing despite a very numerous reminders of Naoassur. The rates are on the rise and now the renegotiation is no longer as interesting. I lose € "&amp;"3000 in history. It's scandalous. I do not imagine how it could happen if something happened to us ....")</f>
        <v>I asked for documents in September 2016 to be able to renegotiate my mortgage loan. To date, I have still had nothing despite a very numerous reminders of Naoassur. The rates are on the rise and now the renegotiation is no longer as interesting. I lose € 3000 in history. It's scandalous. I do not imagine how it could happen if something happened to us ....</v>
      </c>
    </row>
    <row r="739" ht="15.75" customHeight="1">
      <c r="A739" s="2">
        <v>5.0</v>
      </c>
      <c r="B739" s="2" t="s">
        <v>2092</v>
      </c>
      <c r="C739" s="2" t="s">
        <v>2093</v>
      </c>
      <c r="D739" s="2" t="s">
        <v>13</v>
      </c>
      <c r="E739" s="2" t="s">
        <v>14</v>
      </c>
      <c r="F739" s="2" t="s">
        <v>15</v>
      </c>
      <c r="G739" s="2" t="s">
        <v>130</v>
      </c>
      <c r="H739" s="2" t="s">
        <v>60</v>
      </c>
      <c r="I739" s="2" t="str">
        <f>IFERROR(__xludf.DUMMYFUNCTION("GOOGLETRANSLATE(C739,""fr"",""en"")"),"Hello,
I am satisfied with the services in general of direct subsidiary insurance of AXA Insurance in France.
I recommend your policyholders to stay.
Have a good day")</f>
        <v>Hello,
I am satisfied with the services in general of direct subsidiary insurance of AXA Insurance in France.
I recommend your policyholders to stay.
Have a good day</v>
      </c>
    </row>
    <row r="740" ht="15.75" customHeight="1">
      <c r="A740" s="2">
        <v>5.0</v>
      </c>
      <c r="B740" s="2" t="s">
        <v>2094</v>
      </c>
      <c r="C740" s="2" t="s">
        <v>2095</v>
      </c>
      <c r="D740" s="2" t="s">
        <v>47</v>
      </c>
      <c r="E740" s="2" t="s">
        <v>14</v>
      </c>
      <c r="F740" s="2" t="s">
        <v>15</v>
      </c>
      <c r="G740" s="2" t="s">
        <v>691</v>
      </c>
      <c r="H740" s="2" t="s">
        <v>99</v>
      </c>
      <c r="I740" s="2" t="str">
        <f>IFERROR(__xludf.DUMMYFUNCTION("GOOGLETRANSLATE(C740,""fr"",""en"")"),"Super telephone contact, very friendly, patient, explains well. All risk insurance taken up with full knowledge of my guarantees in half an hour without headache, I am very happy.")</f>
        <v>Super telephone contact, very friendly, patient, explains well. All risk insurance taken up with full knowledge of my guarantees in half an hour without headache, I am very happy.</v>
      </c>
    </row>
    <row r="741" ht="15.75" customHeight="1">
      <c r="A741" s="2">
        <v>2.0</v>
      </c>
      <c r="B741" s="2" t="s">
        <v>2096</v>
      </c>
      <c r="C741" s="2" t="s">
        <v>2097</v>
      </c>
      <c r="D741" s="2" t="s">
        <v>13</v>
      </c>
      <c r="E741" s="2" t="s">
        <v>14</v>
      </c>
      <c r="F741" s="2" t="s">
        <v>15</v>
      </c>
      <c r="G741" s="2" t="s">
        <v>1657</v>
      </c>
      <c r="H741" s="2" t="s">
        <v>56</v>
      </c>
      <c r="I741" s="2" t="str">
        <f>IFERROR(__xludf.DUMMYFUNCTION("GOOGLETRANSLATE(C741,""fr"",""en"")"),"I call for information on my account: we refuse to give it to me because I am not empowered to ask my questions, only my husband can.
It looks like returned in 1750.
I just want to know if my home contract covers the swimming pool in our garden well, "&amp;"and if so with what guarantees.")</f>
        <v>I call for information on my account: we refuse to give it to me because I am not empowered to ask my questions, only my husband can.
It looks like returned in 1750.
I just want to know if my home contract covers the swimming pool in our garden well, and if so with what guarantees.</v>
      </c>
    </row>
    <row r="742" ht="15.75" customHeight="1">
      <c r="A742" s="2">
        <v>2.0</v>
      </c>
      <c r="B742" s="2" t="s">
        <v>2098</v>
      </c>
      <c r="C742" s="2" t="s">
        <v>2099</v>
      </c>
      <c r="D742" s="2" t="s">
        <v>13</v>
      </c>
      <c r="E742" s="2" t="s">
        <v>14</v>
      </c>
      <c r="F742" s="2" t="s">
        <v>15</v>
      </c>
      <c r="G742" s="2" t="s">
        <v>2100</v>
      </c>
      <c r="H742" s="2" t="s">
        <v>60</v>
      </c>
      <c r="I742" s="2" t="str">
        <f>IFERROR(__xludf.DUMMYFUNCTION("GOOGLETRANSLATE(C742,""fr"",""en"")"),"I think I will change insurance on the anniversary date, my monthly subscription continues to increase, I now find insurers who offer me up to 200 € per year, too bad")</f>
        <v>I think I will change insurance on the anniversary date, my monthly subscription continues to increase, I now find insurers who offer me up to 200 € per year, too bad</v>
      </c>
    </row>
    <row r="743" ht="15.75" customHeight="1">
      <c r="A743" s="2">
        <v>2.0</v>
      </c>
      <c r="B743" s="2" t="s">
        <v>2101</v>
      </c>
      <c r="C743" s="2" t="s">
        <v>2102</v>
      </c>
      <c r="D743" s="2" t="s">
        <v>1134</v>
      </c>
      <c r="E743" s="2" t="s">
        <v>21</v>
      </c>
      <c r="F743" s="2" t="s">
        <v>15</v>
      </c>
      <c r="G743" s="2" t="s">
        <v>1270</v>
      </c>
      <c r="H743" s="2" t="s">
        <v>284</v>
      </c>
      <c r="I743" s="2" t="str">
        <f>IFERROR(__xludf.DUMMYFUNCTION("GOOGLETRANSLATE(C743,""fr"",""en"")"),"Letters that are lost in their establishment s or between them. Obliged to send letters and files with LRAR. Treatment of difficult payments s.
")</f>
        <v>Letters that are lost in their establishment s or between them. Obliged to send letters and files with LRAR. Treatment of difficult payments s.
</v>
      </c>
    </row>
    <row r="744" ht="15.75" customHeight="1">
      <c r="A744" s="2">
        <v>5.0</v>
      </c>
      <c r="B744" s="2" t="s">
        <v>2103</v>
      </c>
      <c r="C744" s="2" t="s">
        <v>2104</v>
      </c>
      <c r="D744" s="2" t="s">
        <v>97</v>
      </c>
      <c r="E744" s="2" t="s">
        <v>43</v>
      </c>
      <c r="F744" s="2" t="s">
        <v>15</v>
      </c>
      <c r="G744" s="2" t="s">
        <v>848</v>
      </c>
      <c r="H744" s="2" t="s">
        <v>99</v>
      </c>
      <c r="I744" s="2" t="str">
        <f>IFERROR(__xludf.DUMMYFUNCTION("GOOGLETRANSLATE(C744,""fr"",""en"")"),"Satisfied I am happy. Even if I find that writing such a long opinion is a little unreasonable and restrictive. But I have it all the same.")</f>
        <v>Satisfied I am happy. Even if I find that writing such a long opinion is a little unreasonable and restrictive. But I have it all the same.</v>
      </c>
    </row>
    <row r="745" ht="15.75" customHeight="1">
      <c r="A745" s="2">
        <v>1.0</v>
      </c>
      <c r="B745" s="2" t="s">
        <v>2105</v>
      </c>
      <c r="C745" s="2" t="s">
        <v>2106</v>
      </c>
      <c r="D745" s="2" t="s">
        <v>63</v>
      </c>
      <c r="E745" s="2" t="s">
        <v>14</v>
      </c>
      <c r="F745" s="2" t="s">
        <v>15</v>
      </c>
      <c r="G745" s="2" t="s">
        <v>942</v>
      </c>
      <c r="H745" s="2" t="s">
        <v>91</v>
      </c>
      <c r="I745" s="2" t="str">
        <f>IFERROR(__xludf.DUMMYFUNCTION("GOOGLETRANSLATE(C745,""fr"",""en"")"),"We must provide proof ......... proof ..... of the costs
I found the time very long to have an interlocutor in the event of a glitch. My misfortune was to say that I did not know how to send a photo from my phone, suddenly the file is one month instead o"&amp;"f 7 or 8 days. Because the problem is to get an email address or send them the invoices.
Then once the invoices have been sent, without news from them, me, the victims, I re -written to them and a person tells me that the payment of my hotel will not be "&amp;"reimbursed to me, despite sending the invoice as long as I Do not send the little that I have paid from my bank account.
I do not understand why I had to restart to know that my file was incomplete. Has a letter been edited?, Would I have informed?
Asse"&amp;"ssment I regret the Macif in this kind of case, which does not make the advance of the costs if they are asked.
Thierry Bouchet")</f>
        <v>We must provide proof ......... proof ..... of the costs
I found the time very long to have an interlocutor in the event of a glitch. My misfortune was to say that I did not know how to send a photo from my phone, suddenly the file is one month instead of 7 or 8 days. Because the problem is to get an email address or send them the invoices.
Then once the invoices have been sent, without news from them, me, the victims, I re -written to them and a person tells me that the payment of my hotel will not be reimbursed to me, despite sending the invoice as long as I Do not send the little that I have paid from my bank account.
I do not understand why I had to restart to know that my file was incomplete. Has a letter been edited?, Would I have informed?
Assessment I regret the Macif in this kind of case, which does not make the advance of the costs if they are asked.
Thierry Bouchet</v>
      </c>
    </row>
    <row r="746" ht="15.75" customHeight="1">
      <c r="A746" s="2">
        <v>1.0</v>
      </c>
      <c r="B746" s="2" t="s">
        <v>2107</v>
      </c>
      <c r="C746" s="2" t="s">
        <v>2108</v>
      </c>
      <c r="D746" s="2" t="s">
        <v>653</v>
      </c>
      <c r="E746" s="2" t="s">
        <v>322</v>
      </c>
      <c r="F746" s="2" t="s">
        <v>15</v>
      </c>
      <c r="G746" s="2" t="s">
        <v>2109</v>
      </c>
      <c r="H746" s="2" t="s">
        <v>220</v>
      </c>
      <c r="I746" s="2" t="str">
        <f>IFERROR(__xludf.DUMMYFUNCTION("GOOGLETRANSLATE(C746,""fr"",""en"")"),"Customers since 1990 we are waiting for funds from our father's succession today. Since sending the mail RAR 2 months ago with all the required parts, we have no news, no response to emails sent to customer service, unable to reach anyone on the phone exc"&amp;"ept once after having pronounced The word ""succession"" I was given for 10 minutes to finally hang up on the nose. We will bring this case to justice in view of the experiences of other customers we have no choice")</f>
        <v>Customers since 1990 we are waiting for funds from our father's succession today. Since sending the mail RAR 2 months ago with all the required parts, we have no news, no response to emails sent to customer service, unable to reach anyone on the phone except once after having pronounced The word "succession" I was given for 10 minutes to finally hang up on the nose. We will bring this case to justice in view of the experiences of other customers we have no choice</v>
      </c>
    </row>
    <row r="747" ht="15.75" customHeight="1">
      <c r="A747" s="2">
        <v>3.0</v>
      </c>
      <c r="B747" s="2" t="s">
        <v>2110</v>
      </c>
      <c r="C747" s="2" t="s">
        <v>2111</v>
      </c>
      <c r="D747" s="2" t="s">
        <v>13</v>
      </c>
      <c r="E747" s="2" t="s">
        <v>14</v>
      </c>
      <c r="F747" s="2" t="s">
        <v>15</v>
      </c>
      <c r="G747" s="2" t="s">
        <v>893</v>
      </c>
      <c r="H747" s="2" t="s">
        <v>87</v>
      </c>
      <c r="I747" s="2" t="str">
        <f>IFERROR(__xludf.DUMMYFUNCTION("GOOGLETRANSLATE(C747,""fr"",""en"")"),"I was satisfied but I am very disappointed to see that I have to pay a deductible to change the window of my car that has been fractured when I have been insured for more than 5 years without disaster and in the month 10 years of insurance for my husband "&amp;"!")</f>
        <v>I was satisfied but I am very disappointed to see that I have to pay a deductible to change the window of my car that has been fractured when I have been insured for more than 5 years without disaster and in the month 10 years of insurance for my husband !</v>
      </c>
    </row>
    <row r="748" ht="15.75" customHeight="1">
      <c r="A748" s="2">
        <v>5.0</v>
      </c>
      <c r="B748" s="2" t="s">
        <v>2112</v>
      </c>
      <c r="C748" s="2" t="s">
        <v>2113</v>
      </c>
      <c r="D748" s="2" t="s">
        <v>47</v>
      </c>
      <c r="E748" s="2" t="s">
        <v>14</v>
      </c>
      <c r="F748" s="2" t="s">
        <v>15</v>
      </c>
      <c r="G748" s="2" t="s">
        <v>638</v>
      </c>
      <c r="H748" s="2" t="s">
        <v>60</v>
      </c>
      <c r="I748" s="2" t="str">
        <f>IFERROR(__xludf.DUMMYFUNCTION("GOOGLETRANSLATE(C748,""fr"",""en"")"),"Very pleasant advisor who knows her product very well. The information is clear and I obtained the answers to all my questions. Thank you to the L'Olivier team")</f>
        <v>Very pleasant advisor who knows her product very well. The information is clear and I obtained the answers to all my questions. Thank you to the L'Olivier team</v>
      </c>
    </row>
    <row r="749" ht="15.75" customHeight="1">
      <c r="A749" s="2">
        <v>4.0</v>
      </c>
      <c r="B749" s="2" t="s">
        <v>2114</v>
      </c>
      <c r="C749" s="2" t="s">
        <v>2115</v>
      </c>
      <c r="D749" s="2" t="s">
        <v>47</v>
      </c>
      <c r="E749" s="2" t="s">
        <v>14</v>
      </c>
      <c r="F749" s="2" t="s">
        <v>15</v>
      </c>
      <c r="G749" s="2" t="s">
        <v>1245</v>
      </c>
      <c r="H749" s="2" t="s">
        <v>69</v>
      </c>
      <c r="I749" s="2" t="str">
        <f>IFERROR(__xludf.DUMMYFUNCTION("GOOGLETRANSLATE(C749,""fr"",""en"")"),"Value for money very well. Simple and effective website, speed for quotes. Subscription to the very simple and quick contract. I recommend.")</f>
        <v>Value for money very well. Simple and effective website, speed for quotes. Subscription to the very simple and quick contract. I recommend.</v>
      </c>
    </row>
    <row r="750" ht="15.75" customHeight="1">
      <c r="A750" s="2">
        <v>5.0</v>
      </c>
      <c r="B750" s="2" t="s">
        <v>2116</v>
      </c>
      <c r="C750" s="2" t="s">
        <v>2117</v>
      </c>
      <c r="D750" s="2" t="s">
        <v>890</v>
      </c>
      <c r="E750" s="2" t="s">
        <v>32</v>
      </c>
      <c r="F750" s="2" t="s">
        <v>15</v>
      </c>
      <c r="G750" s="2" t="s">
        <v>1568</v>
      </c>
      <c r="H750" s="2" t="s">
        <v>28</v>
      </c>
      <c r="I750" s="2" t="str">
        <f>IFERROR(__xludf.DUMMYFUNCTION("GOOGLETRANSLATE(C750,""fr"",""en"")"),"Super prices and Zen'Up seraphin is always very effective. Under the identical conditions, I generally divide by two the cost of my borrower insurance.")</f>
        <v>Super prices and Zen'Up seraphin is always very effective. Under the identical conditions, I generally divide by two the cost of my borrower insurance.</v>
      </c>
    </row>
    <row r="751" ht="15.75" customHeight="1">
      <c r="A751" s="2">
        <v>1.0</v>
      </c>
      <c r="B751" s="2" t="s">
        <v>2118</v>
      </c>
      <c r="C751" s="2" t="s">
        <v>2119</v>
      </c>
      <c r="D751" s="2" t="s">
        <v>223</v>
      </c>
      <c r="E751" s="2" t="s">
        <v>77</v>
      </c>
      <c r="F751" s="2" t="s">
        <v>15</v>
      </c>
      <c r="G751" s="2" t="s">
        <v>2120</v>
      </c>
      <c r="H751" s="2" t="s">
        <v>34</v>
      </c>
      <c r="I751" s="2" t="str">
        <f>IFERROR(__xludf.DUMMYFUNCTION("GOOGLETRANSLATE(C751,""fr"",""en"")"),"In 2014, my elderly son 14 rose in a neighbor's car and touching the speed and hitting another car. So declaration on MA RC of Pacifica insurance. Refusal of care.
I made a request to the mediator of insurers who returned my mail to Pacifica and this one"&amp;" confirmed the refusal to me. After several ARS to the mediator, I no longer had any response.
I have to borrow a substantial amount of money to pay all the repairs.
 ")</f>
        <v>In 2014, my elderly son 14 rose in a neighbor's car and touching the speed and hitting another car. So declaration on MA RC of Pacifica insurance. Refusal of care.
I made a request to the mediator of insurers who returned my mail to Pacifica and this one confirmed the refusal to me. After several ARS to the mediator, I no longer had any response.
I have to borrow a substantial amount of money to pay all the repairs.
 </v>
      </c>
    </row>
    <row r="752" ht="15.75" customHeight="1">
      <c r="A752" s="2">
        <v>4.0</v>
      </c>
      <c r="B752" s="2" t="s">
        <v>2121</v>
      </c>
      <c r="C752" s="2" t="s">
        <v>2122</v>
      </c>
      <c r="D752" s="2" t="s">
        <v>13</v>
      </c>
      <c r="E752" s="2" t="s">
        <v>14</v>
      </c>
      <c r="F752" s="2" t="s">
        <v>15</v>
      </c>
      <c r="G752" s="2" t="s">
        <v>373</v>
      </c>
      <c r="H752" s="2" t="s">
        <v>28</v>
      </c>
      <c r="I752" s="2" t="str">
        <f>IFERROR(__xludf.DUMMYFUNCTION("GOOGLETRANSLATE(C752,""fr"",""en"")"),"Satisfied with Direct Insurance for 4 years.
Very good service and better claims management.
A little high franchise.
Adhering space and very practical mobile application")</f>
        <v>Satisfied with Direct Insurance for 4 years.
Very good service and better claims management.
A little high franchise.
Adhering space and very practical mobile application</v>
      </c>
    </row>
    <row r="753" ht="15.75" customHeight="1">
      <c r="A753" s="2">
        <v>2.0</v>
      </c>
      <c r="B753" s="2" t="s">
        <v>2123</v>
      </c>
      <c r="C753" s="2" t="s">
        <v>2124</v>
      </c>
      <c r="D753" s="2" t="s">
        <v>2125</v>
      </c>
      <c r="E753" s="2" t="s">
        <v>32</v>
      </c>
      <c r="F753" s="2" t="s">
        <v>15</v>
      </c>
      <c r="G753" s="2" t="s">
        <v>160</v>
      </c>
      <c r="H753" s="2" t="s">
        <v>161</v>
      </c>
      <c r="I753" s="2" t="str">
        <f>IFERROR(__xludf.DUMMYFUNCTION("GOOGLETRANSLATE(C753,""fr"",""en"")"),"Such a shame. Here I have been stopped since March 16. After 3 months of frankness, I send all the documents in LRAR !!! And there I receive a letter requiring half of the requested documents and parts on my health to make sure not to compensate. Very sho"&amp;"cking. I will have to take a lawyer to defend myself against an insurer who does everything so as not to compensate. I will end up doing a depression in addition to the rest ...")</f>
        <v>Such a shame. Here I have been stopped since March 16. After 3 months of frankness, I send all the documents in LRAR !!! And there I receive a letter requiring half of the requested documents and parts on my health to make sure not to compensate. Very shocking. I will have to take a lawyer to defend myself against an insurer who does everything so as not to compensate. I will end up doing a depression in addition to the rest ...</v>
      </c>
    </row>
    <row r="754" ht="15.75" customHeight="1">
      <c r="A754" s="2">
        <v>4.0</v>
      </c>
      <c r="B754" s="2" t="s">
        <v>2126</v>
      </c>
      <c r="C754" s="2" t="s">
        <v>2127</v>
      </c>
      <c r="D754" s="2" t="s">
        <v>13</v>
      </c>
      <c r="E754" s="2" t="s">
        <v>14</v>
      </c>
      <c r="F754" s="2" t="s">
        <v>15</v>
      </c>
      <c r="G754" s="2" t="s">
        <v>102</v>
      </c>
      <c r="H754" s="2" t="s">
        <v>28</v>
      </c>
      <c r="I754" s="2" t="str">
        <f>IFERROR(__xludf.DUMMYFUNCTION("GOOGLETRANSLATE(C754,""fr"",""en"")"),"I am satisfied with this service I find that this insurance and brilliant and I hope to continue our collaboration in insurance and insured thank you for a long time")</f>
        <v>I am satisfied with this service I find that this insurance and brilliant and I hope to continue our collaboration in insurance and insured thank you for a long time</v>
      </c>
    </row>
    <row r="755" ht="15.75" customHeight="1">
      <c r="A755" s="2">
        <v>4.0</v>
      </c>
      <c r="B755" s="2" t="s">
        <v>2128</v>
      </c>
      <c r="C755" s="2" t="s">
        <v>2129</v>
      </c>
      <c r="D755" s="2" t="s">
        <v>13</v>
      </c>
      <c r="E755" s="2" t="s">
        <v>14</v>
      </c>
      <c r="F755" s="2" t="s">
        <v>15</v>
      </c>
      <c r="G755" s="2" t="s">
        <v>2130</v>
      </c>
      <c r="H755" s="2" t="s">
        <v>201</v>
      </c>
      <c r="I755" s="2" t="str">
        <f>IFERROR(__xludf.DUMMYFUNCTION("GOOGLETRANSLATE(C755,""fr"",""en"")"),"Quick quote and goes to the essentials, attractive prices.")</f>
        <v>Quick quote and goes to the essentials, attractive prices.</v>
      </c>
    </row>
    <row r="756" ht="15.75" customHeight="1">
      <c r="A756" s="2">
        <v>2.0</v>
      </c>
      <c r="B756" s="2" t="s">
        <v>2131</v>
      </c>
      <c r="C756" s="2" t="s">
        <v>2132</v>
      </c>
      <c r="D756" s="2" t="s">
        <v>47</v>
      </c>
      <c r="E756" s="2" t="s">
        <v>14</v>
      </c>
      <c r="F756" s="2" t="s">
        <v>15</v>
      </c>
      <c r="G756" s="2" t="s">
        <v>1405</v>
      </c>
      <c r="H756" s="2" t="s">
        <v>60</v>
      </c>
      <c r="I756" s="2" t="str">
        <f>IFERROR(__xludf.DUMMYFUNCTION("GOOGLETRANSLATE(C756,""fr"",""en"")"),"Franchises are abusive
With 3 vehicles insured and a good coefficient I find that its rest expected! We will see how to manage the non -responsible disaster! Otherwise I do not guarantee continuity with the Olivier for next year
NOT
NOT"&amp;"
NOT
")</f>
        <v>Franchises are abusive
With 3 vehicles insured and a good coefficient I find that its rest expected! We will see how to manage the non -responsible disaster! Otherwise I do not guarantee continuity with the Olivier for next year
NOT
NOT
NOT
</v>
      </c>
    </row>
    <row r="757" ht="15.75" customHeight="1">
      <c r="A757" s="2">
        <v>1.0</v>
      </c>
      <c r="B757" s="2" t="s">
        <v>2133</v>
      </c>
      <c r="C757" s="2" t="s">
        <v>2134</v>
      </c>
      <c r="D757" s="2" t="s">
        <v>63</v>
      </c>
      <c r="E757" s="2" t="s">
        <v>14</v>
      </c>
      <c r="F757" s="2" t="s">
        <v>15</v>
      </c>
      <c r="G757" s="2" t="s">
        <v>2135</v>
      </c>
      <c r="H757" s="2" t="s">
        <v>394</v>
      </c>
      <c r="I757" s="2" t="str">
        <f>IFERROR(__xludf.DUMMYFUNCTION("GOOGLETRANSLATE(C757,""fr"",""en"")"),"To avoid absolutely !!!! Following a sinister broken ice + vandalism on my vehicle, I find myself paying 2 franchises, I pass the details related to the concerns encountered with the approved garage and the expertise cabinet, the worst c 'is the maif who "&amp;"does not react and who plays us like a baballe rejecting the fault! very disappointed !! You might as well go to a lowcoast insurer even if it means struggling to be compensated as much to pay a much less chèr contribution.")</f>
        <v>To avoid absolutely !!!! Following a sinister broken ice + vandalism on my vehicle, I find myself paying 2 franchises, I pass the details related to the concerns encountered with the approved garage and the expertise cabinet, the worst c 'is the maif who does not react and who plays us like a baballe rejecting the fault! very disappointed !! You might as well go to a lowcoast insurer even if it means struggling to be compensated as much to pay a much less chèr contribution.</v>
      </c>
    </row>
    <row r="758" ht="15.75" customHeight="1">
      <c r="A758" s="2">
        <v>4.0</v>
      </c>
      <c r="B758" s="2" t="s">
        <v>2136</v>
      </c>
      <c r="C758" s="2" t="s">
        <v>2137</v>
      </c>
      <c r="D758" s="2" t="s">
        <v>97</v>
      </c>
      <c r="E758" s="2" t="s">
        <v>43</v>
      </c>
      <c r="F758" s="2" t="s">
        <v>15</v>
      </c>
      <c r="G758" s="2" t="s">
        <v>791</v>
      </c>
      <c r="H758" s="2" t="s">
        <v>99</v>
      </c>
      <c r="I758" s="2" t="str">
        <f>IFERROR(__xludf.DUMMYFUNCTION("GOOGLETRANSLATE(C758,""fr"",""en"")"),"The site and forms to establish quotes are clear and ergonomic. Although the cheapest, for a young A2 permit with more than 25 years of B license B and a 50% bonus the insurance prices remains expensive .....")</f>
        <v>The site and forms to establish quotes are clear and ergonomic. Although the cheapest, for a young A2 permit with more than 25 years of B license B and a 50% bonus the insurance prices remains expensive .....</v>
      </c>
    </row>
    <row r="759" ht="15.75" customHeight="1">
      <c r="A759" s="2">
        <v>2.0</v>
      </c>
      <c r="B759" s="2" t="s">
        <v>2138</v>
      </c>
      <c r="C759" s="2" t="s">
        <v>2139</v>
      </c>
      <c r="D759" s="2" t="s">
        <v>341</v>
      </c>
      <c r="E759" s="2" t="s">
        <v>14</v>
      </c>
      <c r="F759" s="2" t="s">
        <v>15</v>
      </c>
      <c r="G759" s="2" t="s">
        <v>2140</v>
      </c>
      <c r="H759" s="2" t="s">
        <v>34</v>
      </c>
      <c r="I759" s="2" t="str">
        <f>IFERROR(__xludf.DUMMYFUNCTION("GOOGLETRANSLATE(C759,""fr"",""en"")"),"To flee ! After three years of loyalty, my bonus has increased but my bonus it does not decrease! ""But it depends on the number of accidents for the year"" arrogant and without solution service, months without samples and hop we catch up and we end up wi"&amp;"th hundreds of euros to pay from one month to another. .. We do not have the right to change your mind to ensure a vehicle, the contract has not even started well yet, you have to destroy or sell the vehicle to get rid of it. Shameful ... Pognon cash cash"&amp;" ...")</f>
        <v>To flee ! After three years of loyalty, my bonus has increased but my bonus it does not decrease! "But it depends on the number of accidents for the year" arrogant and without solution service, months without samples and hop we catch up and we end up with hundreds of euros to pay from one month to another. .. We do not have the right to change your mind to ensure a vehicle, the contract has not even started well yet, you have to destroy or sell the vehicle to get rid of it. Shameful ... Pognon cash cash ...</v>
      </c>
    </row>
    <row r="760" ht="15.75" customHeight="1">
      <c r="A760" s="2">
        <v>4.0</v>
      </c>
      <c r="B760" s="2" t="s">
        <v>2141</v>
      </c>
      <c r="C760" s="2" t="s">
        <v>2142</v>
      </c>
      <c r="D760" s="2" t="s">
        <v>13</v>
      </c>
      <c r="E760" s="2" t="s">
        <v>14</v>
      </c>
      <c r="F760" s="2" t="s">
        <v>15</v>
      </c>
      <c r="G760" s="2" t="s">
        <v>1367</v>
      </c>
      <c r="H760" s="2" t="s">
        <v>87</v>
      </c>
      <c r="I760" s="2" t="str">
        <f>IFERROR(__xludf.DUMMYFUNCTION("GOOGLETRANSLATE(C760,""fr"",""en"")"),"Thank you for taking our telephone discussion into account and not having increased the price.
Regarding the Ford, I will also ask you not to increase the price.
Best regards")</f>
        <v>Thank you for taking our telephone discussion into account and not having increased the price.
Regarding the Ford, I will also ask you not to increase the price.
Best regards</v>
      </c>
    </row>
    <row r="761" ht="15.75" customHeight="1">
      <c r="A761" s="2">
        <v>5.0</v>
      </c>
      <c r="B761" s="2" t="s">
        <v>2143</v>
      </c>
      <c r="C761" s="2" t="s">
        <v>2144</v>
      </c>
      <c r="D761" s="2" t="s">
        <v>97</v>
      </c>
      <c r="E761" s="2" t="s">
        <v>43</v>
      </c>
      <c r="F761" s="2" t="s">
        <v>15</v>
      </c>
      <c r="G761" s="2" t="s">
        <v>1012</v>
      </c>
      <c r="H761" s="2" t="s">
        <v>17</v>
      </c>
      <c r="I761" s="2" t="str">
        <f>IFERROR(__xludf.DUMMYFUNCTION("GOOGLETRANSLATE(C761,""fr"",""en"")"),"I am very satisfied and I recommend this inexpensive insurance for motorcycle drivers rapid prices defying all motorcycle competition 125")</f>
        <v>I am very satisfied and I recommend this inexpensive insurance for motorcycle drivers rapid prices defying all motorcycle competition 125</v>
      </c>
    </row>
    <row r="762" ht="15.75" customHeight="1">
      <c r="A762" s="2">
        <v>5.0</v>
      </c>
      <c r="B762" s="2" t="s">
        <v>2145</v>
      </c>
      <c r="C762" s="2" t="s">
        <v>2146</v>
      </c>
      <c r="D762" s="2" t="s">
        <v>47</v>
      </c>
      <c r="E762" s="2" t="s">
        <v>14</v>
      </c>
      <c r="F762" s="2" t="s">
        <v>15</v>
      </c>
      <c r="G762" s="2" t="s">
        <v>2147</v>
      </c>
      <c r="H762" s="2" t="s">
        <v>815</v>
      </c>
      <c r="I762" s="2" t="str">
        <f>IFERROR(__xludf.DUMMYFUNCTION("GOOGLETRANSLATE(C762,""fr"",""en"")"),"Difficult to comment being a new customer.
It is quite easy to get in touch with an advisor.
The advisers are very available.
By wishing to never know the quality of intervention in the event of a disaster.")</f>
        <v>Difficult to comment being a new customer.
It is quite easy to get in touch with an advisor.
The advisers are very available.
By wishing to never know the quality of intervention in the event of a disaster.</v>
      </c>
    </row>
    <row r="763" ht="15.75" customHeight="1">
      <c r="A763" s="2">
        <v>1.0</v>
      </c>
      <c r="B763" s="2" t="s">
        <v>2148</v>
      </c>
      <c r="C763" s="2" t="s">
        <v>2149</v>
      </c>
      <c r="D763" s="2" t="s">
        <v>168</v>
      </c>
      <c r="E763" s="2" t="s">
        <v>43</v>
      </c>
      <c r="F763" s="2" t="s">
        <v>15</v>
      </c>
      <c r="G763" s="2" t="s">
        <v>673</v>
      </c>
      <c r="H763" s="2" t="s">
        <v>140</v>
      </c>
      <c r="I763" s="2" t="str">
        <f>IFERROR(__xludf.DUMMYFUNCTION("GOOGLETRANSLATE(C763,""fr"",""en"")"),"Following an accident on October 12, 2016, the company took 12 months for an appointment with its expert and since no return I have to relaunch them every month without any written return from the AXA company.")</f>
        <v>Following an accident on October 12, 2016, the company took 12 months for an appointment with its expert and since no return I have to relaunch them every month without any written return from the AXA company.</v>
      </c>
    </row>
    <row r="764" ht="15.75" customHeight="1">
      <c r="A764" s="2">
        <v>3.0</v>
      </c>
      <c r="B764" s="2" t="s">
        <v>2150</v>
      </c>
      <c r="C764" s="2" t="s">
        <v>2151</v>
      </c>
      <c r="D764" s="2" t="s">
        <v>257</v>
      </c>
      <c r="E764" s="2" t="s">
        <v>14</v>
      </c>
      <c r="F764" s="2" t="s">
        <v>15</v>
      </c>
      <c r="G764" s="2" t="s">
        <v>2152</v>
      </c>
      <c r="H764" s="2" t="s">
        <v>670</v>
      </c>
      <c r="I764" s="2" t="str">
        <f>IFERROR(__xludf.DUMMYFUNCTION("GOOGLETRANSLATE(C764,""fr"",""en"")"),"Eurofil ejected customers for 1 -accident responsible and two not responsible really lamentable")</f>
        <v>Eurofil ejected customers for 1 -accident responsible and two not responsible really lamentable</v>
      </c>
    </row>
    <row r="765" ht="15.75" customHeight="1">
      <c r="A765" s="2">
        <v>1.0</v>
      </c>
      <c r="B765" s="2" t="s">
        <v>2153</v>
      </c>
      <c r="C765" s="2" t="s">
        <v>2154</v>
      </c>
      <c r="D765" s="2" t="s">
        <v>37</v>
      </c>
      <c r="E765" s="2" t="s">
        <v>21</v>
      </c>
      <c r="F765" s="2" t="s">
        <v>15</v>
      </c>
      <c r="G765" s="2" t="s">
        <v>2155</v>
      </c>
      <c r="H765" s="2" t="s">
        <v>897</v>
      </c>
      <c r="I765" s="2" t="str">
        <f>IFERROR(__xludf.DUMMYFUNCTION("GOOGLETRANSLATE(C765,""fr"",""en"")"),"Clearly they do not comply with membership contracts for all that is taken care of, reimbursement, premium etc ... On the other hand note that they are champions in what is withdrawals at all costs with sums (not justified) Who come out of I do not know w"&amp;"here ..., non -answers via customer service (email or telephone), unmanaged complaints, unwarmed promises ... ladies, gentlemen ... if you want to pay a blind for not big Something done ... Otherwise go your way for your bank account and your health. Ah a"&amp;"nd yes..commade mentioned below..Agmentation of crazy on contributions without notice ...")</f>
        <v>Clearly they do not comply with membership contracts for all that is taken care of, reimbursement, premium etc ... On the other hand note that they are champions in what is withdrawals at all costs with sums (not justified) Who come out of I do not know where ..., non -answers via customer service (email or telephone), unmanaged complaints, unwarmed promises ... ladies, gentlemen ... if you want to pay a blind for not big Something done ... Otherwise go your way for your bank account and your health. Ah and yes..commade mentioned below..Agmentation of crazy on contributions without notice ...</v>
      </c>
    </row>
    <row r="766" ht="15.75" customHeight="1">
      <c r="A766" s="2">
        <v>2.0</v>
      </c>
      <c r="B766" s="2" t="s">
        <v>2156</v>
      </c>
      <c r="C766" s="2" t="s">
        <v>2157</v>
      </c>
      <c r="D766" s="2" t="s">
        <v>42</v>
      </c>
      <c r="E766" s="2" t="s">
        <v>43</v>
      </c>
      <c r="F766" s="2" t="s">
        <v>15</v>
      </c>
      <c r="G766" s="2" t="s">
        <v>44</v>
      </c>
      <c r="H766" s="2" t="s">
        <v>28</v>
      </c>
      <c r="I766" s="2" t="str">
        <f>IFERROR(__xludf.DUMMYFUNCTION("GOOGLETRANSLATE(C766,""fr"",""en"")"),"I'm really at the end of my roller. On 10/01/2020 I exceptionally lend my scooter (Tmax) to a friend, he loses control of the vehicle and finds himself in Coma for more than 24 hours. The scooter is declared economically irreparable.
Since I am assured i"&amp;"n ""all risks"" and that I lend the vehicle exceptionally, AMV decides to take care of the vehicle damage (after long months of battle) but I have to pay a franchise 750th (which I paid immediately) because the driver was not on the contract.
So far no p"&amp;"roblem.
AMV offers to redeem myself the 9500E scooter when the coast was 10,500 before the accident, something I refuse. So I keep it for 1800th (to sell the parts on my side) and the insurance must reimburse me the difference (ie 7800th). At the time of"&amp;" indicating me, insurance realizes that on my non -pledge certificate it is registered an ""administrative suspension"". AMV tells me to regularize at the level of the police. But it will soon be 1 year that I walk from service to service between AMV, the"&amp;" police station and the prefecture and I still have not received the slightest penny. What good is it to pay for ""all risks"" insurance if every time you have to be compensated we are looking for the little beast not to pay you?
Especially since AMV nev"&amp;"er helped me in the process by trying to call the police station, the prefecture or others ...
And I know that a lot of insurance that considers you as humans and not as customer numbers, give you a helping hand in the process. By cons AMV does not forge"&amp;"t to take 140th by while I have had no vehicles for almost 1 year. I find it completely scandalous !!!
I took advice from a lawyer specializing in insurance, and he told me that it was not normal. I therefore plan to file a complaint to be touching my du"&amp;"e and asking for a prejudice because it's been almost 1 year that I move by bus, taxi, bike or on foot and it has a cost.
I have already contacted a local newspaper (Var morning) to explain my situation and we are already 8 customers to denounce the prac"&amp;"tices of this insurance. So believe me you will hear about it.
I will also put a layer on social networks as it cuts will be full. Thanks for reading me.")</f>
        <v>I'm really at the end of my roller. On 10/01/2020 I exceptionally lend my scooter (Tmax) to a friend, he loses control of the vehicle and finds himself in Coma for more than 24 hours. The scooter is declared economically irreparable.
Since I am assured in "all risks" and that I lend the vehicle exceptionally, AMV decides to take care of the vehicle damage (after long months of battle) but I have to pay a franchise 750th (which I paid immediately) because the driver was not on the contract.
So far no problem.
AMV offers to redeem myself the 9500E scooter when the coast was 10,500 before the accident, something I refuse. So I keep it for 1800th (to sell the parts on my side) and the insurance must reimburse me the difference (ie 7800th). At the time of indicating me, insurance realizes that on my non -pledge certificate it is registered an "administrative suspension". AMV tells me to regularize at the level of the police. But it will soon be 1 year that I walk from service to service between AMV, the police station and the prefecture and I still have not received the slightest penny. What good is it to pay for "all risks" insurance if every time you have to be compensated we are looking for the little beast not to pay you?
Especially since AMV never helped me in the process by trying to call the police station, the prefecture or others ...
And I know that a lot of insurance that considers you as humans and not as customer numbers, give you a helping hand in the process. By cons AMV does not forget to take 140th by while I have had no vehicles for almost 1 year. I find it completely scandalous !!!
I took advice from a lawyer specializing in insurance, and he told me that it was not normal. I therefore plan to file a complaint to be touching my due and asking for a prejudice because it's been almost 1 year that I move by bus, taxi, bike or on foot and it has a cost.
I have already contacted a local newspaper (Var morning) to explain my situation and we are already 8 customers to denounce the practices of this insurance. So believe me you will hear about it.
I will also put a layer on social networks as it cuts will be full. Thanks for reading me.</v>
      </c>
    </row>
    <row r="767" ht="15.75" customHeight="1">
      <c r="A767" s="2">
        <v>5.0</v>
      </c>
      <c r="B767" s="2" t="s">
        <v>2158</v>
      </c>
      <c r="C767" s="2" t="s">
        <v>2159</v>
      </c>
      <c r="D767" s="2" t="s">
        <v>47</v>
      </c>
      <c r="E767" s="2" t="s">
        <v>14</v>
      </c>
      <c r="F767" s="2" t="s">
        <v>15</v>
      </c>
      <c r="G767" s="2" t="s">
        <v>1657</v>
      </c>
      <c r="H767" s="2" t="s">
        <v>56</v>
      </c>
      <c r="I767" s="2" t="str">
        <f>IFERROR(__xludf.DUMMYFUNCTION("GOOGLETRANSLATE(C767,""fr"",""en"")"),"Very good telephone contact, everything is well detailed and explained. The prices are very attractive compared to certain other well -known insurance companies")</f>
        <v>Very good telephone contact, everything is well detailed and explained. The prices are very attractive compared to certain other well -known insurance companies</v>
      </c>
    </row>
    <row r="768" ht="15.75" customHeight="1">
      <c r="A768" s="2">
        <v>5.0</v>
      </c>
      <c r="B768" s="2" t="s">
        <v>2160</v>
      </c>
      <c r="C768" s="2" t="s">
        <v>2161</v>
      </c>
      <c r="D768" s="2" t="s">
        <v>47</v>
      </c>
      <c r="E768" s="2" t="s">
        <v>14</v>
      </c>
      <c r="F768" s="2" t="s">
        <v>15</v>
      </c>
      <c r="G768" s="2" t="s">
        <v>893</v>
      </c>
      <c r="H768" s="2" t="s">
        <v>87</v>
      </c>
      <c r="I768" s="2" t="str">
        <f>IFERROR(__xludf.DUMMYFUNCTION("GOOGLETRANSLATE(C768,""fr"",""en"")"),"The advisers welcome you on the phone with a smile and are very friendly. They are very professional, answer all your questions and questions, and find you a solution very quickly. Even if we want to have them as little as possible, when we call the olive"&amp;" assurance, we know that we will have any satisfaction. Thank you and well done to everyone.")</f>
        <v>The advisers welcome you on the phone with a smile and are very friendly. They are very professional, answer all your questions and questions, and find you a solution very quickly. Even if we want to have them as little as possible, when we call the olive assurance, we know that we will have any satisfaction. Thank you and well done to everyone.</v>
      </c>
    </row>
    <row r="769" ht="15.75" customHeight="1">
      <c r="A769" s="2">
        <v>1.0</v>
      </c>
      <c r="B769" s="2" t="s">
        <v>2162</v>
      </c>
      <c r="C769" s="2" t="s">
        <v>2163</v>
      </c>
      <c r="D769" s="2" t="s">
        <v>158</v>
      </c>
      <c r="E769" s="2" t="s">
        <v>159</v>
      </c>
      <c r="F769" s="2" t="s">
        <v>15</v>
      </c>
      <c r="G769" s="2" t="s">
        <v>38</v>
      </c>
      <c r="H769" s="2" t="s">
        <v>39</v>
      </c>
      <c r="I769" s="2" t="str">
        <f>IFERROR(__xludf.DUMMYFUNCTION("GOOGLETRANSLATE(C769,""fr"",""en"")"),"00/20. I do not recommend this insurance. They are not at all serious. You are told that your cat is insured for the month of October; I send all well -filled care sheets (vaccine, disease, and drugs with the cachet and the veterinarian's signature). I am"&amp;" then told that I will not be reimbursed because I am in the end of deficiency! Avoid, avoid avoid this insurance! I will publish my opinion everywhere! On websites, on all social networks, and I will even warn associations and my friends who defend the a"&amp;"nimal cause!")</f>
        <v>00/20. I do not recommend this insurance. They are not at all serious. You are told that your cat is insured for the month of October; I send all well -filled care sheets (vaccine, disease, and drugs with the cachet and the veterinarian's signature). I am then told that I will not be reimbursed because I am in the end of deficiency! Avoid, avoid avoid this insurance! I will publish my opinion everywhere! On websites, on all social networks, and I will even warn associations and my friends who defend the animal cause!</v>
      </c>
    </row>
    <row r="770" ht="15.75" customHeight="1">
      <c r="A770" s="2">
        <v>1.0</v>
      </c>
      <c r="B770" s="2" t="s">
        <v>2164</v>
      </c>
      <c r="C770" s="2" t="s">
        <v>2165</v>
      </c>
      <c r="D770" s="2" t="s">
        <v>341</v>
      </c>
      <c r="E770" s="2" t="s">
        <v>14</v>
      </c>
      <c r="F770" s="2" t="s">
        <v>15</v>
      </c>
      <c r="G770" s="2" t="s">
        <v>2166</v>
      </c>
      <c r="H770" s="2" t="s">
        <v>213</v>
      </c>
      <c r="I770" s="2" t="str">
        <f>IFERROR(__xludf.DUMMYFUNCTION("GOOGLETRANSLATE(C770,""fr"",""en"")"),"At the Maaf of then 1998, I was entitled to the life bonus, being considered good driver ... very good. 1 Sinister responsible in December 2017, the MAAF told me that I was going to receive an endorsement to my contract to double my franchise. I have not "&amp;"received anything and signed anything and my contract is being terminated by the MAAF !! Everything is perfect while you have no worries but at the slightest problem, the relationships are no longer the same. A special mention to the agency director of Na"&amp;"ntes Penthièvre who notified me by phone my obligation to sign the endorsement but who refused to answer my questions indicating me to be a simple ""ambassador"" and not know the details of my situation ! Otherwise, the interlocutors are polite but ignore"&amp;" you what appears on their screens and are obviously invested with any advice obligation (!) Except 1 which indicated to me ""I will be honest, your contract is being termination! "" And has shown a minimum of empathy towards me.")</f>
        <v>At the Maaf of then 1998, I was entitled to the life bonus, being considered good driver ... very good. 1 Sinister responsible in December 2017, the MAAF told me that I was going to receive an endorsement to my contract to double my franchise. I have not received anything and signed anything and my contract is being terminated by the MAAF !! Everything is perfect while you have no worries but at the slightest problem, the relationships are no longer the same. A special mention to the agency director of Nantes Penthièvre who notified me by phone my obligation to sign the endorsement but who refused to answer my questions indicating me to be a simple "ambassador" and not know the details of my situation ! Otherwise, the interlocutors are polite but ignore you what appears on their screens and are obviously invested with any advice obligation (!) Except 1 which indicated to me "I will be honest, your contract is being termination! " And has shown a minimum of empathy towards me.</v>
      </c>
    </row>
    <row r="771" ht="15.75" customHeight="1">
      <c r="A771" s="2">
        <v>1.0</v>
      </c>
      <c r="B771" s="2" t="s">
        <v>2167</v>
      </c>
      <c r="C771" s="2" t="s">
        <v>2168</v>
      </c>
      <c r="D771" s="2" t="s">
        <v>1134</v>
      </c>
      <c r="E771" s="2" t="s">
        <v>21</v>
      </c>
      <c r="F771" s="2" t="s">
        <v>15</v>
      </c>
      <c r="G771" s="2" t="s">
        <v>2169</v>
      </c>
      <c r="H771" s="2" t="s">
        <v>284</v>
      </c>
      <c r="I771" s="2" t="str">
        <f>IFERROR(__xludf.DUMMYFUNCTION("GOOGLETRANSLATE(C771,""fr"",""en"")"),"I agree: there are better mutuals")</f>
        <v>I agree: there are better mutuals</v>
      </c>
    </row>
    <row r="772" ht="15.75" customHeight="1">
      <c r="A772" s="2">
        <v>3.0</v>
      </c>
      <c r="B772" s="2" t="s">
        <v>2170</v>
      </c>
      <c r="C772" s="2" t="s">
        <v>2171</v>
      </c>
      <c r="D772" s="2" t="s">
        <v>42</v>
      </c>
      <c r="E772" s="2" t="s">
        <v>43</v>
      </c>
      <c r="F772" s="2" t="s">
        <v>15</v>
      </c>
      <c r="G772" s="2" t="s">
        <v>2172</v>
      </c>
      <c r="H772" s="2" t="s">
        <v>150</v>
      </c>
      <c r="I772" s="2" t="str">
        <f>IFERROR(__xludf.DUMMYFUNCTION("GOOGLETRANSLATE(C772,""fr"",""en"")"),"To subscribe nothing easier and easier. At the subscription I am explained to me that I have to pay 3 months in advance so that AMV has time to set up the samples. In principle I should therefore not be taken for 3 months. I noticed that from the 2nd mont"&amp;"h they started to take me (1st flight of 100 euros). I asked for explanations from the AMV site no answer (when it was to subscribe, there I had an answer right away ...). Seeing winter arriving I decided to reduce my guarantees (at the same time the amou"&amp;"nt of my monthly payments) and thus keep only (theft and fire). I contact AMV by phone and I am explained to me that for the current month I will take the usual amount (around 100 euros), then that the month following the deduction will be made (a pro rat"&amp;"a will be calculated). I was actually taken the usual amount during the current month, on the other hand the month following no pro rata was calculated they were content to take the amount of the new monthly payment ... (Super! 2nd flight, about 30 euros)"&amp;". A misfortune never arriving alone I was robbed my motorcycle on November 23 (fortunately I had not withdrawn the flight). The expert assesses my motorcycle at 8,500 euros (but how many times they want to steal me ...) I inform the expert that the rating"&amp;" (argus) is 10,406 euros. She replies that she is based on market prices (if someone knows the difference between market price and the rating I want the info). I explain to him that the rating corresponds to the market price the different offers that I fi"&amp;"nd confirms the rating (Argus). I ask her to send me the offers she found, we confirm my email address together, then we hang up. She has never sent me anything more since that day impossible to join her ... Every day her assistant tells me a new story (a"&amp;"fter having read my registration). I decide to send an email to a generic mailbox (Madame does not have a professional email address ... they really do not care about my g ....., until today she has still had Not answered my email (it's been almost a week"&amp;"). Fortunately I did not insure my car with them. Insurance to avoid if possible ...")</f>
        <v>To subscribe nothing easier and easier. At the subscription I am explained to me that I have to pay 3 months in advance so that AMV has time to set up the samples. In principle I should therefore not be taken for 3 months. I noticed that from the 2nd month they started to take me (1st flight of 100 euros). I asked for explanations from the AMV site no answer (when it was to subscribe, there I had an answer right away ...). Seeing winter arriving I decided to reduce my guarantees (at the same time the amount of my monthly payments) and thus keep only (theft and fire). I contact AMV by phone and I am explained to me that for the current month I will take the usual amount (around 100 euros), then that the month following the deduction will be made (a pro rata will be calculated). I was actually taken the usual amount during the current month, on the other hand the month following no pro rata was calculated they were content to take the amount of the new monthly payment ... (Super! 2nd flight, about 30 euros). A misfortune never arriving alone I was robbed my motorcycle on November 23 (fortunately I had not withdrawn the flight). The expert assesses my motorcycle at 8,500 euros (but how many times they want to steal me ...) I inform the expert that the rating (argus) is 10,406 euros. She replies that she is based on market prices (if someone knows the difference between market price and the rating I want the info). I explain to him that the rating corresponds to the market price the different offers that I find confirms the rating (Argus). I ask her to send me the offers she found, we confirm my email address together, then we hang up. She has never sent me anything more since that day impossible to join her ... Every day her assistant tells me a new story (after having read my registration). I decide to send an email to a generic mailbox (Madame does not have a professional email address ... they really do not care about my g ....., until today she has still had Not answered my email (it's been almost a week). Fortunately I did not insure my car with them. Insurance to avoid if possible ...</v>
      </c>
    </row>
    <row r="773" ht="15.75" customHeight="1">
      <c r="A773" s="2">
        <v>4.0</v>
      </c>
      <c r="B773" s="2" t="s">
        <v>2173</v>
      </c>
      <c r="C773" s="2" t="s">
        <v>2174</v>
      </c>
      <c r="D773" s="2" t="s">
        <v>13</v>
      </c>
      <c r="E773" s="2" t="s">
        <v>14</v>
      </c>
      <c r="F773" s="2" t="s">
        <v>15</v>
      </c>
      <c r="G773" s="2" t="s">
        <v>528</v>
      </c>
      <c r="H773" s="2" t="s">
        <v>28</v>
      </c>
      <c r="I773" s="2" t="str">
        <f>IFERROR(__xludf.DUMMYFUNCTION("GOOGLETRANSLATE(C773,""fr"",""en"")"),"I am satisfied with the service and the amount
 simplicity of subscription and implementation of the contract
Yours sincerely
")</f>
        <v>I am satisfied with the service and the amount
 simplicity of subscription and implementation of the contract
Yours sincerely
</v>
      </c>
    </row>
    <row r="774" ht="15.75" customHeight="1">
      <c r="A774" s="2">
        <v>2.0</v>
      </c>
      <c r="B774" s="2" t="s">
        <v>2175</v>
      </c>
      <c r="C774" s="2" t="s">
        <v>2176</v>
      </c>
      <c r="D774" s="2" t="s">
        <v>13</v>
      </c>
      <c r="E774" s="2" t="s">
        <v>14</v>
      </c>
      <c r="F774" s="2" t="s">
        <v>15</v>
      </c>
      <c r="G774" s="2" t="s">
        <v>2177</v>
      </c>
      <c r="H774" s="2" t="s">
        <v>1643</v>
      </c>
      <c r="I774" s="2" t="str">
        <f>IFERROR(__xludf.DUMMYFUNCTION("GOOGLETRANSLATE(C774,""fr"",""en"")"),"I have been a customer since 2011 at home, I entered my wife's vehicle and those of 9 of my friends and I am very disappointed recently for disappointments and punitive contributions from which I am a victim. I underwent an accident, a biker came to ""thr"&amp;"ow himself"" on my car in 2015 because he was rolling like a slaomant between the cars on the highway and missed his maneuver near my vehicle by doing the Kéké and I am considered responsible for therefore malus ... then a truck 18 months later which turn"&amp;"s me a gravel and cracks my windshield. Result: an outrageous contribution which has increased more than significantly and standard coverage, on the other hand the samples never lack the call.
I am already being busy to migrate my contract to another com"&amp;"pany which offers me much cheaper, too bad, so far everything was fine ... However I will not leave alone. I will remove my wife and 9 other friends, I will do a good deed by allowing them to save money.")</f>
        <v>I have been a customer since 2011 at home, I entered my wife's vehicle and those of 9 of my friends and I am very disappointed recently for disappointments and punitive contributions from which I am a victim. I underwent an accident, a biker came to "throw himself" on my car in 2015 because he was rolling like a slaomant between the cars on the highway and missed his maneuver near my vehicle by doing the Kéké and I am considered responsible for therefore malus ... then a truck 18 months later which turns me a gravel and cracks my windshield. Result: an outrageous contribution which has increased more than significantly and standard coverage, on the other hand the samples never lack the call.
I am already being busy to migrate my contract to another company which offers me much cheaper, too bad, so far everything was fine ... However I will not leave alone. I will remove my wife and 9 other friends, I will do a good deed by allowing them to save money.</v>
      </c>
    </row>
    <row r="775" ht="15.75" customHeight="1">
      <c r="A775" s="2">
        <v>4.0</v>
      </c>
      <c r="B775" s="2" t="s">
        <v>2178</v>
      </c>
      <c r="C775" s="2" t="s">
        <v>2179</v>
      </c>
      <c r="D775" s="2" t="s">
        <v>97</v>
      </c>
      <c r="E775" s="2" t="s">
        <v>43</v>
      </c>
      <c r="F775" s="2" t="s">
        <v>15</v>
      </c>
      <c r="G775" s="2" t="s">
        <v>528</v>
      </c>
      <c r="H775" s="2" t="s">
        <v>28</v>
      </c>
      <c r="I775" s="2" t="str">
        <f>IFERROR(__xludf.DUMMYFUNCTION("GOOGLETRANSLATE(C775,""fr"",""en"")"),"For the moment everything suits me to see on the future if everything goes as well as the subscription of the contract which has been fast. Prices are reasonable too.")</f>
        <v>For the moment everything suits me to see on the future if everything goes as well as the subscription of the contract which has been fast. Prices are reasonable too.</v>
      </c>
    </row>
    <row r="776" ht="15.75" customHeight="1">
      <c r="A776" s="2">
        <v>4.0</v>
      </c>
      <c r="B776" s="2" t="s">
        <v>2180</v>
      </c>
      <c r="C776" s="2" t="s">
        <v>2181</v>
      </c>
      <c r="D776" s="2" t="s">
        <v>47</v>
      </c>
      <c r="E776" s="2" t="s">
        <v>14</v>
      </c>
      <c r="F776" s="2" t="s">
        <v>15</v>
      </c>
      <c r="G776" s="2" t="s">
        <v>1402</v>
      </c>
      <c r="H776" s="2" t="s">
        <v>56</v>
      </c>
      <c r="I776" s="2" t="str">
        <f>IFERROR(__xludf.DUMMYFUNCTION("GOOGLETRANSLATE(C776,""fr"",""en"")"),"I am satisfied with the service,
interesting value for money
Electronic signature that makes life easier; No need to send documents by mail
")</f>
        <v>I am satisfied with the service,
interesting value for money
Electronic signature that makes life easier; No need to send documents by mail
</v>
      </c>
    </row>
    <row r="777" ht="15.75" customHeight="1">
      <c r="A777" s="2">
        <v>4.0</v>
      </c>
      <c r="B777" s="2" t="s">
        <v>2182</v>
      </c>
      <c r="C777" s="2" t="s">
        <v>2183</v>
      </c>
      <c r="D777" s="2" t="s">
        <v>97</v>
      </c>
      <c r="E777" s="2" t="s">
        <v>43</v>
      </c>
      <c r="F777" s="2" t="s">
        <v>15</v>
      </c>
      <c r="G777" s="2" t="s">
        <v>797</v>
      </c>
      <c r="H777" s="2" t="s">
        <v>60</v>
      </c>
      <c r="I777" s="2" t="str">
        <f>IFERROR(__xludf.DUMMYFUNCTION("GOOGLETRANSLATE(C777,""fr"",""en"")"),"Taken suitable to compare to the rest of the market. The 24/7 service is a plus in the event of a problem to see if over time the service is reactive to a question or a problem")</f>
        <v>Taken suitable to compare to the rest of the market. The 24/7 service is a plus in the event of a problem to see if over time the service is reactive to a question or a problem</v>
      </c>
    </row>
    <row r="778" ht="15.75" customHeight="1">
      <c r="A778" s="2">
        <v>4.0</v>
      </c>
      <c r="B778" s="2" t="s">
        <v>2184</v>
      </c>
      <c r="C778" s="2" t="s">
        <v>2185</v>
      </c>
      <c r="D778" s="2" t="s">
        <v>483</v>
      </c>
      <c r="E778" s="2" t="s">
        <v>21</v>
      </c>
      <c r="F778" s="2" t="s">
        <v>15</v>
      </c>
      <c r="G778" s="2" t="s">
        <v>2186</v>
      </c>
      <c r="H778" s="2" t="s">
        <v>74</v>
      </c>
      <c r="I778" s="2" t="str">
        <f>IFERROR(__xludf.DUMMYFUNCTION("GOOGLETRANSLATE(C778,""fr"",""en"")"),"Always welcomed by phone and well sharpened in the answers. The prices have been redesigned and I appreciate alignment with other mutuals.")</f>
        <v>Always welcomed by phone and well sharpened in the answers. The prices have been redesigned and I appreciate alignment with other mutuals.</v>
      </c>
    </row>
    <row r="779" ht="15.75" customHeight="1">
      <c r="A779" s="2">
        <v>5.0</v>
      </c>
      <c r="B779" s="2" t="s">
        <v>2187</v>
      </c>
      <c r="C779" s="2" t="s">
        <v>2188</v>
      </c>
      <c r="D779" s="2" t="s">
        <v>47</v>
      </c>
      <c r="E779" s="2" t="s">
        <v>14</v>
      </c>
      <c r="F779" s="2" t="s">
        <v>15</v>
      </c>
      <c r="G779" s="2" t="s">
        <v>678</v>
      </c>
      <c r="H779" s="2" t="s">
        <v>56</v>
      </c>
      <c r="I779" s="2" t="str">
        <f>IFERROR(__xludf.DUMMYFUNCTION("GOOGLETRANSLATE(C779,""fr"",""en"")"),"I am satisfied with the service and the price, I will come back to you rather possible, to ensure my apartment and my second car. I am very satisfied !")</f>
        <v>I am satisfied with the service and the price, I will come back to you rather possible, to ensure my apartment and my second car. I am very satisfied !</v>
      </c>
    </row>
    <row r="780" ht="15.75" customHeight="1">
      <c r="A780" s="2">
        <v>1.0</v>
      </c>
      <c r="B780" s="2" t="s">
        <v>2189</v>
      </c>
      <c r="C780" s="2" t="s">
        <v>2190</v>
      </c>
      <c r="D780" s="2" t="s">
        <v>26</v>
      </c>
      <c r="E780" s="2" t="s">
        <v>14</v>
      </c>
      <c r="F780" s="2" t="s">
        <v>15</v>
      </c>
      <c r="G780" s="2" t="s">
        <v>2191</v>
      </c>
      <c r="H780" s="2" t="s">
        <v>69</v>
      </c>
      <c r="I780" s="2" t="str">
        <f>IFERROR(__xludf.DUMMYFUNCTION("GOOGLETRANSLATE(C780,""fr"",""en"")"),"Change of insurance contracts without telling the insured we no longer understand anything because I am told different ways for the same subject and we do not say his say knows as his")</f>
        <v>Change of insurance contracts without telling the insured we no longer understand anything because I am told different ways for the same subject and we do not say his say knows as his</v>
      </c>
    </row>
    <row r="781" ht="15.75" customHeight="1">
      <c r="A781" s="2">
        <v>5.0</v>
      </c>
      <c r="B781" s="2" t="s">
        <v>2192</v>
      </c>
      <c r="C781" s="2" t="s">
        <v>2193</v>
      </c>
      <c r="D781" s="2" t="s">
        <v>13</v>
      </c>
      <c r="E781" s="2" t="s">
        <v>14</v>
      </c>
      <c r="F781" s="2" t="s">
        <v>15</v>
      </c>
      <c r="G781" s="2" t="s">
        <v>2194</v>
      </c>
      <c r="H781" s="2" t="s">
        <v>56</v>
      </c>
      <c r="I781" s="2" t="str">
        <f>IFERROR(__xludf.DUMMYFUNCTION("GOOGLETRANSLATE(C781,""fr"",""en"")"),"I am satisfied with customer service as well as the price offer that was offered to me. The guarantees that cover my vehicles satisfy me. Cordially")</f>
        <v>I am satisfied with customer service as well as the price offer that was offered to me. The guarantees that cover my vehicles satisfy me. Cordially</v>
      </c>
    </row>
    <row r="782" ht="15.75" customHeight="1">
      <c r="A782" s="2">
        <v>5.0</v>
      </c>
      <c r="B782" s="2" t="s">
        <v>2195</v>
      </c>
      <c r="C782" s="2" t="s">
        <v>2196</v>
      </c>
      <c r="D782" s="2" t="s">
        <v>13</v>
      </c>
      <c r="E782" s="2" t="s">
        <v>14</v>
      </c>
      <c r="F782" s="2" t="s">
        <v>15</v>
      </c>
      <c r="G782" s="2" t="s">
        <v>279</v>
      </c>
      <c r="H782" s="2" t="s">
        <v>28</v>
      </c>
      <c r="I782" s="2" t="str">
        <f>IFERROR(__xludf.DUMMYFUNCTION("GOOGLETRANSLATE(C782,""fr"",""en"")"),"I am satisfied with the service, a little expensive but it is not far serious since I am a young driver, I hope to have the best insurance at home and your confidence")</f>
        <v>I am satisfied with the service, a little expensive but it is not far serious since I am a young driver, I hope to have the best insurance at home and your confidence</v>
      </c>
    </row>
    <row r="783" ht="15.75" customHeight="1">
      <c r="A783" s="2">
        <v>4.0</v>
      </c>
      <c r="B783" s="2" t="s">
        <v>2197</v>
      </c>
      <c r="C783" s="2" t="s">
        <v>2198</v>
      </c>
      <c r="D783" s="2" t="s">
        <v>13</v>
      </c>
      <c r="E783" s="2" t="s">
        <v>14</v>
      </c>
      <c r="F783" s="2" t="s">
        <v>15</v>
      </c>
      <c r="G783" s="2" t="s">
        <v>390</v>
      </c>
      <c r="H783" s="2" t="s">
        <v>60</v>
      </c>
      <c r="I783" s="2" t="str">
        <f>IFERROR(__xludf.DUMMYFUNCTION("GOOGLETRANSLATE(C783,""fr"",""en"")"),"I am satisfied to have been advised by Papernest.
I was well accompanied in my efforts, for change of domicile.
Insurance is at a correct price and the guarantees are good.")</f>
        <v>I am satisfied to have been advised by Papernest.
I was well accompanied in my efforts, for change of domicile.
Insurance is at a correct price and the guarantees are good.</v>
      </c>
    </row>
    <row r="784" ht="15.75" customHeight="1">
      <c r="A784" s="2">
        <v>2.0</v>
      </c>
      <c r="B784" s="2" t="s">
        <v>2199</v>
      </c>
      <c r="C784" s="2" t="s">
        <v>2200</v>
      </c>
      <c r="D784" s="2" t="s">
        <v>239</v>
      </c>
      <c r="E784" s="2" t="s">
        <v>32</v>
      </c>
      <c r="F784" s="2" t="s">
        <v>15</v>
      </c>
      <c r="G784" s="2" t="s">
        <v>2201</v>
      </c>
      <c r="H784" s="2" t="s">
        <v>418</v>
      </c>
      <c r="I784" s="2" t="str">
        <f>IFERROR(__xludf.DUMMYFUNCTION("GOOGLETRANSLATE(C784,""fr"",""en"")"),"Client with them since 2005 for my home loan insurance. Always up to date to pay my contributions. In 2012, a request for compensation because hospitalized and a total of 242 days of sickness and active, April refused my request. Currently in ALD 100% in "&amp;"November 2016 therefore the continuity of this 2012 disease, which it took 5 years to put a name but also to deteriorate more my body. So as soon as I worked, I was constantly ending up in stop ... So a lot of use, in sickness, no right, therefore the M ."&amp;"... e. I am waiting for my request for disability, unable to work. I sent all the documents, called, the period of 90 days of franchise has passed, on the other hand with regard to the response for their decision not new to them in writing.")</f>
        <v>Client with them since 2005 for my home loan insurance. Always up to date to pay my contributions. In 2012, a request for compensation because hospitalized and a total of 242 days of sickness and active, April refused my request. Currently in ALD 100% in November 2016 therefore the continuity of this 2012 disease, which it took 5 years to put a name but also to deteriorate more my body. So as soon as I worked, I was constantly ending up in stop ... So a lot of use, in sickness, no right, therefore the M .... e. I am waiting for my request for disability, unable to work. I sent all the documents, called, the period of 90 days of franchise has passed, on the other hand with regard to the response for their decision not new to them in writing.</v>
      </c>
    </row>
    <row r="785" ht="15.75" customHeight="1">
      <c r="A785" s="2">
        <v>1.0</v>
      </c>
      <c r="B785" s="2" t="s">
        <v>2202</v>
      </c>
      <c r="C785" s="2" t="s">
        <v>2203</v>
      </c>
      <c r="D785" s="2" t="s">
        <v>253</v>
      </c>
      <c r="E785" s="2" t="s">
        <v>21</v>
      </c>
      <c r="F785" s="2" t="s">
        <v>15</v>
      </c>
      <c r="G785" s="2" t="s">
        <v>78</v>
      </c>
      <c r="H785" s="2" t="s">
        <v>79</v>
      </c>
      <c r="I785" s="2" t="str">
        <f>IFERROR(__xludf.DUMMYFUNCTION("GOOGLETRANSLATE(C785,""fr"",""en"")"),"Demacking such as no contract Sign request for bank account and take abusive make ???? Nope")</f>
        <v>Demacking such as no contract Sign request for bank account and take abusive make ???? Nope</v>
      </c>
    </row>
    <row r="786" ht="15.75" customHeight="1">
      <c r="A786" s="2">
        <v>5.0</v>
      </c>
      <c r="B786" s="2" t="s">
        <v>2204</v>
      </c>
      <c r="C786" s="2" t="s">
        <v>2205</v>
      </c>
      <c r="D786" s="2" t="s">
        <v>13</v>
      </c>
      <c r="E786" s="2" t="s">
        <v>14</v>
      </c>
      <c r="F786" s="2" t="s">
        <v>15</v>
      </c>
      <c r="G786" s="2" t="s">
        <v>992</v>
      </c>
      <c r="H786" s="2" t="s">
        <v>69</v>
      </c>
      <c r="I786" s="2" t="str">
        <f>IFERROR(__xludf.DUMMYFUNCTION("GOOGLETRANSLATE(C786,""fr"",""en"")"),"I am satisfied with the Service The Inscription is simple and quick
Very understandable and easy
Available if there are questions
Thanks a lot.")</f>
        <v>I am satisfied with the Service The Inscription is simple and quick
Very understandable and easy
Available if there are questions
Thanks a lot.</v>
      </c>
    </row>
    <row r="787" ht="15.75" customHeight="1">
      <c r="A787" s="2">
        <v>4.0</v>
      </c>
      <c r="B787" s="2" t="s">
        <v>2206</v>
      </c>
      <c r="C787" s="2" t="s">
        <v>2207</v>
      </c>
      <c r="D787" s="2" t="s">
        <v>223</v>
      </c>
      <c r="E787" s="2" t="s">
        <v>77</v>
      </c>
      <c r="F787" s="2" t="s">
        <v>15</v>
      </c>
      <c r="G787" s="2" t="s">
        <v>108</v>
      </c>
      <c r="H787" s="2" t="s">
        <v>87</v>
      </c>
      <c r="I787" s="2" t="str">
        <f>IFERROR(__xludf.DUMMYFUNCTION("GOOGLETRANSLATE(C787,""fr"",""en"")"),"I am very satisfied with the diligence with which my disaster was treated. I can't wait to see the work is confirmed. Diligence also on the payment of the costs caused.")</f>
        <v>I am very satisfied with the diligence with which my disaster was treated. I can't wait to see the work is confirmed. Diligence also on the payment of the costs caused.</v>
      </c>
    </row>
    <row r="788" ht="15.75" customHeight="1">
      <c r="A788" s="2">
        <v>2.0</v>
      </c>
      <c r="B788" s="2" t="s">
        <v>2208</v>
      </c>
      <c r="C788" s="2" t="s">
        <v>2209</v>
      </c>
      <c r="D788" s="2" t="s">
        <v>63</v>
      </c>
      <c r="E788" s="2" t="s">
        <v>77</v>
      </c>
      <c r="F788" s="2" t="s">
        <v>15</v>
      </c>
      <c r="G788" s="2" t="s">
        <v>2210</v>
      </c>
      <c r="H788" s="2" t="s">
        <v>49</v>
      </c>
      <c r="I788" s="2" t="str">
        <f>IFERROR(__xludf.DUMMYFUNCTION("GOOGLETRANSLATE(C788,""fr"",""en"")"),"Hello,
Militant insurer ???
MAIF has a hard time recognizing its mistakes and once recognized it puts you outside !!!
MAIF member since 2002. 1 minor sinister, in 2019, not responsible, generating expertise. During this passage, the expert attrac"&amp;"ts our attention: according to him our home would not be covered correctly. In the process, reception of a maif letter indicating that our contract did not cover us properly….
4 months of requests to the MAIF to have information: without return (would be"&amp;" linked to confinement, etc.).
After these months of concern, we are indeed covered correctly! Phew !!! Finally, this is an internal ""administrative"" error in the MAIF!
But the situation is tense with the agency director and the elected member, th"&amp;"ey apologize ... in September 2021! (The least of things after 4 months of concern and lack of return from Maif!).
October 2021, receipt of a registered letter, indicating that our contracts would be terminated on December 31, 2021 !!!
Three hypothese"&amp;"s:
1/ This radiation is a new administrative error internal to the MAIF, therefore correctable ...
2/ Isolated case, limited to a local policy: the agency manager and elected official wish to demonstrate their local ""power"", if this is the case is wor"&amp;"rying, but correctable ...
3/ General policy of the MAIF…! If this is the case it is very worried about an insurer presenting himself as an activist.
I allow myself this message: access to my Maif account for the taking of an explanatory meeting were "&amp;"blocked to me ... ??.
")</f>
        <v>Hello,
Militant insurer ???
MAIF has a hard time recognizing its mistakes and once recognized it puts you outside !!!
MAIF member since 2002. 1 minor sinister, in 2019, not responsible, generating expertise. During this passage, the expert attracts our attention: according to him our home would not be covered correctly. In the process, reception of a maif letter indicating that our contract did not cover us properly….
4 months of requests to the MAIF to have information: without return (would be linked to confinement, etc.).
After these months of concern, we are indeed covered correctly! Phew !!! Finally, this is an internal "administrative" error in the MAIF!
But the situation is tense with the agency director and the elected member, they apologize ... in September 2021! (The least of things after 4 months of concern and lack of return from Maif!).
October 2021, receipt of a registered letter, indicating that our contracts would be terminated on December 31, 2021 !!!
Three hypotheses:
1/ This radiation is a new administrative error internal to the MAIF, therefore correctable ...
2/ Isolated case, limited to a local policy: the agency manager and elected official wish to demonstrate their local "power", if this is the case is worrying, but correctable ...
3/ General policy of the MAIF…! If this is the case it is very worried about an insurer presenting himself as an activist.
I allow myself this message: access to my Maif account for the taking of an explanatory meeting were blocked to me ... ??.
</v>
      </c>
    </row>
    <row r="789" ht="15.75" customHeight="1">
      <c r="A789" s="2">
        <v>1.0</v>
      </c>
      <c r="B789" s="2" t="s">
        <v>2211</v>
      </c>
      <c r="C789" s="2" t="s">
        <v>2212</v>
      </c>
      <c r="D789" s="2" t="s">
        <v>63</v>
      </c>
      <c r="E789" s="2" t="s">
        <v>14</v>
      </c>
      <c r="F789" s="2" t="s">
        <v>15</v>
      </c>
      <c r="G789" s="2" t="s">
        <v>835</v>
      </c>
      <c r="H789" s="2" t="s">
        <v>270</v>
      </c>
      <c r="I789" s="2" t="str">
        <f>IFERROR(__xludf.DUMMYFUNCTION("GOOGLETRANSLATE(C789,""fr"",""en"")"),"Maif Best Customer Service .....
Whenever I phone more than 8 minutes ago.
When you ask for an information statement to leave this mutual insurance company, very unpleasant on the phone")</f>
        <v>Maif Best Customer Service .....
Whenever I phone more than 8 minutes ago.
When you ask for an information statement to leave this mutual insurance company, very unpleasant on the phone</v>
      </c>
    </row>
    <row r="790" ht="15.75" customHeight="1">
      <c r="A790" s="2">
        <v>5.0</v>
      </c>
      <c r="B790" s="2" t="s">
        <v>2213</v>
      </c>
      <c r="C790" s="2" t="s">
        <v>2214</v>
      </c>
      <c r="D790" s="2" t="s">
        <v>13</v>
      </c>
      <c r="E790" s="2" t="s">
        <v>14</v>
      </c>
      <c r="F790" s="2" t="s">
        <v>15</v>
      </c>
      <c r="G790" s="2" t="s">
        <v>2215</v>
      </c>
      <c r="H790" s="2" t="s">
        <v>125</v>
      </c>
      <c r="I790" s="2" t="str">
        <f>IFERROR(__xludf.DUMMYFUNCTION("GOOGLETRANSLATE(C790,""fr"",""en"")"),"Fast and easy to use service. Effective I had the quote that I could not have anywhere else in less than five minutes and at a price more than affordable!")</f>
        <v>Fast and easy to use service. Effective I had the quote that I could not have anywhere else in less than five minutes and at a price more than affordable!</v>
      </c>
    </row>
    <row r="791" ht="15.75" customHeight="1">
      <c r="A791" s="2">
        <v>3.0</v>
      </c>
      <c r="B791" s="2" t="s">
        <v>2216</v>
      </c>
      <c r="C791" s="2" t="s">
        <v>2217</v>
      </c>
      <c r="D791" s="2" t="s">
        <v>97</v>
      </c>
      <c r="E791" s="2" t="s">
        <v>43</v>
      </c>
      <c r="F791" s="2" t="s">
        <v>15</v>
      </c>
      <c r="G791" s="2" t="s">
        <v>98</v>
      </c>
      <c r="H791" s="2" t="s">
        <v>99</v>
      </c>
      <c r="I791" s="2" t="str">
        <f>IFERROR(__xludf.DUMMYFUNCTION("GOOGLETRANSLATE(C791,""fr"",""en"")"),"I am satisfied with the service, prices and conditions suit me. For the moment I can't advance more, we will see later if")</f>
        <v>I am satisfied with the service, prices and conditions suit me. For the moment I can't advance more, we will see later if</v>
      </c>
    </row>
    <row r="792" ht="15.75" customHeight="1">
      <c r="A792" s="2">
        <v>3.0</v>
      </c>
      <c r="B792" s="2" t="s">
        <v>2218</v>
      </c>
      <c r="C792" s="2" t="s">
        <v>2219</v>
      </c>
      <c r="D792" s="2" t="s">
        <v>47</v>
      </c>
      <c r="E792" s="2" t="s">
        <v>14</v>
      </c>
      <c r="F792" s="2" t="s">
        <v>15</v>
      </c>
      <c r="G792" s="2" t="s">
        <v>1521</v>
      </c>
      <c r="H792" s="2" t="s">
        <v>17</v>
      </c>
      <c r="I792" s="2" t="str">
        <f>IFERROR(__xludf.DUMMYFUNCTION("GOOGLETRANSLATE(C792,""fr"",""en"")"),"I am assured the olive tree for its prices and the simplicity via the internet it is a shame not to make more effort on home insurance.ca remains a good company")</f>
        <v>I am assured the olive tree for its prices and the simplicity via the internet it is a shame not to make more effort on home insurance.ca remains a good company</v>
      </c>
    </row>
    <row r="793" ht="15.75" customHeight="1">
      <c r="A793" s="2">
        <v>1.0</v>
      </c>
      <c r="B793" s="2" t="s">
        <v>2220</v>
      </c>
      <c r="C793" s="2" t="s">
        <v>2221</v>
      </c>
      <c r="D793" s="2" t="s">
        <v>137</v>
      </c>
      <c r="E793" s="2" t="s">
        <v>138</v>
      </c>
      <c r="F793" s="2" t="s">
        <v>15</v>
      </c>
      <c r="G793" s="2" t="s">
        <v>788</v>
      </c>
      <c r="H793" s="2" t="s">
        <v>165</v>
      </c>
      <c r="I793" s="2" t="str">
        <f>IFERROR(__xludf.DUMMYFUNCTION("GOOGLETRANSLATE(C793,""fr"",""en"")"),"In ordinary illness in July 2016 to March 2017. I received the additional salary finally shift it for a few months. Following two medical checks at my request to justify my illness, the management center made as a decision with my agreement and my well-be"&amp;"ing my request for a resumption of therapeutic half-time. Following this decision I was recognized in long illness. My half with my full salary by my employer. In view of this decision. Interior demands me the reimbursement of my salary maintenance percei"&amp;"ved during my ordinary illness. Currently in a big hassle because I have been recognized as a disability since October 2017. To date I now receive recovery opinions under the cover of a bailiff. I will of course file an appeal because we pay a product wit"&amp;"h compensation that is not real. I would like to reassure you despite the situation, they do not forget the levy of contributions. I let you imagine what a member represents for this interior insurance. No respect . It is purely inadmissible.")</f>
        <v>In ordinary illness in July 2016 to March 2017. I received the additional salary finally shift it for a few months. Following two medical checks at my request to justify my illness, the management center made as a decision with my agreement and my well-being my request for a resumption of therapeutic half-time. Following this decision I was recognized in long illness. My half with my full salary by my employer. In view of this decision. Interior demands me the reimbursement of my salary maintenance perceived during my ordinary illness. Currently in a big hassle because I have been recognized as a disability since October 2017. To date I now receive recovery opinions under the cover of a bailiff. I will of course file an appeal because we pay a product with compensation that is not real. I would like to reassure you despite the situation, they do not forget the levy of contributions. I let you imagine what a member represents for this interior insurance. No respect . It is purely inadmissible.</v>
      </c>
    </row>
    <row r="794" ht="15.75" customHeight="1">
      <c r="A794" s="2">
        <v>5.0</v>
      </c>
      <c r="B794" s="2" t="s">
        <v>2222</v>
      </c>
      <c r="C794" s="2" t="s">
        <v>2223</v>
      </c>
      <c r="D794" s="2" t="s">
        <v>13</v>
      </c>
      <c r="E794" s="2" t="s">
        <v>14</v>
      </c>
      <c r="F794" s="2" t="s">
        <v>15</v>
      </c>
      <c r="G794" s="2" t="s">
        <v>2224</v>
      </c>
      <c r="H794" s="2" t="s">
        <v>69</v>
      </c>
      <c r="I794" s="2" t="str">
        <f>IFERROR(__xludf.DUMMYFUNCTION("GOOGLETRANSLATE(C794,""fr"",""en"")"),"Simple and practical, I am satisfied with your service, it was very fast too. Thank you for ease. Bravo for your work, you saved me.")</f>
        <v>Simple and practical, I am satisfied with your service, it was very fast too. Thank you for ease. Bravo for your work, you saved me.</v>
      </c>
    </row>
    <row r="795" ht="15.75" customHeight="1">
      <c r="A795" s="2">
        <v>5.0</v>
      </c>
      <c r="B795" s="2" t="s">
        <v>2225</v>
      </c>
      <c r="C795" s="2" t="s">
        <v>2226</v>
      </c>
      <c r="D795" s="2" t="s">
        <v>13</v>
      </c>
      <c r="E795" s="2" t="s">
        <v>14</v>
      </c>
      <c r="F795" s="2" t="s">
        <v>15</v>
      </c>
      <c r="G795" s="2" t="s">
        <v>2227</v>
      </c>
      <c r="H795" s="2" t="s">
        <v>17</v>
      </c>
      <c r="I795" s="2" t="str">
        <f>IFERROR(__xludf.DUMMYFUNCTION("GOOGLETRANSLATE(C795,""fr"",""en"")"),"I am very satisfied. The price is very reasonable being a young license I highly recommend direct insurance for your start
Cordially")</f>
        <v>I am very satisfied. The price is very reasonable being a young license I highly recommend direct insurance for your start
Cordially</v>
      </c>
    </row>
    <row r="796" ht="15.75" customHeight="1">
      <c r="A796" s="2">
        <v>5.0</v>
      </c>
      <c r="B796" s="2" t="s">
        <v>2228</v>
      </c>
      <c r="C796" s="2" t="s">
        <v>2229</v>
      </c>
      <c r="D796" s="2" t="s">
        <v>890</v>
      </c>
      <c r="E796" s="2" t="s">
        <v>32</v>
      </c>
      <c r="F796" s="2" t="s">
        <v>15</v>
      </c>
      <c r="G796" s="2" t="s">
        <v>412</v>
      </c>
      <c r="H796" s="2" t="s">
        <v>17</v>
      </c>
      <c r="I796" s="2" t="str">
        <f>IFERROR(__xludf.DUMMYFUNCTION("GOOGLETRANSLATE(C796,""fr"",""en"")"),"Quotation speed and contract, Competitive price compared to my bank's insurance, pressed changed insurance as soon as possible, large sum economized on total credit")</f>
        <v>Quotation speed and contract, Competitive price compared to my bank's insurance, pressed changed insurance as soon as possible, large sum economized on total credit</v>
      </c>
    </row>
    <row r="797" ht="15.75" customHeight="1">
      <c r="A797" s="2">
        <v>3.0</v>
      </c>
      <c r="B797" s="2" t="s">
        <v>2230</v>
      </c>
      <c r="C797" s="2" t="s">
        <v>2231</v>
      </c>
      <c r="D797" s="2" t="s">
        <v>13</v>
      </c>
      <c r="E797" s="2" t="s">
        <v>14</v>
      </c>
      <c r="F797" s="2" t="s">
        <v>15</v>
      </c>
      <c r="G797" s="2" t="s">
        <v>1527</v>
      </c>
      <c r="H797" s="2" t="s">
        <v>56</v>
      </c>
      <c r="I797" s="2" t="str">
        <f>IFERROR(__xludf.DUMMYFUNCTION("GOOGLETRANSLATE(C797,""fr"",""en"")"),"Difficult to have correct information in the event of a problem! Contact by email is insufficient, no clear answers. I don't know how to replace my windshield")</f>
        <v>Difficult to have correct information in the event of a problem! Contact by email is insufficient, no clear answers. I don't know how to replace my windshield</v>
      </c>
    </row>
    <row r="798" ht="15.75" customHeight="1">
      <c r="A798" s="2">
        <v>1.0</v>
      </c>
      <c r="B798" s="2" t="s">
        <v>2232</v>
      </c>
      <c r="C798" s="2" t="s">
        <v>2233</v>
      </c>
      <c r="D798" s="2" t="s">
        <v>133</v>
      </c>
      <c r="E798" s="2" t="s">
        <v>14</v>
      </c>
      <c r="F798" s="2" t="s">
        <v>15</v>
      </c>
      <c r="G798" s="2" t="s">
        <v>2234</v>
      </c>
      <c r="H798" s="2" t="s">
        <v>300</v>
      </c>
      <c r="I798" s="2" t="str">
        <f>IFERROR(__xludf.DUMMYFUNCTION("GOOGLETRANSLATE(C798,""fr"",""en"")"),"Allianz allows itself to increase its price by 8% without any explanation. No discussion possible with the advisor who takes refuge behind a ""decision"" from the siege.")</f>
        <v>Allianz allows itself to increase its price by 8% without any explanation. No discussion possible with the advisor who takes refuge behind a "decision" from the siege.</v>
      </c>
    </row>
    <row r="799" ht="15.75" customHeight="1">
      <c r="A799" s="2">
        <v>3.0</v>
      </c>
      <c r="B799" s="2" t="s">
        <v>2235</v>
      </c>
      <c r="C799" s="2" t="s">
        <v>2236</v>
      </c>
      <c r="D799" s="2" t="s">
        <v>72</v>
      </c>
      <c r="E799" s="2" t="s">
        <v>21</v>
      </c>
      <c r="F799" s="2" t="s">
        <v>15</v>
      </c>
      <c r="G799" s="2" t="s">
        <v>770</v>
      </c>
      <c r="H799" s="2" t="s">
        <v>17</v>
      </c>
      <c r="I799" s="2" t="str">
        <f>IFERROR(__xludf.DUMMYFUNCTION("GOOGLETRANSLATE(C799,""fr"",""en"")"),"I did not have an answer to this day on a request for management of glasses ...
I was able to reach customer service without difficulty and I was very well informed by Emeline, who was able to unravel the skein. In fact instead of one quote from one and "&amp;"another care in the other, opticians had made 2 requests for care from where blocking.
Suddenly, if I am very satisfied with the professionalism and the efficiency of Emeline, I am not at all at all (or the) manager who seeing the dispute did not contact"&amp;"ed me in a way or of another one . Balance sheet a week of lost! This insurance is not expensive, certainly, but it is not the cheapest either, given the reimbursement rates, but if it is also necessary to call them all on the 4 morning to have answers .."&amp;".. in Anyway, thank you Emeline.
,,")</f>
        <v>I did not have an answer to this day on a request for management of glasses ...
I was able to reach customer service without difficulty and I was very well informed by Emeline, who was able to unravel the skein. In fact instead of one quote from one and another care in the other, opticians had made 2 requests for care from where blocking.
Suddenly, if I am very satisfied with the professionalism and the efficiency of Emeline, I am not at all at all (or the) manager who seeing the dispute did not contacted me in a way or of another one . Balance sheet a week of lost! This insurance is not expensive, certainly, but it is not the cheapest either, given the reimbursement rates, but if it is also necessary to call them all on the 4 morning to have answers .... in Anyway, thank you Emeline.
,,</v>
      </c>
    </row>
    <row r="800" ht="15.75" customHeight="1">
      <c r="A800" s="2">
        <v>1.0</v>
      </c>
      <c r="B800" s="2" t="s">
        <v>2237</v>
      </c>
      <c r="C800" s="2" t="s">
        <v>2238</v>
      </c>
      <c r="D800" s="2" t="s">
        <v>243</v>
      </c>
      <c r="E800" s="2" t="s">
        <v>77</v>
      </c>
      <c r="F800" s="2" t="s">
        <v>15</v>
      </c>
      <c r="G800" s="2" t="s">
        <v>788</v>
      </c>
      <c r="H800" s="2" t="s">
        <v>165</v>
      </c>
      <c r="I800" s="2" t="str">
        <f>IFERROR(__xludf.DUMMYFUNCTION("GOOGLETRANSLATE(C800,""fr"",""en"")"),"Following an overvoltage in 2 residences, I contact the sinister service to declare the almost total loss of the electro-mining set. An expert is therefore mandated. Following its passage, I am told that I can renew my devices. After 2 months, and after a"&amp;" lot of reminders, I receive the expert's report. It is indicated that only the laptop needs a repair quote. Repair consists of replacing the power supply. So no need for a quote. 1 month later, I am asked for quotes from other devices that I no longer ha"&amp;"ve and at my expense in addition. My responsibility is not engaged, insurance is therefore returned against Enedis. The latter is claiming supposedly the quotes. After 4 months, the insurance reimbursed me the amount of my guarantees and must therefore go"&amp;" and recover the obsolescence as well as my franchise from Enedis. And for several reminders, I have been insulted with a liar and that my file is closed. I therefore ask to use my legal protection against Enedis. I am indicated that the amount of the dam"&amp;"age is less than the amount of legal costs ... without specifying the amount. My damage is 1200 euros as well as the franchise. I consult the conditions and call me that legal protection can be used from 431 euros and that the reimbursement must not excee"&amp;"d 30 days ... I therefore have contain the sinister service, but no more news ... Finally, The only thing that respects is the levy of monthly payments on my account.")</f>
        <v>Following an overvoltage in 2 residences, I contact the sinister service to declare the almost total loss of the electro-mining set. An expert is therefore mandated. Following its passage, I am told that I can renew my devices. After 2 months, and after a lot of reminders, I receive the expert's report. It is indicated that only the laptop needs a repair quote. Repair consists of replacing the power supply. So no need for a quote. 1 month later, I am asked for quotes from other devices that I no longer have and at my expense in addition. My responsibility is not engaged, insurance is therefore returned against Enedis. The latter is claiming supposedly the quotes. After 4 months, the insurance reimbursed me the amount of my guarantees and must therefore go and recover the obsolescence as well as my franchise from Enedis. And for several reminders, I have been insulted with a liar and that my file is closed. I therefore ask to use my legal protection against Enedis. I am indicated that the amount of the damage is less than the amount of legal costs ... without specifying the amount. My damage is 1200 euros as well as the franchise. I consult the conditions and call me that legal protection can be used from 431 euros and that the reimbursement must not exceed 30 days ... I therefore have contain the sinister service, but no more news ... Finally, The only thing that respects is the levy of monthly payments on my account.</v>
      </c>
    </row>
    <row r="801" ht="15.75" customHeight="1">
      <c r="A801" s="2">
        <v>3.0</v>
      </c>
      <c r="B801" s="2" t="s">
        <v>2239</v>
      </c>
      <c r="C801" s="2" t="s">
        <v>2240</v>
      </c>
      <c r="D801" s="2" t="s">
        <v>13</v>
      </c>
      <c r="E801" s="2" t="s">
        <v>14</v>
      </c>
      <c r="F801" s="2" t="s">
        <v>15</v>
      </c>
      <c r="G801" s="2" t="s">
        <v>68</v>
      </c>
      <c r="H801" s="2" t="s">
        <v>69</v>
      </c>
      <c r="I801" s="2" t="str">
        <f>IFERROR(__xludf.DUMMYFUNCTION("GOOGLETRANSLATE(C801,""fr"",""en"")"),"Overall I am satisfied. But we would have liked our seniority with Direct Asssurance to be taken into account despite a recent sinister made by my spouse. Hello")</f>
        <v>Overall I am satisfied. But we would have liked our seniority with Direct Asssurance to be taken into account despite a recent sinister made by my spouse. Hello</v>
      </c>
    </row>
    <row r="802" ht="15.75" customHeight="1">
      <c r="A802" s="2">
        <v>1.0</v>
      </c>
      <c r="B802" s="2" t="s">
        <v>2241</v>
      </c>
      <c r="C802" s="2" t="s">
        <v>2242</v>
      </c>
      <c r="D802" s="2" t="s">
        <v>253</v>
      </c>
      <c r="E802" s="2" t="s">
        <v>21</v>
      </c>
      <c r="F802" s="2" t="s">
        <v>15</v>
      </c>
      <c r="G802" s="2" t="s">
        <v>2243</v>
      </c>
      <c r="H802" s="2" t="s">
        <v>121</v>
      </c>
      <c r="I802" s="2" t="str">
        <f>IFERROR(__xludf.DUMMYFUNCTION("GOOGLETRANSLATE(C802,""fr"",""en"")"),"A horror. Administrative problems too long to tell, absent customer service, rejecting the ball when they are reachable. And performance level, very expensive for ..... almost nothing. I got caught in style.
To flee, really.")</f>
        <v>A horror. Administrative problems too long to tell, absent customer service, rejecting the ball when they are reachable. And performance level, very expensive for ..... almost nothing. I got caught in style.
To flee, really.</v>
      </c>
    </row>
    <row r="803" ht="15.75" customHeight="1">
      <c r="A803" s="2">
        <v>3.0</v>
      </c>
      <c r="B803" s="2" t="s">
        <v>2244</v>
      </c>
      <c r="C803" s="2" t="s">
        <v>2245</v>
      </c>
      <c r="D803" s="2" t="s">
        <v>13</v>
      </c>
      <c r="E803" s="2" t="s">
        <v>14</v>
      </c>
      <c r="F803" s="2" t="s">
        <v>15</v>
      </c>
      <c r="G803" s="2" t="s">
        <v>451</v>
      </c>
      <c r="H803" s="2" t="s">
        <v>87</v>
      </c>
      <c r="I803" s="2" t="str">
        <f>IFERROR(__xludf.DUMMYFUNCTION("GOOGLETRANSLATE(C803,""fr"",""en"")"),"to be changed car insurance because I was badly informed for a quote and above all badly inform my car insurance my bear")</f>
        <v>to be changed car insurance because I was badly informed for a quote and above all badly inform my car insurance my bear</v>
      </c>
    </row>
    <row r="804" ht="15.75" customHeight="1">
      <c r="A804" s="2">
        <v>4.0</v>
      </c>
      <c r="B804" s="2" t="s">
        <v>2246</v>
      </c>
      <c r="C804" s="2" t="s">
        <v>2247</v>
      </c>
      <c r="D804" s="2" t="s">
        <v>168</v>
      </c>
      <c r="E804" s="2" t="s">
        <v>43</v>
      </c>
      <c r="F804" s="2" t="s">
        <v>15</v>
      </c>
      <c r="G804" s="2" t="s">
        <v>2248</v>
      </c>
      <c r="H804" s="2" t="s">
        <v>670</v>
      </c>
      <c r="I804" s="2" t="str">
        <f>IFERROR(__xludf.DUMMYFUNCTION("GOOGLETRANSLATE(C804,""fr"",""en"")"),"The price level is average, to improve, nevertheless AXA is close to customers thanks to its competent agents, the guarantees seem good to me, I have never had sinister, I would like to have a bonus +++ beyond 50%")</f>
        <v>The price level is average, to improve, nevertheless AXA is close to customers thanks to its competent agents, the guarantees seem good to me, I have never had sinister, I would like to have a bonus +++ beyond 50%</v>
      </c>
    </row>
    <row r="805" ht="15.75" customHeight="1">
      <c r="A805" s="2">
        <v>3.0</v>
      </c>
      <c r="B805" s="2" t="s">
        <v>2249</v>
      </c>
      <c r="C805" s="2" t="s">
        <v>2250</v>
      </c>
      <c r="D805" s="2" t="s">
        <v>13</v>
      </c>
      <c r="E805" s="2" t="s">
        <v>14</v>
      </c>
      <c r="F805" s="2" t="s">
        <v>15</v>
      </c>
      <c r="G805" s="2" t="s">
        <v>1402</v>
      </c>
      <c r="H805" s="2" t="s">
        <v>56</v>
      </c>
      <c r="I805" s="2" t="str">
        <f>IFERROR(__xludf.DUMMYFUNCTION("GOOGLETRANSLATE(C805,""fr"",""en"")"),"I am satisfied with the online service
Easy to make and perfect understanding
Good customer relationship, reception of the quick quote
easy and efficient")</f>
        <v>I am satisfied with the online service
Easy to make and perfect understanding
Good customer relationship, reception of the quick quote
easy and efficient</v>
      </c>
    </row>
    <row r="806" ht="15.75" customHeight="1">
      <c r="A806" s="2">
        <v>2.0</v>
      </c>
      <c r="B806" s="2" t="s">
        <v>2251</v>
      </c>
      <c r="C806" s="2" t="s">
        <v>2252</v>
      </c>
      <c r="D806" s="2" t="s">
        <v>47</v>
      </c>
      <c r="E806" s="2" t="s">
        <v>14</v>
      </c>
      <c r="F806" s="2" t="s">
        <v>15</v>
      </c>
      <c r="G806" s="2" t="s">
        <v>216</v>
      </c>
      <c r="H806" s="2" t="s">
        <v>69</v>
      </c>
      <c r="I806" s="2" t="str">
        <f>IFERROR(__xludf.DUMMYFUNCTION("GOOGLETRANSLATE(C806,""fr"",""en"")"),"Hi there,
Being at the olive tree for less than 1 year, they have terminated my auto insurance contract for the absence of payment, thereafter I wanted to subscribe to them, but unfortunately they refused monthly payment. Know that if you want to subscri"&amp;"be to a contract with them after a lack of payment, and BA he will ask you to pay annually !!! Otherwise he refuses to assure you. it is a scandal !!!! I decide you the olive assurance !!
")</f>
        <v>Hi there,
Being at the olive tree for less than 1 year, they have terminated my auto insurance contract for the absence of payment, thereafter I wanted to subscribe to them, but unfortunately they refused monthly payment. Know that if you want to subscribe to a contract with them after a lack of payment, and BA he will ask you to pay annually !!! Otherwise he refuses to assure you. it is a scandal !!!! I decide you the olive assurance !!
</v>
      </c>
    </row>
    <row r="807" ht="15.75" customHeight="1">
      <c r="A807" s="2">
        <v>4.0</v>
      </c>
      <c r="B807" s="2" t="s">
        <v>2253</v>
      </c>
      <c r="C807" s="2" t="s">
        <v>2254</v>
      </c>
      <c r="D807" s="2" t="s">
        <v>42</v>
      </c>
      <c r="E807" s="2" t="s">
        <v>43</v>
      </c>
      <c r="F807" s="2" t="s">
        <v>15</v>
      </c>
      <c r="G807" s="2" t="s">
        <v>407</v>
      </c>
      <c r="H807" s="2" t="s">
        <v>99</v>
      </c>
      <c r="I807" s="2" t="str">
        <f>IFERROR(__xludf.DUMMYFUNCTION("GOOGLETRANSLATE(C807,""fr"",""en"")"),"AMV is one of the cheapest insurance
For bikers and reacts quickly in the event of a problem:
I'm very happy because I can go motorbike
not too expensive.
Bravo Amv!")</f>
        <v>AMV is one of the cheapest insurance
For bikers and reacts quickly in the event of a problem:
I'm very happy because I can go motorbike
not too expensive.
Bravo Amv!</v>
      </c>
    </row>
    <row r="808" ht="15.75" customHeight="1">
      <c r="A808" s="2">
        <v>1.0</v>
      </c>
      <c r="B808" s="2" t="s">
        <v>2255</v>
      </c>
      <c r="C808" s="2" t="s">
        <v>2256</v>
      </c>
      <c r="D808" s="2" t="s">
        <v>243</v>
      </c>
      <c r="E808" s="2" t="s">
        <v>77</v>
      </c>
      <c r="F808" s="2" t="s">
        <v>15</v>
      </c>
      <c r="G808" s="2" t="s">
        <v>2155</v>
      </c>
      <c r="H808" s="2" t="s">
        <v>897</v>
      </c>
      <c r="I808" s="2" t="str">
        <f>IFERROR(__xludf.DUMMYFUNCTION("GOOGLETRANSLATE(C808,""fr"",""en"")"),"Flight without breakup no compensation. Change your TV ad for the serenity of the family when you need you well, there is no one to compensate your milk cows.")</f>
        <v>Flight without breakup no compensation. Change your TV ad for the serenity of the family when you need you well, there is no one to compensate your milk cows.</v>
      </c>
    </row>
    <row r="809" ht="15.75" customHeight="1">
      <c r="A809" s="2">
        <v>3.0</v>
      </c>
      <c r="B809" s="2" t="s">
        <v>2257</v>
      </c>
      <c r="C809" s="2" t="s">
        <v>2258</v>
      </c>
      <c r="D809" s="2" t="s">
        <v>47</v>
      </c>
      <c r="E809" s="2" t="s">
        <v>14</v>
      </c>
      <c r="F809" s="2" t="s">
        <v>15</v>
      </c>
      <c r="G809" s="2" t="s">
        <v>2259</v>
      </c>
      <c r="H809" s="2" t="s">
        <v>56</v>
      </c>
      <c r="I809" s="2" t="str">
        <f>IFERROR(__xludf.DUMMYFUNCTION("GOOGLETRANSLATE(C809,""fr"",""en"")"),"Very practical for insured his vehicle quickly. Customer service when carrying out the contract, attentive. Very easy approach to sign contracts and sent the various papers afterwards.")</f>
        <v>Very practical for insured his vehicle quickly. Customer service when carrying out the contract, attentive. Very easy approach to sign contracts and sent the various papers afterwards.</v>
      </c>
    </row>
    <row r="810" ht="15.75" customHeight="1">
      <c r="A810" s="2">
        <v>1.0</v>
      </c>
      <c r="B810" s="2" t="s">
        <v>2260</v>
      </c>
      <c r="C810" s="2" t="s">
        <v>2261</v>
      </c>
      <c r="D810" s="2" t="s">
        <v>196</v>
      </c>
      <c r="E810" s="2" t="s">
        <v>77</v>
      </c>
      <c r="F810" s="2" t="s">
        <v>15</v>
      </c>
      <c r="G810" s="2" t="s">
        <v>2262</v>
      </c>
      <c r="H810" s="2" t="s">
        <v>213</v>
      </c>
      <c r="I810" s="2" t="str">
        <f>IFERROR(__xludf.DUMMYFUNCTION("GOOGLETRANSLATE(C810,""fr"",""en"")"),"Over 3 months for a plumber to send me for a leak search and still nothing. When they are called (2o min waiting almost each time) no acceptable response.")</f>
        <v>Over 3 months for a plumber to send me for a leak search and still nothing. When they are called (2o min waiting almost each time) no acceptable response.</v>
      </c>
    </row>
    <row r="811" ht="15.75" customHeight="1">
      <c r="A811" s="2">
        <v>5.0</v>
      </c>
      <c r="B811" s="2" t="s">
        <v>2263</v>
      </c>
      <c r="C811" s="2" t="s">
        <v>2264</v>
      </c>
      <c r="D811" s="2" t="s">
        <v>97</v>
      </c>
      <c r="E811" s="2" t="s">
        <v>43</v>
      </c>
      <c r="F811" s="2" t="s">
        <v>15</v>
      </c>
      <c r="G811" s="2" t="s">
        <v>1813</v>
      </c>
      <c r="H811" s="2" t="s">
        <v>99</v>
      </c>
      <c r="I811" s="2" t="str">
        <f>IFERROR(__xludf.DUMMYFUNCTION("GOOGLETRANSLATE(C811,""fr"",""en"")")," Easy to use site. Very good value for money and a very large choice of formula. Fast and effective. Thank you, cordially.")</f>
        <v> Easy to use site. Very good value for money and a very large choice of formula. Fast and effective. Thank you, cordially.</v>
      </c>
    </row>
    <row r="812" ht="15.75" customHeight="1">
      <c r="A812" s="2">
        <v>1.0</v>
      </c>
      <c r="B812" s="2" t="s">
        <v>2265</v>
      </c>
      <c r="C812" s="2" t="s">
        <v>2266</v>
      </c>
      <c r="D812" s="2" t="s">
        <v>13</v>
      </c>
      <c r="E812" s="2" t="s">
        <v>14</v>
      </c>
      <c r="F812" s="2" t="s">
        <v>15</v>
      </c>
      <c r="G812" s="2" t="s">
        <v>744</v>
      </c>
      <c r="H812" s="2" t="s">
        <v>87</v>
      </c>
      <c r="I812" s="2" t="str">
        <f>IFERROR(__xludf.DUMMYFUNCTION("GOOGLETRANSLATE(C812,""fr"",""en"")"),"I contacted you for an improvement in the price but you then refused to seek! The law obliges to review the price if I drive less but you refused it and even without accident my price increased, is to make fun of me ... the olive assurance is cheaper ...")</f>
        <v>I contacted you for an improvement in the price but you then refused to seek! The law obliges to review the price if I drive less but you refused it and even without accident my price increased, is to make fun of me ... the olive assurance is cheaper ...</v>
      </c>
    </row>
    <row r="813" ht="15.75" customHeight="1">
      <c r="A813" s="2">
        <v>2.0</v>
      </c>
      <c r="B813" s="2" t="s">
        <v>2267</v>
      </c>
      <c r="C813" s="2" t="s">
        <v>2268</v>
      </c>
      <c r="D813" s="2" t="s">
        <v>13</v>
      </c>
      <c r="E813" s="2" t="s">
        <v>14</v>
      </c>
      <c r="F813" s="2" t="s">
        <v>15</v>
      </c>
      <c r="G813" s="2" t="s">
        <v>2269</v>
      </c>
      <c r="H813" s="2" t="s">
        <v>294</v>
      </c>
      <c r="I813" s="2" t="str">
        <f>IFERROR(__xludf.DUMMYFUNCTION("GOOGLETRANSLATE(C813,""fr"",""en"")"),"I have always been happy except a few days ago when customer service assured that online quotes were useless (?) And in addition he did not hesitate to tell me to go see the competition")</f>
        <v>I have always been happy except a few days ago when customer service assured that online quotes were useless (?) And in addition he did not hesitate to tell me to go see the competition</v>
      </c>
    </row>
    <row r="814" ht="15.75" customHeight="1">
      <c r="A814" s="2">
        <v>1.0</v>
      </c>
      <c r="B814" s="2" t="s">
        <v>2270</v>
      </c>
      <c r="C814" s="2" t="s">
        <v>2271</v>
      </c>
      <c r="D814" s="2" t="s">
        <v>168</v>
      </c>
      <c r="E814" s="2" t="s">
        <v>322</v>
      </c>
      <c r="F814" s="2" t="s">
        <v>15</v>
      </c>
      <c r="G814" s="2" t="s">
        <v>2272</v>
      </c>
      <c r="H814" s="2" t="s">
        <v>91</v>
      </c>
      <c r="I814" s="2" t="str">
        <f>IFERROR(__xludf.DUMMYFUNCTION("GOOGLETRANSLATE(C814,""fr"",""en"")"),"Hello,
I signed an Euractiel life insurance contract at AXA on October 1, 2012.
Due to the numerous costs presented, my contract currently has a performance at -67 €, despite the numerous payments made during all these years.
For this reason, I wish to"&amp;" carry out the total repurchase of my life insurance contract with AXA. Despite many emails sent and many calls made for several months, I have not obtained any response from my AXA advisor.
Cordially.")</f>
        <v>Hello,
I signed an Euractiel life insurance contract at AXA on October 1, 2012.
Due to the numerous costs presented, my contract currently has a performance at -67 €, despite the numerous payments made during all these years.
For this reason, I wish to carry out the total repurchase of my life insurance contract with AXA. Despite many emails sent and many calls made for several months, I have not obtained any response from my AXA advisor.
Cordially.</v>
      </c>
    </row>
    <row r="815" ht="15.75" customHeight="1">
      <c r="A815" s="2">
        <v>2.0</v>
      </c>
      <c r="B815" s="2" t="s">
        <v>2273</v>
      </c>
      <c r="C815" s="2" t="s">
        <v>2274</v>
      </c>
      <c r="D815" s="2" t="s">
        <v>287</v>
      </c>
      <c r="E815" s="2" t="s">
        <v>77</v>
      </c>
      <c r="F815" s="2" t="s">
        <v>15</v>
      </c>
      <c r="G815" s="2" t="s">
        <v>2275</v>
      </c>
      <c r="H815" s="2" t="s">
        <v>394</v>
      </c>
      <c r="I815" s="2" t="str">
        <f>IFERROR(__xludf.DUMMYFUNCTION("GOOGLETRANSLATE(C815,""fr"",""en"")"),"Very bad water damage coverage. Be careful they do not take into account the search for the leak contrary if the damage does not seem sufficient to them (by phone only of course). Really to avoid.")</f>
        <v>Very bad water damage coverage. Be careful they do not take into account the search for the leak contrary if the damage does not seem sufficient to them (by phone only of course). Really to avoid.</v>
      </c>
    </row>
    <row r="816" ht="15.75" customHeight="1">
      <c r="A816" s="2">
        <v>2.0</v>
      </c>
      <c r="B816" s="2" t="s">
        <v>2276</v>
      </c>
      <c r="C816" s="2" t="s">
        <v>2277</v>
      </c>
      <c r="D816" s="2" t="s">
        <v>341</v>
      </c>
      <c r="E816" s="2" t="s">
        <v>77</v>
      </c>
      <c r="F816" s="2" t="s">
        <v>15</v>
      </c>
      <c r="G816" s="2" t="s">
        <v>1713</v>
      </c>
      <c r="H816" s="2" t="s">
        <v>201</v>
      </c>
      <c r="I816" s="2" t="str">
        <f>IFERROR(__xludf.DUMMYFUNCTION("GOOGLETRANSLATE(C816,""fr"",""en"")"),"Long -standing customer at Maaf, I declared 4 claims home in 2019 (1 abandoned, 1 single in responsibility. The MAAF decided to no longer make sure ... The umbrella for sunny days ...")</f>
        <v>Long -standing customer at Maaf, I declared 4 claims home in 2019 (1 abandoned, 1 single in responsibility. The MAAF decided to no longer make sure ... The umbrella for sunny days ...</v>
      </c>
    </row>
    <row r="817" ht="15.75" customHeight="1">
      <c r="A817" s="2">
        <v>3.0</v>
      </c>
      <c r="B817" s="2" t="s">
        <v>2278</v>
      </c>
      <c r="C817" s="2" t="s">
        <v>2279</v>
      </c>
      <c r="D817" s="2" t="s">
        <v>13</v>
      </c>
      <c r="E817" s="2" t="s">
        <v>14</v>
      </c>
      <c r="F817" s="2" t="s">
        <v>15</v>
      </c>
      <c r="G817" s="2" t="s">
        <v>99</v>
      </c>
      <c r="H817" s="2" t="s">
        <v>99</v>
      </c>
      <c r="I817" s="2" t="str">
        <f>IFERROR(__xludf.DUMMYFUNCTION("GOOGLETRANSLATE(C817,""fr"",""en"")"),"I come back to you because I had a private showroom offer March 2021 of 100 euros; I hope it is taken into account; GOOD DAY TO YOU")</f>
        <v>I come back to you because I had a private showroom offer March 2021 of 100 euros; I hope it is taken into account; GOOD DAY TO YOU</v>
      </c>
    </row>
    <row r="818" ht="15.75" customHeight="1">
      <c r="A818" s="2">
        <v>4.0</v>
      </c>
      <c r="B818" s="2" t="s">
        <v>2280</v>
      </c>
      <c r="C818" s="2" t="s">
        <v>2281</v>
      </c>
      <c r="D818" s="2" t="s">
        <v>13</v>
      </c>
      <c r="E818" s="2" t="s">
        <v>14</v>
      </c>
      <c r="F818" s="2" t="s">
        <v>15</v>
      </c>
      <c r="G818" s="2" t="s">
        <v>871</v>
      </c>
      <c r="H818" s="2" t="s">
        <v>125</v>
      </c>
      <c r="I818" s="2" t="str">
        <f>IFERROR(__xludf.DUMMYFUNCTION("GOOGLETRANSLATE(C818,""fr"",""en"")"),"A priori, the prices seem interesting. I think about changing insurance for all home vehicles. I don't understand the proposed extensions")</f>
        <v>A priori, the prices seem interesting. I think about changing insurance for all home vehicles. I don't understand the proposed extensions</v>
      </c>
    </row>
    <row r="819" ht="15.75" customHeight="1">
      <c r="A819" s="2">
        <v>5.0</v>
      </c>
      <c r="B819" s="2" t="s">
        <v>2282</v>
      </c>
      <c r="C819" s="2" t="s">
        <v>2283</v>
      </c>
      <c r="D819" s="2" t="s">
        <v>47</v>
      </c>
      <c r="E819" s="2" t="s">
        <v>14</v>
      </c>
      <c r="F819" s="2" t="s">
        <v>15</v>
      </c>
      <c r="G819" s="2" t="s">
        <v>326</v>
      </c>
      <c r="H819" s="2" t="s">
        <v>60</v>
      </c>
      <c r="I819" s="2" t="str">
        <f>IFERROR(__xludf.DUMMYFUNCTION("GOOGLETRANSLATE(C819,""fr"",""en"")"),"Listening advisor and competent full insurance
Very good value for money
Very good safety pack option
I do not recommend everyone")</f>
        <v>Listening advisor and competent full insurance
Very good value for money
Very good safety pack option
I do not recommend everyone</v>
      </c>
    </row>
    <row r="820" ht="15.75" customHeight="1">
      <c r="A820" s="2">
        <v>1.0</v>
      </c>
      <c r="B820" s="2" t="s">
        <v>2284</v>
      </c>
      <c r="C820" s="2" t="s">
        <v>2285</v>
      </c>
      <c r="D820" s="2" t="s">
        <v>860</v>
      </c>
      <c r="E820" s="2" t="s">
        <v>138</v>
      </c>
      <c r="F820" s="2" t="s">
        <v>15</v>
      </c>
      <c r="G820" s="2" t="s">
        <v>448</v>
      </c>
      <c r="H820" s="2" t="s">
        <v>17</v>
      </c>
      <c r="I820" s="2" t="str">
        <f>IFERROR(__xludf.DUMMYFUNCTION("GOOGLETRANSLATE(C820,""fr"",""en"")"),"Especially flee Malakoff Humanis!
They ignore you and despise you when it comes to touching your rights (retirement among others).
Impossible to communicate with them, phone, emails, letters etc")</f>
        <v>Especially flee Malakoff Humanis!
They ignore you and despise you when it comes to touching your rights (retirement among others).
Impossible to communicate with them, phone, emails, letters etc</v>
      </c>
    </row>
    <row r="821" ht="15.75" customHeight="1">
      <c r="A821" s="2">
        <v>2.0</v>
      </c>
      <c r="B821" s="2" t="s">
        <v>2286</v>
      </c>
      <c r="C821" s="2" t="s">
        <v>2287</v>
      </c>
      <c r="D821" s="2" t="s">
        <v>168</v>
      </c>
      <c r="E821" s="2" t="s">
        <v>322</v>
      </c>
      <c r="F821" s="2" t="s">
        <v>15</v>
      </c>
      <c r="G821" s="2" t="s">
        <v>2288</v>
      </c>
      <c r="H821" s="2" t="s">
        <v>578</v>
      </c>
      <c r="I821" s="2" t="str">
        <f>IFERROR(__xludf.DUMMYFUNCTION("GOOGLETRANSLATE(C821,""fr"",""en"")"),"Unlocking retirement contract sup in art. 83 Impossible")</f>
        <v>Unlocking retirement contract sup in art. 83 Impossible</v>
      </c>
    </row>
    <row r="822" ht="15.75" customHeight="1">
      <c r="A822" s="2">
        <v>1.0</v>
      </c>
      <c r="B822" s="2" t="s">
        <v>2289</v>
      </c>
      <c r="C822" s="2" t="s">
        <v>2290</v>
      </c>
      <c r="D822" s="2" t="s">
        <v>239</v>
      </c>
      <c r="E822" s="2" t="s">
        <v>21</v>
      </c>
      <c r="F822" s="2" t="s">
        <v>15</v>
      </c>
      <c r="G822" s="2" t="s">
        <v>2291</v>
      </c>
      <c r="H822" s="2" t="s">
        <v>150</v>
      </c>
      <c r="I822" s="2" t="str">
        <f>IFERROR(__xludf.DUMMYFUNCTION("GOOGLETRANSLATE(C822,""fr"",""en"")"),"Please note, it is very difficult to terminate your contract. At the end of 2017, they did not want to take into account my registered mail sent by electronic means, sent on time, on the grounds that he was not signed by hand. At the end of 2018, they con"&amp;"sider that I should have renewed my termination request and, failing that, my contract was automatically renewed. It's really scandalous. I assimilate these ways to forced sales. I just wrote to their complaints service. In the absence of a positive respo"&amp;"nse, I will write to the mediator. To be continued")</f>
        <v>Please note, it is very difficult to terminate your contract. At the end of 2017, they did not want to take into account my registered mail sent by electronic means, sent on time, on the grounds that he was not signed by hand. At the end of 2018, they consider that I should have renewed my termination request and, failing that, my contract was automatically renewed. It's really scandalous. I assimilate these ways to forced sales. I just wrote to their complaints service. In the absence of a positive response, I will write to the mediator. To be continued</v>
      </c>
    </row>
    <row r="823" ht="15.75" customHeight="1">
      <c r="A823" s="2">
        <v>1.0</v>
      </c>
      <c r="B823" s="2" t="s">
        <v>2292</v>
      </c>
      <c r="C823" s="2" t="s">
        <v>2293</v>
      </c>
      <c r="D823" s="2" t="s">
        <v>341</v>
      </c>
      <c r="E823" s="2" t="s">
        <v>14</v>
      </c>
      <c r="F823" s="2" t="s">
        <v>15</v>
      </c>
      <c r="G823" s="2" t="s">
        <v>2294</v>
      </c>
      <c r="H823" s="2" t="s">
        <v>284</v>
      </c>
      <c r="I823" s="2" t="str">
        <f>IFERROR(__xludf.DUMMYFUNCTION("GOOGLETRANSLATE(C823,""fr"",""en"")"),"Insurance that does not deserve its quality of insurance because as soon as you need it is not at the appointment. Avoid if you are looking for insurance worthy of the name.")</f>
        <v>Insurance that does not deserve its quality of insurance because as soon as you need it is not at the appointment. Avoid if you are looking for insurance worthy of the name.</v>
      </c>
    </row>
    <row r="824" ht="15.75" customHeight="1">
      <c r="A824" s="2">
        <v>5.0</v>
      </c>
      <c r="B824" s="2" t="s">
        <v>2295</v>
      </c>
      <c r="C824" s="2" t="s">
        <v>2296</v>
      </c>
      <c r="D824" s="2" t="s">
        <v>97</v>
      </c>
      <c r="E824" s="2" t="s">
        <v>43</v>
      </c>
      <c r="F824" s="2" t="s">
        <v>15</v>
      </c>
      <c r="G824" s="2" t="s">
        <v>56</v>
      </c>
      <c r="H824" s="2" t="s">
        <v>56</v>
      </c>
      <c r="I824" s="2" t="str">
        <f>IFERROR(__xludf.DUMMYFUNCTION("GOOGLETRANSLATE(C824,""fr"",""en"")"),"I am very satisfied with the proposal and Insure myself immediately!
Complete and very competitive insurance. Especially on the repair option after the warranty?
I highly recommend")</f>
        <v>I am very satisfied with the proposal and Insure myself immediately!
Complete and very competitive insurance. Especially on the repair option after the warranty?
I highly recommend</v>
      </c>
    </row>
    <row r="825" ht="15.75" customHeight="1">
      <c r="A825" s="2">
        <v>3.0</v>
      </c>
      <c r="B825" s="2" t="s">
        <v>2297</v>
      </c>
      <c r="C825" s="2" t="s">
        <v>2298</v>
      </c>
      <c r="D825" s="2" t="s">
        <v>47</v>
      </c>
      <c r="E825" s="2" t="s">
        <v>14</v>
      </c>
      <c r="F825" s="2" t="s">
        <v>15</v>
      </c>
      <c r="G825" s="2" t="s">
        <v>747</v>
      </c>
      <c r="H825" s="2" t="s">
        <v>87</v>
      </c>
      <c r="I825" s="2" t="str">
        <f>IFERROR(__xludf.DUMMYFUNCTION("GOOGLETRANSLATE(C825,""fr"",""en"")"),"Simple and quick price level very well, inform, satisfaction and inform well about the quote, quote that is readable to read, price level very well place")</f>
        <v>Simple and quick price level very well, inform, satisfaction and inform well about the quote, quote that is readable to read, price level very well place</v>
      </c>
    </row>
    <row r="826" ht="15.75" customHeight="1">
      <c r="A826" s="2">
        <v>3.0</v>
      </c>
      <c r="B826" s="2" t="s">
        <v>2299</v>
      </c>
      <c r="C826" s="2" t="s">
        <v>2300</v>
      </c>
      <c r="D826" s="2" t="s">
        <v>483</v>
      </c>
      <c r="E826" s="2" t="s">
        <v>21</v>
      </c>
      <c r="F826" s="2" t="s">
        <v>15</v>
      </c>
      <c r="G826" s="2" t="s">
        <v>1264</v>
      </c>
      <c r="H826" s="2" t="s">
        <v>87</v>
      </c>
      <c r="I826" s="2" t="str">
        <f>IFERROR(__xludf.DUMMYFUNCTION("GOOGLETRANSLATE(C826,""fr"",""en"")"),"I contacted your service on a re refund request. Osteopathy fees, I was well received and the person responded to my requests.")</f>
        <v>I contacted your service on a re refund request. Osteopathy fees, I was well received and the person responded to my requests.</v>
      </c>
    </row>
    <row r="827" ht="15.75" customHeight="1">
      <c r="A827" s="2">
        <v>4.0</v>
      </c>
      <c r="B827" s="2" t="s">
        <v>2301</v>
      </c>
      <c r="C827" s="2" t="s">
        <v>2302</v>
      </c>
      <c r="D827" s="2" t="s">
        <v>47</v>
      </c>
      <c r="E827" s="2" t="s">
        <v>14</v>
      </c>
      <c r="F827" s="2" t="s">
        <v>15</v>
      </c>
      <c r="G827" s="2" t="s">
        <v>1716</v>
      </c>
      <c r="H827" s="2" t="s">
        <v>56</v>
      </c>
      <c r="I827" s="2" t="str">
        <f>IFERROR(__xludf.DUMMYFUNCTION("GOOGLETRANSLATE(C827,""fr"",""en"")"),"Satisfied with this online service. The treatment was rapid.
Satisfied with this online service. The treatment was rapid.
Satisfied with this online service. The treatment was rapid.")</f>
        <v>Satisfied with this online service. The treatment was rapid.
Satisfied with this online service. The treatment was rapid.
Satisfied with this online service. The treatment was rapid.</v>
      </c>
    </row>
    <row r="828" ht="15.75" customHeight="1">
      <c r="A828" s="2">
        <v>1.0</v>
      </c>
      <c r="B828" s="2" t="s">
        <v>2303</v>
      </c>
      <c r="C828" s="2" t="s">
        <v>2304</v>
      </c>
      <c r="D828" s="2" t="s">
        <v>13</v>
      </c>
      <c r="E828" s="2" t="s">
        <v>14</v>
      </c>
      <c r="F828" s="2" t="s">
        <v>15</v>
      </c>
      <c r="G828" s="2" t="s">
        <v>1691</v>
      </c>
      <c r="H828" s="2" t="s">
        <v>121</v>
      </c>
      <c r="I828" s="2" t="str">
        <f>IFERROR(__xludf.DUMMYFUNCTION("GOOGLETRANSLATE(C828,""fr"",""en"")"),"Following an accident, ""customer service"" ensures that no care is possible even if it does not respect French law (yes yes, I had to put a lawyer on the spot, it is to say...). No vehicle loan attempt, not even an expert passes to see my vehicle. NOTHIN"&amp;"G.
And it becomes worse.
A penalty is applied to my contract and my payments of payment increase following this penalty (for a vehicle which is wreck and therefore without need to be insured).
And it becomes worse. If I assure you (not like them).
Imp"&amp;"ossible to terminate my contract without proof of destruction of the vehicle, which is not possible without expert visit, which they do not want to send.
Do you see the endless circle during which they take me every month?
To flee urgently, never approa"&amp;"ch this insurance. Only tons of bored on the horizon.")</f>
        <v>Following an accident, "customer service" ensures that no care is possible even if it does not respect French law (yes yes, I had to put a lawyer on the spot, it is to say...). No vehicle loan attempt, not even an expert passes to see my vehicle. NOTHING.
And it becomes worse.
A penalty is applied to my contract and my payments of payment increase following this penalty (for a vehicle which is wreck and therefore without need to be insured).
And it becomes worse. If I assure you (not like them).
Impossible to terminate my contract without proof of destruction of the vehicle, which is not possible without expert visit, which they do not want to send.
Do you see the endless circle during which they take me every month?
To flee urgently, never approach this insurance. Only tons of bored on the horizon.</v>
      </c>
    </row>
    <row r="829" ht="15.75" customHeight="1">
      <c r="A829" s="2">
        <v>1.0</v>
      </c>
      <c r="B829" s="2" t="s">
        <v>2305</v>
      </c>
      <c r="C829" s="2" t="s">
        <v>2306</v>
      </c>
      <c r="D829" s="2" t="s">
        <v>13</v>
      </c>
      <c r="E829" s="2" t="s">
        <v>14</v>
      </c>
      <c r="F829" s="2" t="s">
        <v>15</v>
      </c>
      <c r="G829" s="2" t="s">
        <v>1326</v>
      </c>
      <c r="H829" s="2" t="s">
        <v>741</v>
      </c>
      <c r="I829" s="2" t="str">
        <f>IFERROR(__xludf.DUMMYFUNCTION("GOOGLETRANSLATE(C829,""fr"",""en"")"),"After a hassle with my mechanic, I Met Insurance in order to mandate an expert.
Thing they refuse.
Insurance right there to take our money.")</f>
        <v>After a hassle with my mechanic, I Met Insurance in order to mandate an expert.
Thing they refuse.
Insurance right there to take our money.</v>
      </c>
    </row>
    <row r="830" ht="15.75" customHeight="1">
      <c r="A830" s="2">
        <v>4.0</v>
      </c>
      <c r="B830" s="2" t="s">
        <v>2307</v>
      </c>
      <c r="C830" s="2" t="s">
        <v>2308</v>
      </c>
      <c r="D830" s="2" t="s">
        <v>13</v>
      </c>
      <c r="E830" s="2" t="s">
        <v>14</v>
      </c>
      <c r="F830" s="2" t="s">
        <v>15</v>
      </c>
      <c r="G830" s="2" t="s">
        <v>143</v>
      </c>
      <c r="H830" s="2" t="s">
        <v>28</v>
      </c>
      <c r="I830" s="2" t="str">
        <f>IFERROR(__xludf.DUMMYFUNCTION("GOOGLETRANSLATE(C830,""fr"",""en"")"),"Fast, concrete no waste of time.
I am waiting to see if my old insurance will be well stopped in time.
Having never been insured at home, if I have a disaster I could judge your effectiveness")</f>
        <v>Fast, concrete no waste of time.
I am waiting to see if my old insurance will be well stopped in time.
Having never been insured at home, if I have a disaster I could judge your effectiveness</v>
      </c>
    </row>
    <row r="831" ht="15.75" customHeight="1">
      <c r="A831" s="2">
        <v>2.0</v>
      </c>
      <c r="B831" s="2" t="s">
        <v>2309</v>
      </c>
      <c r="C831" s="2" t="s">
        <v>2310</v>
      </c>
      <c r="D831" s="2" t="s">
        <v>168</v>
      </c>
      <c r="E831" s="2" t="s">
        <v>77</v>
      </c>
      <c r="F831" s="2" t="s">
        <v>15</v>
      </c>
      <c r="G831" s="2" t="s">
        <v>2311</v>
      </c>
      <c r="H831" s="2" t="s">
        <v>34</v>
      </c>
      <c r="I831" s="2" t="str">
        <f>IFERROR(__xludf.DUMMYFUNCTION("GOOGLETRANSLATE(C831,""fr"",""en"")"),"A year and a half to resolve ""light"" water damage
AXA has chosen companies to carry out repairs. Companies are chosen by their rates (very low). Work obviously very bad.")</f>
        <v>A year and a half to resolve "light" water damage
AXA has chosen companies to carry out repairs. Companies are chosen by their rates (very low). Work obviously very bad.</v>
      </c>
    </row>
    <row r="832" ht="15.75" customHeight="1">
      <c r="A832" s="2">
        <v>1.0</v>
      </c>
      <c r="B832" s="2" t="s">
        <v>2312</v>
      </c>
      <c r="C832" s="2" t="s">
        <v>2313</v>
      </c>
      <c r="D832" s="2" t="s">
        <v>223</v>
      </c>
      <c r="E832" s="2" t="s">
        <v>77</v>
      </c>
      <c r="F832" s="2" t="s">
        <v>15</v>
      </c>
      <c r="G832" s="2" t="s">
        <v>643</v>
      </c>
      <c r="H832" s="2" t="s">
        <v>155</v>
      </c>
      <c r="I832" s="2" t="str">
        <f>IFERROR(__xludf.DUMMYFUNCTION("GOOGLETRANSLATE(C832,""fr"",""en"")"),"Following Cat Nat 2017, insurance does not want to hear anything despite the evidence and the arrival of a second hopes. The staff of this insurance is haughty, treats the client lower than Terre, is completely closed to all discussion and in addition to "&amp;"overpriced insurance. Insurance to flee completely")</f>
        <v>Following Cat Nat 2017, insurance does not want to hear anything despite the evidence and the arrival of a second hopes. The staff of this insurance is haughty, treats the client lower than Terre, is completely closed to all discussion and in addition to overpriced insurance. Insurance to flee completely</v>
      </c>
    </row>
    <row r="833" ht="15.75" customHeight="1">
      <c r="A833" s="2">
        <v>2.0</v>
      </c>
      <c r="B833" s="2" t="s">
        <v>2314</v>
      </c>
      <c r="C833" s="2" t="s">
        <v>2315</v>
      </c>
      <c r="D833" s="2" t="s">
        <v>63</v>
      </c>
      <c r="E833" s="2" t="s">
        <v>77</v>
      </c>
      <c r="F833" s="2" t="s">
        <v>15</v>
      </c>
      <c r="G833" s="2" t="s">
        <v>2316</v>
      </c>
      <c r="H833" s="2" t="s">
        <v>150</v>
      </c>
      <c r="I833" s="2" t="str">
        <f>IFERROR(__xludf.DUMMYFUNCTION("GOOGLETRANSLATE(C833,""fr"",""en"")"),"Water damage in July. Non -reactive, non -reachable, unpleasant insurance on the phone.
Overwhelmed expert who does not respond to emails.
Result: almost 6 months after the stripping of the waters, the work must be finished. We moved because the ceiling"&amp;" was collapsed on part of the show, and the apartment had become unwelcoming.")</f>
        <v>Water damage in July. Non -reactive, non -reachable, unpleasant insurance on the phone.
Overwhelmed expert who does not respond to emails.
Result: almost 6 months after the stripping of the waters, the work must be finished. We moved because the ceiling was collapsed on part of the show, and the apartment had become unwelcoming.</v>
      </c>
    </row>
    <row r="834" ht="15.75" customHeight="1">
      <c r="A834" s="2">
        <v>1.0</v>
      </c>
      <c r="B834" s="2" t="s">
        <v>2317</v>
      </c>
      <c r="C834" s="2" t="s">
        <v>2318</v>
      </c>
      <c r="D834" s="2" t="s">
        <v>329</v>
      </c>
      <c r="E834" s="2" t="s">
        <v>138</v>
      </c>
      <c r="F834" s="2" t="s">
        <v>15</v>
      </c>
      <c r="G834" s="2" t="s">
        <v>2319</v>
      </c>
      <c r="H834" s="2" t="s">
        <v>741</v>
      </c>
      <c r="I834" s="2" t="str">
        <f>IFERROR(__xludf.DUMMYFUNCTION("GOOGLETRANSLATE(C834,""fr"",""en"")"),"The CNP Insurance is wick with taxes impossible to reach life insurance !!!! Run away ! Run away ! My father died in April 2020 and since I expect! After appointment, recommended letters etc etc ...
And for info I manage a business !!!!!!!!!!!! What a sh"&amp;"ame on your part!
")</f>
        <v>The CNP Insurance is wick with taxes impossible to reach life insurance !!!! Run away ! Run away ! My father died in April 2020 and since I expect! After appointment, recommended letters etc etc ...
And for info I manage a business !!!!!!!!!!!! What a shame on your part!
</v>
      </c>
    </row>
    <row r="835" ht="15.75" customHeight="1">
      <c r="A835" s="2">
        <v>1.0</v>
      </c>
      <c r="B835" s="2" t="s">
        <v>2320</v>
      </c>
      <c r="C835" s="2" t="s">
        <v>2321</v>
      </c>
      <c r="D835" s="2" t="s">
        <v>20</v>
      </c>
      <c r="E835" s="2" t="s">
        <v>21</v>
      </c>
      <c r="F835" s="2" t="s">
        <v>15</v>
      </c>
      <c r="G835" s="2" t="s">
        <v>2322</v>
      </c>
      <c r="H835" s="2" t="s">
        <v>161</v>
      </c>
      <c r="I835" s="2" t="str">
        <f>IFERROR(__xludf.DUMMYFUNCTION("GOOGLETRANSLATE(C835,""fr"",""en"")"),"I am at Cégéma, for my first year I am very disappointed and that is little to say I can no longer have access to my customer area I say very impossible to have them by phone all the advisers are constantly busy on Another line !! Worse on the site cégéma"&amp;" when I try to have my account it is replied to me that I am unknown to them when it has a third party card of third -party paying in good and due !! I will therefore call the mother house , he explains my grievances and certainly announce my change in co"&amp;"mplementary health for the coming months !!")</f>
        <v>I am at Cégéma, for my first year I am very disappointed and that is little to say I can no longer have access to my customer area I say very impossible to have them by phone all the advisers are constantly busy on Another line !! Worse on the site cégéma when I try to have my account it is replied to me that I am unknown to them when it has a third party card of third -party paying in good and due !! I will therefore call the mother house , he explains my grievances and certainly announce my change in complementary health for the coming months !!</v>
      </c>
    </row>
    <row r="836" ht="15.75" customHeight="1">
      <c r="A836" s="2">
        <v>1.0</v>
      </c>
      <c r="B836" s="2" t="s">
        <v>2323</v>
      </c>
      <c r="C836" s="2" t="s">
        <v>2324</v>
      </c>
      <c r="D836" s="2" t="s">
        <v>287</v>
      </c>
      <c r="E836" s="2" t="s">
        <v>77</v>
      </c>
      <c r="F836" s="2" t="s">
        <v>15</v>
      </c>
      <c r="G836" s="2" t="s">
        <v>2325</v>
      </c>
      <c r="H836" s="2" t="s">
        <v>245</v>
      </c>
      <c r="I836" s="2" t="str">
        <f>IFERROR(__xludf.DUMMYFUNCTION("GOOGLETRANSLATE(C836,""fr"",""en"")"),"4 months that I try to terminate following a move. I am ballad to recommended by registered mail, from service to service and in the meantime we continue to take me every month. Customer service on the phone bad times and insulting. In short, I expect onl"&amp;"y one thing to be rid of it definitively.")</f>
        <v>4 months that I try to terminate following a move. I am ballad to recommended by registered mail, from service to service and in the meantime we continue to take me every month. Customer service on the phone bad times and insulting. In short, I expect only one thing to be rid of it definitively.</v>
      </c>
    </row>
    <row r="837" ht="15.75" customHeight="1">
      <c r="A837" s="2">
        <v>4.0</v>
      </c>
      <c r="B837" s="2" t="s">
        <v>2326</v>
      </c>
      <c r="C837" s="2" t="s">
        <v>2327</v>
      </c>
      <c r="D837" s="2" t="s">
        <v>47</v>
      </c>
      <c r="E837" s="2" t="s">
        <v>14</v>
      </c>
      <c r="F837" s="2" t="s">
        <v>15</v>
      </c>
      <c r="G837" s="2" t="s">
        <v>117</v>
      </c>
      <c r="H837" s="2" t="s">
        <v>28</v>
      </c>
      <c r="I837" s="2" t="str">
        <f>IFERROR(__xludf.DUMMYFUNCTION("GOOGLETRANSLATE(C837,""fr"",""en"")"),"I am satisfied with the service and the explanations provided on the differences between the options and the basic insurance and very responsive to the request")</f>
        <v>I am satisfied with the service and the explanations provided on the differences between the options and the basic insurance and very responsive to the request</v>
      </c>
    </row>
    <row r="838" ht="15.75" customHeight="1">
      <c r="A838" s="2">
        <v>3.0</v>
      </c>
      <c r="B838" s="2" t="s">
        <v>2328</v>
      </c>
      <c r="C838" s="2" t="s">
        <v>2329</v>
      </c>
      <c r="D838" s="2" t="s">
        <v>97</v>
      </c>
      <c r="E838" s="2" t="s">
        <v>43</v>
      </c>
      <c r="F838" s="2" t="s">
        <v>15</v>
      </c>
      <c r="G838" s="2" t="s">
        <v>117</v>
      </c>
      <c r="H838" s="2" t="s">
        <v>28</v>
      </c>
      <c r="I838" s="2" t="str">
        <f>IFERROR(__xludf.DUMMYFUNCTION("GOOGLETRANSLATE(C838,""fr"",""en"")"),"Hello I cannot answer dedicated, it is false more time to give you my positive or negative opinion. Sorry please call me back in a month and I can answer you thank you")</f>
        <v>Hello I cannot answer dedicated, it is false more time to give you my positive or negative opinion. Sorry please call me back in a month and I can answer you thank you</v>
      </c>
    </row>
    <row r="839" ht="15.75" customHeight="1">
      <c r="A839" s="2">
        <v>4.0</v>
      </c>
      <c r="B839" s="2" t="s">
        <v>2330</v>
      </c>
      <c r="C839" s="2" t="s">
        <v>2331</v>
      </c>
      <c r="D839" s="2" t="s">
        <v>287</v>
      </c>
      <c r="E839" s="2" t="s">
        <v>14</v>
      </c>
      <c r="F839" s="2" t="s">
        <v>15</v>
      </c>
      <c r="G839" s="2" t="s">
        <v>605</v>
      </c>
      <c r="H839" s="2" t="s">
        <v>28</v>
      </c>
      <c r="I839" s="2" t="str">
        <f>IFERROR(__xludf.DUMMYFUNCTION("GOOGLETRANSLATE(C839,""fr"",""en"")"),"Satisfied with the service
Very fast and efficient
A lot of clart2 in the answers
Always available and takes the time to answer the requested questions")</f>
        <v>Satisfied with the service
Very fast and efficient
A lot of clart2 in the answers
Always available and takes the time to answer the requested questions</v>
      </c>
    </row>
    <row r="840" ht="15.75" customHeight="1">
      <c r="A840" s="2">
        <v>2.0</v>
      </c>
      <c r="B840" s="2" t="s">
        <v>2332</v>
      </c>
      <c r="C840" s="2" t="s">
        <v>2333</v>
      </c>
      <c r="D840" s="2" t="s">
        <v>47</v>
      </c>
      <c r="E840" s="2" t="s">
        <v>14</v>
      </c>
      <c r="F840" s="2" t="s">
        <v>15</v>
      </c>
      <c r="G840" s="2" t="s">
        <v>2334</v>
      </c>
      <c r="H840" s="2" t="s">
        <v>2335</v>
      </c>
      <c r="I840" s="2" t="str">
        <f>IFERROR(__xludf.DUMMYFUNCTION("GOOGLETRANSLATE(C840,""fr"",""en"")"),"I strongly advise against! Especially for young drivers! On the internet we believe it is expensive it is not true! After a few days behind it adds 20 euros in costs plus the month after haha ​​I let you guess the bill for little! Because of them I was re"&amp;"sillier for non -pay but thank you psk today I am with a minor insurance dear more available !!!")</f>
        <v>I strongly advise against! Especially for young drivers! On the internet we believe it is expensive it is not true! After a few days behind it adds 20 euros in costs plus the month after haha ​​I let you guess the bill for little! Because of them I was resillier for non -pay but thank you psk today I am with a minor insurance dear more available !!!</v>
      </c>
    </row>
    <row r="841" ht="15.75" customHeight="1">
      <c r="A841" s="2">
        <v>5.0</v>
      </c>
      <c r="B841" s="2" t="s">
        <v>2336</v>
      </c>
      <c r="C841" s="2" t="s">
        <v>2337</v>
      </c>
      <c r="D841" s="2" t="s">
        <v>42</v>
      </c>
      <c r="E841" s="2" t="s">
        <v>43</v>
      </c>
      <c r="F841" s="2" t="s">
        <v>15</v>
      </c>
      <c r="G841" s="2" t="s">
        <v>1270</v>
      </c>
      <c r="H841" s="2" t="s">
        <v>284</v>
      </c>
      <c r="I841" s="2" t="str">
        <f>IFERROR(__xludf.DUMMYFUNCTION("GOOGLETRANSLATE(C841,""fr"",""en"")"),"Very good insurance inscription very easy all by internet I really advise this insurance")</f>
        <v>Very good insurance inscription very easy all by internet I really advise this insurance</v>
      </c>
    </row>
    <row r="842" ht="15.75" customHeight="1">
      <c r="A842" s="2">
        <v>1.0</v>
      </c>
      <c r="B842" s="2" t="s">
        <v>2338</v>
      </c>
      <c r="C842" s="2" t="s">
        <v>2339</v>
      </c>
      <c r="D842" s="2" t="s">
        <v>223</v>
      </c>
      <c r="E842" s="2" t="s">
        <v>14</v>
      </c>
      <c r="F842" s="2" t="s">
        <v>15</v>
      </c>
      <c r="G842" s="2" t="s">
        <v>2340</v>
      </c>
      <c r="H842" s="2" t="s">
        <v>650</v>
      </c>
      <c r="I842" s="2" t="str">
        <f>IFERROR(__xludf.DUMMYFUNCTION("GOOGLETRANSLATE(C842,""fr"",""en"")"),"Unfortunately, I cannot put less than a star and yet I recommend to all those who hesitate to subscribe to them to flee!
Indeed I was the victim of a car accident (I am 25 years old) which handicaps me. I was on permanent contract I lost my job, you find"&amp;" yourself without salary and without provision on their part, customer service is unacceptable and inhuman we are lying to you on processing times. We even blocked my number and miraculously trying another number it works strange huh!
")</f>
        <v>Unfortunately, I cannot put less than a star and yet I recommend to all those who hesitate to subscribe to them to flee!
Indeed I was the victim of a car accident (I am 25 years old) which handicaps me. I was on permanent contract I lost my job, you find yourself without salary and without provision on their part, customer service is unacceptable and inhuman we are lying to you on processing times. We even blocked my number and miraculously trying another number it works strange huh!
</v>
      </c>
    </row>
    <row r="843" ht="15.75" customHeight="1">
      <c r="A843" s="2">
        <v>3.0</v>
      </c>
      <c r="B843" s="2" t="s">
        <v>2341</v>
      </c>
      <c r="C843" s="2" t="s">
        <v>2342</v>
      </c>
      <c r="D843" s="2" t="s">
        <v>196</v>
      </c>
      <c r="E843" s="2" t="s">
        <v>77</v>
      </c>
      <c r="F843" s="2" t="s">
        <v>15</v>
      </c>
      <c r="G843" s="2" t="s">
        <v>2343</v>
      </c>
      <c r="H843" s="2" t="s">
        <v>23</v>
      </c>
      <c r="I843" s="2" t="str">
        <f>IFERROR(__xludf.DUMMYFUNCTION("GOOGLETRANSLATE(C843,""fr"",""en"")"),"My opinion concerns several claims experienced in 20 years provided by Matmut in the Center region.
A burglary that was followed and compensated very properly.
A fireplace fire which was very complicated to manage since the repairs made were made despit"&amp;"e common sense and preventing the functioning of the heating by closed hearth, the Matmut was by our side from start to finish.
A very serious water damage there also effectively and quickly supported.
You have to know how to shoot your hat when it is d"&amp;"eserved.")</f>
        <v>My opinion concerns several claims experienced in 20 years provided by Matmut in the Center region.
A burglary that was followed and compensated very properly.
A fireplace fire which was very complicated to manage since the repairs made were made despite common sense and preventing the functioning of the heating by closed hearth, the Matmut was by our side from start to finish.
A very serious water damage there also effectively and quickly supported.
You have to know how to shoot your hat when it is deserved.</v>
      </c>
    </row>
    <row r="844" ht="15.75" customHeight="1">
      <c r="A844" s="2">
        <v>1.0</v>
      </c>
      <c r="B844" s="2" t="s">
        <v>2344</v>
      </c>
      <c r="C844" s="2" t="s">
        <v>2345</v>
      </c>
      <c r="D844" s="2" t="s">
        <v>308</v>
      </c>
      <c r="E844" s="2" t="s">
        <v>43</v>
      </c>
      <c r="F844" s="2" t="s">
        <v>15</v>
      </c>
      <c r="G844" s="2" t="s">
        <v>2346</v>
      </c>
      <c r="H844" s="2" t="s">
        <v>60</v>
      </c>
      <c r="I844" s="2" t="str">
        <f>IFERROR(__xludf.DUMMYFUNCTION("GOOGLETRANSLATE(C844,""fr"",""en"")"),"25 years of Mutuelle des Motards without accident and just troubleshooting at home.
I don't cost them too much
Increase of € 80 in 2021 unilateral supposedly for increased corporal claims ... (Rodeos I suppose).
I leave without regret - no problem to f"&amp;"ind cheaper with the same guarantees, especially since this mutual insurance does not want to reimburse me the overflow paid paid or 11 months in total despite my written reminders. It's commercially zero if they want to see me again one day. I will enter"&amp;" my legal protection.
Obviously we don't take care of them, just good to pay.
Assessment today: prices now above ground and especially not need anything with this mutual ...
To flee and it's a shame!")</f>
        <v>25 years of Mutuelle des Motards without accident and just troubleshooting at home.
I don't cost them too much
Increase of € 80 in 2021 unilateral supposedly for increased corporal claims ... (Rodeos I suppose).
I leave without regret - no problem to find cheaper with the same guarantees, especially since this mutual insurance does not want to reimburse me the overflow paid paid or 11 months in total despite my written reminders. It's commercially zero if they want to see me again one day. I will enter my legal protection.
Obviously we don't take care of them, just good to pay.
Assessment today: prices now above ground and especially not need anything with this mutual ...
To flee and it's a shame!</v>
      </c>
    </row>
    <row r="845" ht="15.75" customHeight="1">
      <c r="A845" s="2">
        <v>1.0</v>
      </c>
      <c r="B845" s="2" t="s">
        <v>2347</v>
      </c>
      <c r="C845" s="2" t="s">
        <v>2348</v>
      </c>
      <c r="D845" s="2" t="s">
        <v>223</v>
      </c>
      <c r="E845" s="2" t="s">
        <v>77</v>
      </c>
      <c r="F845" s="2" t="s">
        <v>15</v>
      </c>
      <c r="G845" s="2" t="s">
        <v>2349</v>
      </c>
      <c r="H845" s="2" t="s">
        <v>213</v>
      </c>
      <c r="I845" s="2" t="str">
        <f>IFERROR(__xludf.DUMMYFUNCTION("GOOGLETRANSLATE(C845,""fr"",""en"")"),"I have always been a good customer: cheap formula and no claim. But the day I want to terminate is the cross and the banner! Impossible to have a reliable info we are walking .... I am three letter including 2 in recommended and I do not always certainty "&amp;"after 4 months that my insurance will be well resilled.")</f>
        <v>I have always been a good customer: cheap formula and no claim. But the day I want to terminate is the cross and the banner! Impossible to have a reliable info we are walking .... I am three letter including 2 in recommended and I do not always certainty after 4 months that my insurance will be well resilled.</v>
      </c>
    </row>
    <row r="846" ht="15.75" customHeight="1">
      <c r="A846" s="2">
        <v>5.0</v>
      </c>
      <c r="B846" s="2" t="s">
        <v>2350</v>
      </c>
      <c r="C846" s="2" t="s">
        <v>2351</v>
      </c>
      <c r="D846" s="2" t="s">
        <v>13</v>
      </c>
      <c r="E846" s="2" t="s">
        <v>14</v>
      </c>
      <c r="F846" s="2" t="s">
        <v>15</v>
      </c>
      <c r="G846" s="2" t="s">
        <v>551</v>
      </c>
      <c r="H846" s="2" t="s">
        <v>17</v>
      </c>
      <c r="I846" s="2" t="str">
        <f>IFERROR(__xludf.DUMMYFUNCTION("GOOGLETRANSLATE(C846,""fr"",""en"")"),"Simple and practical, ease of access. The prices are very competitive. Hopefully not be disappointed afterwards. I do not think, Direct Insurance is particularly well rated.")</f>
        <v>Simple and practical, ease of access. The prices are very competitive. Hopefully not be disappointed afterwards. I do not think, Direct Insurance is particularly well rated.</v>
      </c>
    </row>
    <row r="847" ht="15.75" customHeight="1">
      <c r="A847" s="2">
        <v>2.0</v>
      </c>
      <c r="B847" s="2" t="s">
        <v>2352</v>
      </c>
      <c r="C847" s="2" t="s">
        <v>2353</v>
      </c>
      <c r="D847" s="2" t="s">
        <v>13</v>
      </c>
      <c r="E847" s="2" t="s">
        <v>14</v>
      </c>
      <c r="F847" s="2" t="s">
        <v>15</v>
      </c>
      <c r="G847" s="2" t="s">
        <v>2354</v>
      </c>
      <c r="H847" s="2" t="s">
        <v>161</v>
      </c>
      <c r="I847" s="2" t="str">
        <f>IFERROR(__xludf.DUMMYFUNCTION("GOOGLETRANSLATE(C847,""fr"",""en"")"),"I strongly advise against this insurance which is completely useless. NULLISSIMES advisers.
Here are the facts:
     My front left tire explodes on the highway without having hit, I take the first exit ramp because I am fairly quickly on the rim.
I the"&amp;"refore call insurance, a first advisor explains to me that there is no care because I have come out of the highway, which is false because I am still on the exit ramp.
Then after many calls and their passing the convenience store on the phone who explain"&amp;"s my position to them, they are looking for another excuse saying to me ""you are more than 50km, so there can be no care"" the joke!? Because I am precisely at 55.8km !!!!
To finally explain to me that tires are not supported in my contract! But what ar"&amp;"e you used for ??? Maybe it would have been necessary to tell me directly? Still you have to have to do to competent people !!!!! This insurance is a shame.
I am canceling my insurance and I will continue after that to do them everywhere where I can disa"&amp;"strous and amply deserved advertising.")</f>
        <v>I strongly advise against this insurance which is completely useless. NULLISSIMES advisers.
Here are the facts:
     My front left tire explodes on the highway without having hit, I take the first exit ramp because I am fairly quickly on the rim.
I therefore call insurance, a first advisor explains to me that there is no care because I have come out of the highway, which is false because I am still on the exit ramp.
Then after many calls and their passing the convenience store on the phone who explains my position to them, they are looking for another excuse saying to me "you are more than 50km, so there can be no care" the joke!? Because I am precisely at 55.8km !!!!
To finally explain to me that tires are not supported in my contract! But what are you used for ??? Maybe it would have been necessary to tell me directly? Still you have to have to do to competent people !!!!! This insurance is a shame.
I am canceling my insurance and I will continue after that to do them everywhere where I can disastrous and amply deserved advertising.</v>
      </c>
    </row>
    <row r="848" ht="15.75" customHeight="1">
      <c r="A848" s="2">
        <v>4.0</v>
      </c>
      <c r="B848" s="2" t="s">
        <v>2355</v>
      </c>
      <c r="C848" s="2" t="s">
        <v>2356</v>
      </c>
      <c r="D848" s="2" t="s">
        <v>483</v>
      </c>
      <c r="E848" s="2" t="s">
        <v>21</v>
      </c>
      <c r="F848" s="2" t="s">
        <v>15</v>
      </c>
      <c r="G848" s="2" t="s">
        <v>511</v>
      </c>
      <c r="H848" s="2" t="s">
        <v>181</v>
      </c>
      <c r="I848" s="2" t="str">
        <f>IFERROR(__xludf.DUMMYFUNCTION("GOOGLETRANSLATE(C848,""fr"",""en"")"),"Telephone contact without waiting.
 Pleasant interlocutor and immediate answer to the question asked.
Also satisfied with the internet contact that I used during the past month whose processing of my request was made quickly.
 ")</f>
        <v>Telephone contact without waiting.
 Pleasant interlocutor and immediate answer to the question asked.
Also satisfied with the internet contact that I used during the past month whose processing of my request was made quickly.
 </v>
      </c>
    </row>
    <row r="849" ht="15.75" customHeight="1">
      <c r="A849" s="2">
        <v>4.0</v>
      </c>
      <c r="B849" s="2" t="s">
        <v>2357</v>
      </c>
      <c r="C849" s="2" t="s">
        <v>2358</v>
      </c>
      <c r="D849" s="2" t="s">
        <v>13</v>
      </c>
      <c r="E849" s="2" t="s">
        <v>14</v>
      </c>
      <c r="F849" s="2" t="s">
        <v>15</v>
      </c>
      <c r="G849" s="2" t="s">
        <v>1612</v>
      </c>
      <c r="H849" s="2" t="s">
        <v>28</v>
      </c>
      <c r="I849" s="2" t="str">
        <f>IFERROR(__xludf.DUMMYFUNCTION("GOOGLETRANSLATE(C849,""fr"",""en"")"),"Satisfied prices and options
To see now responsiveness in the event of a claim
I am a former customer by not being disappointed with your service. I am back")</f>
        <v>Satisfied prices and options
To see now responsiveness in the event of a claim
I am a former customer by not being disappointed with your service. I am back</v>
      </c>
    </row>
    <row r="850" ht="15.75" customHeight="1">
      <c r="A850" s="2">
        <v>4.0</v>
      </c>
      <c r="B850" s="2" t="s">
        <v>2359</v>
      </c>
      <c r="C850" s="2" t="s">
        <v>2360</v>
      </c>
      <c r="D850" s="2" t="s">
        <v>47</v>
      </c>
      <c r="E850" s="2" t="s">
        <v>14</v>
      </c>
      <c r="F850" s="2" t="s">
        <v>15</v>
      </c>
      <c r="G850" s="2" t="s">
        <v>1053</v>
      </c>
      <c r="H850" s="2" t="s">
        <v>60</v>
      </c>
      <c r="I850" s="2" t="str">
        <f>IFERROR(__xludf.DUMMYFUNCTION("GOOGLETRANSLATE(C850,""fr"",""en"")"),"The olive tree is the best offer compared to my situation, in addition the service is clear, accessible whether by internet or by phone.
It remains to be seen in hard blows how they react.
Cdt")</f>
        <v>The olive tree is the best offer compared to my situation, in addition the service is clear, accessible whether by internet or by phone.
It remains to be seen in hard blows how they react.
Cdt</v>
      </c>
    </row>
    <row r="851" ht="15.75" customHeight="1">
      <c r="A851" s="2">
        <v>2.0</v>
      </c>
      <c r="B851" s="2" t="s">
        <v>2361</v>
      </c>
      <c r="C851" s="2" t="s">
        <v>2362</v>
      </c>
      <c r="D851" s="2" t="s">
        <v>803</v>
      </c>
      <c r="E851" s="2" t="s">
        <v>21</v>
      </c>
      <c r="F851" s="2" t="s">
        <v>15</v>
      </c>
      <c r="G851" s="2" t="s">
        <v>1862</v>
      </c>
      <c r="H851" s="2" t="s">
        <v>140</v>
      </c>
      <c r="I851" s="2" t="str">
        <f>IFERROR(__xludf.DUMMYFUNCTION("GOOGLETRANSLATE(C851,""fr"",""en"")"),"I retired in December 2017, my company transmitted a file to AG2R in November 2017 so that I can continue to benefit from complementary health insurance within the framework of the Evin law.
Since then nothing happens, customer service joined by phone is"&amp;" not capable of any answer, AG2R does not respond to emails or mail. For almost two months, I have no more coverage and I do not know if I would be affiliated one day, it's very uncomfortable.")</f>
        <v>I retired in December 2017, my company transmitted a file to AG2R in November 2017 so that I can continue to benefit from complementary health insurance within the framework of the Evin law.
Since then nothing happens, customer service joined by phone is not capable of any answer, AG2R does not respond to emails or mail. For almost two months, I have no more coverage and I do not know if I would be affiliated one day, it's very uncomfortable.</v>
      </c>
    </row>
    <row r="852" ht="15.75" customHeight="1">
      <c r="A852" s="2">
        <v>1.0</v>
      </c>
      <c r="B852" s="2" t="s">
        <v>2363</v>
      </c>
      <c r="C852" s="2" t="s">
        <v>2364</v>
      </c>
      <c r="D852" s="2" t="s">
        <v>168</v>
      </c>
      <c r="E852" s="2" t="s">
        <v>14</v>
      </c>
      <c r="F852" s="2" t="s">
        <v>15</v>
      </c>
      <c r="G852" s="2" t="s">
        <v>1154</v>
      </c>
      <c r="H852" s="2" t="s">
        <v>250</v>
      </c>
      <c r="I852" s="2" t="str">
        <f>IFERROR(__xludf.DUMMYFUNCTION("GOOGLETRANSLATE(C852,""fr"",""en"")"),"I have been assured at AXA for 15 years. Everything was fine until 4 months ago when I had a disaster for which I was not responsible.
I wanted to have my vehicle repaired in a brand dealer garage, but AXA requires you to go to their partner garages, oth"&amp;"erwise it's up of substitution.
So I agreed to go to one of their partner.
And there, the start of the problems. The repairs which the garage had told me that they would last 15 days lasted more than 4 months, all because this Renault garage was not equ"&amp;"ipped to intervene on my Volkswagen vehicle and had to order the tools in gout.
In addition, the replacement vehicle that anxa had promised me only arrived after a month. Before that, the garage had no available. In the meantime, my agent told me to mana"&amp;"ge to find a vehicle and that the costs would be reimbursed.
After two months, and after various reminders, Axa refuses to reimburse me all the costs on the pretext that these costs are only borne from the repair order which had been given to the garage,"&amp;" which had not been explained to me by my agent.
I have a golf vehicle equipped with winter tires and all that I had from the garage where Axa sent me, it is a Twingo equipped with summer tires. When I told my insurer that I was afraid of driving with th"&amp;"is vehicle (because I make 70 kilometers every day on the highway to go to my workplace and because also the legislation in Luxembourg requires having tires winter from October), I had the sole answer that their partner had no obligation to provide vehicl"&amp;"es with winter tires. So it is up to me to manage and too bad for me if their partner took more than 4 months to repair my car, this is not the AXA problem. They sent me to an incompetent partner and then let me manage.
When I sent emails to my insurer t"&amp;"o ask him what he could do to help me, no answer! After a third reminder, an answer finally, but hardly satisfactory: basically it's like that and Axa will do nothing.
When I was told that the invoices I presented for the replacement vehicle would only b"&amp;"e reimbursed to me partially, I asked to have a copy of my insurance contract to check the understanding of my guarantees . Since then, I am waiting for anxa deigne can one day give me an answer. It's just the 4th or 5th time I have made the request.
Axa"&amp;" is a good insurer, as long as we pay the bonus and has no claim.
The day it happens, we understand how poor AXA services are. Personally, I was surprised to note that a response is only very difficult to receive from Axa.
Axa managed my claim in the mo"&amp;"st chaotic way.
What is surprising is that OXA will recover all its disbursements from the insurer of the person responsible for the accident. But even knowing this, AXA tries as much as possible to minimize its disbursements, not hesitating to leave its"&amp;" insured person with part of the costs of the replacement vehicle for example, or by sending its insured in partner garages of AXA, garages To which AXA obtains preferential prices, it does not matter whether or not these garages are competent to carry ou"&amp;"t repairs.
In summary therefore, very big disappointment.")</f>
        <v>I have been assured at AXA for 15 years. Everything was fine until 4 months ago when I had a disaster for which I was not responsible.
I wanted to have my vehicle repaired in a brand dealer garage, but AXA requires you to go to their partner garages, otherwise it's up of substitution.
So I agreed to go to one of their partner.
And there, the start of the problems. The repairs which the garage had told me that they would last 15 days lasted more than 4 months, all because this Renault garage was not equipped to intervene on my Volkswagen vehicle and had to order the tools in gout.
In addition, the replacement vehicle that anxa had promised me only arrived after a month. Before that, the garage had no available. In the meantime, my agent told me to manage to find a vehicle and that the costs would be reimbursed.
After two months, and after various reminders, Axa refuses to reimburse me all the costs on the pretext that these costs are only borne from the repair order which had been given to the garage, which had not been explained to me by my agent.
I have a golf vehicle equipped with winter tires and all that I had from the garage where Axa sent me, it is a Twingo equipped with summer tires. When I told my insurer that I was afraid of driving with this vehicle (because I make 70 kilometers every day on the highway to go to my workplace and because also the legislation in Luxembourg requires having tires winter from October), I had the sole answer that their partner had no obligation to provide vehicles with winter tires. So it is up to me to manage and too bad for me if their partner took more than 4 months to repair my car, this is not the AXA problem. They sent me to an incompetent partner and then let me manage.
When I sent emails to my insurer to ask him what he could do to help me, no answer! After a third reminder, an answer finally, but hardly satisfactory: basically it's like that and Axa will do nothing.
When I was told that the invoices I presented for the replacement vehicle would only be reimbursed to me partially, I asked to have a copy of my insurance contract to check the understanding of my guarantees . Since then, I am waiting for anxa deigne can one day give me an answer. It's just the 4th or 5th time I have made the request.
Axa is a good insurer, as long as we pay the bonus and has no claim.
The day it happens, we understand how poor AXA services are. Personally, I was surprised to note that a response is only very difficult to receive from Axa.
Axa managed my claim in the most chaotic way.
What is surprising is that OXA will recover all its disbursements from the insurer of the person responsible for the accident. But even knowing this, AXA tries as much as possible to minimize its disbursements, not hesitating to leave its insured person with part of the costs of the replacement vehicle for example, or by sending its insured in partner garages of AXA, garages To which AXA obtains preferential prices, it does not matter whether or not these garages are competent to carry out repairs.
In summary therefore, very big disappointment.</v>
      </c>
    </row>
    <row r="853" ht="15.75" customHeight="1">
      <c r="A853" s="2">
        <v>1.0</v>
      </c>
      <c r="B853" s="2" t="s">
        <v>2365</v>
      </c>
      <c r="C853" s="2" t="s">
        <v>2366</v>
      </c>
      <c r="D853" s="2" t="s">
        <v>31</v>
      </c>
      <c r="E853" s="2" t="s">
        <v>322</v>
      </c>
      <c r="F853" s="2" t="s">
        <v>15</v>
      </c>
      <c r="G853" s="2" t="s">
        <v>2367</v>
      </c>
      <c r="H853" s="2" t="s">
        <v>74</v>
      </c>
      <c r="I853" s="2" t="str">
        <f>IFERROR(__xludf.DUMMYFUNCTION("GOOGLETRANSLATE(C853,""fr"",""en"")"),"No rigorous monitoring
No commercial sense
Avoid subscribing
Lets you wait for the goodwel
One month to recover the funds placed for over 15 years")</f>
        <v>No rigorous monitoring
No commercial sense
Avoid subscribing
Lets you wait for the goodwel
One month to recover the funds placed for over 15 years</v>
      </c>
    </row>
    <row r="854" ht="15.75" customHeight="1">
      <c r="A854" s="2">
        <v>2.0</v>
      </c>
      <c r="B854" s="2" t="s">
        <v>2368</v>
      </c>
      <c r="C854" s="2" t="s">
        <v>2369</v>
      </c>
      <c r="D854" s="2" t="s">
        <v>248</v>
      </c>
      <c r="E854" s="2" t="s">
        <v>14</v>
      </c>
      <c r="F854" s="2" t="s">
        <v>15</v>
      </c>
      <c r="G854" s="2" t="s">
        <v>2370</v>
      </c>
      <c r="H854" s="2" t="s">
        <v>65</v>
      </c>
      <c r="I854" s="2" t="str">
        <f>IFERROR(__xludf.DUMMYFUNCTION("GOOGLETRANSLATE(C854,""fr"",""en"")"),"A shame on them
They terminated me after a month of membership under the ground that I had not returned all the parts
Which is entirely false
An email of 21 supporting documents sent them well
Never respond to the email I made to them
They kept me 80"&amp;" euros in termination
Telephone services are soft and incompetent")</f>
        <v>A shame on them
They terminated me after a month of membership under the ground that I had not returned all the parts
Which is entirely false
An email of 21 supporting documents sent them well
Never respond to the email I made to them
They kept me 80 euros in termination
Telephone services are soft and incompetent</v>
      </c>
    </row>
    <row r="855" ht="15.75" customHeight="1">
      <c r="A855" s="2">
        <v>2.0</v>
      </c>
      <c r="B855" s="2" t="s">
        <v>2371</v>
      </c>
      <c r="C855" s="2" t="s">
        <v>2372</v>
      </c>
      <c r="D855" s="2" t="s">
        <v>248</v>
      </c>
      <c r="E855" s="2" t="s">
        <v>14</v>
      </c>
      <c r="F855" s="2" t="s">
        <v>15</v>
      </c>
      <c r="G855" s="2" t="s">
        <v>2373</v>
      </c>
      <c r="H855" s="2" t="s">
        <v>589</v>
      </c>
      <c r="I855" s="2" t="str">
        <f>IFERROR(__xludf.DUMMYFUNCTION("GOOGLETRANSLATE(C855,""fr"",""en"")"),"I went to spend a little time in England and my car broke down on the way to France. I called the insurer to explain the situation to him and I was told to contact the other day because customer service was closed. Opening hours 9: -17. And I stayed in th"&amp;"e street until the next day")</f>
        <v>I went to spend a little time in England and my car broke down on the way to France. I called the insurer to explain the situation to him and I was told to contact the other day because customer service was closed. Opening hours 9: -17. And I stayed in the street until the next day</v>
      </c>
    </row>
    <row r="856" ht="15.75" customHeight="1">
      <c r="A856" s="2">
        <v>2.0</v>
      </c>
      <c r="B856" s="2" t="s">
        <v>2374</v>
      </c>
      <c r="C856" s="2" t="s">
        <v>2375</v>
      </c>
      <c r="D856" s="2" t="s">
        <v>653</v>
      </c>
      <c r="E856" s="2" t="s">
        <v>322</v>
      </c>
      <c r="F856" s="2" t="s">
        <v>15</v>
      </c>
      <c r="G856" s="2" t="s">
        <v>1205</v>
      </c>
      <c r="H856" s="2" t="s">
        <v>99</v>
      </c>
      <c r="I856" s="2" t="str">
        <f>IFERROR(__xludf.DUMMYFUNCTION("GOOGLETRANSLATE(C856,""fr"",""en"")"),"Hello,
For information of each, I have for prepared the acquisition of my main process on March 31, 2021 at the request of release on the one hand of my AFER life insurance (contract in place for more than 6 years).
To date Monday, April 24, despite sev"&amp;"eral telephone reminders and email I have still not been credited with the amount of which I asked for withdrawal, and this situation is detrimental to me, I deplores it, I wanted to share it For information of people who may have this type of situation t"&amp;"o manage
")</f>
        <v>Hello,
For information of each, I have for prepared the acquisition of my main process on March 31, 2021 at the request of release on the one hand of my AFER life insurance (contract in place for more than 6 years).
To date Monday, April 24, despite several telephone reminders and email I have still not been credited with the amount of which I asked for withdrawal, and this situation is detrimental to me, I deplores it, I wanted to share it For information of people who may have this type of situation to manage
</v>
      </c>
    </row>
    <row r="857" ht="15.75" customHeight="1">
      <c r="A857" s="2">
        <v>3.0</v>
      </c>
      <c r="B857" s="2" t="s">
        <v>2376</v>
      </c>
      <c r="C857" s="2" t="s">
        <v>2377</v>
      </c>
      <c r="D857" s="2" t="s">
        <v>42</v>
      </c>
      <c r="E857" s="2" t="s">
        <v>43</v>
      </c>
      <c r="F857" s="2" t="s">
        <v>15</v>
      </c>
      <c r="G857" s="2" t="s">
        <v>1606</v>
      </c>
      <c r="H857" s="2" t="s">
        <v>69</v>
      </c>
      <c r="I857" s="2" t="str">
        <f>IFERROR(__xludf.DUMMYFUNCTION("GOOGLETRANSLATE(C857,""fr"",""en"")"),"It's impeccable ... it's nickel, it's great and we want more. It is fast and efficient. Very satisfied with the service as well today and yesterday, cordially.")</f>
        <v>It's impeccable ... it's nickel, it's great and we want more. It is fast and efficient. Very satisfied with the service as well today and yesterday, cordially.</v>
      </c>
    </row>
    <row r="858" ht="15.75" customHeight="1">
      <c r="A858" s="2">
        <v>5.0</v>
      </c>
      <c r="B858" s="2" t="s">
        <v>2378</v>
      </c>
      <c r="C858" s="2" t="s">
        <v>2379</v>
      </c>
      <c r="D858" s="2" t="s">
        <v>47</v>
      </c>
      <c r="E858" s="2" t="s">
        <v>14</v>
      </c>
      <c r="F858" s="2" t="s">
        <v>15</v>
      </c>
      <c r="G858" s="2" t="s">
        <v>2380</v>
      </c>
      <c r="H858" s="2" t="s">
        <v>330</v>
      </c>
      <c r="I858" s="2" t="str">
        <f>IFERROR(__xludf.DUMMYFUNCTION("GOOGLETRANSLATE(C858,""fr"",""en"")"),"Never seen such a simple and quick insurance !!!
The hyper affordable price, the many options included in the various contracts ... Finally, an insurance that I highly recommend because of their seriousness, as well as their professionalism.")</f>
        <v>Never seen such a simple and quick insurance !!!
The hyper affordable price, the many options included in the various contracts ... Finally, an insurance that I highly recommend because of their seriousness, as well as their professionalism.</v>
      </c>
    </row>
    <row r="859" ht="15.75" customHeight="1">
      <c r="A859" s="2">
        <v>4.0</v>
      </c>
      <c r="B859" s="2" t="s">
        <v>2381</v>
      </c>
      <c r="C859" s="2" t="s">
        <v>2382</v>
      </c>
      <c r="D859" s="2" t="s">
        <v>13</v>
      </c>
      <c r="E859" s="2" t="s">
        <v>14</v>
      </c>
      <c r="F859" s="2" t="s">
        <v>15</v>
      </c>
      <c r="G859" s="2" t="s">
        <v>451</v>
      </c>
      <c r="H859" s="2" t="s">
        <v>87</v>
      </c>
      <c r="I859" s="2" t="str">
        <f>IFERROR(__xludf.DUMMYFUNCTION("GOOGLETRANSLATE(C859,""fr"",""en"")"),"I am satisfied with the price, I am satisfied with the services of my interlocutor who was very explanatory to all my questions it was fast and practical")</f>
        <v>I am satisfied with the price, I am satisfied with the services of my interlocutor who was very explanatory to all my questions it was fast and practical</v>
      </c>
    </row>
    <row r="860" ht="15.75" customHeight="1">
      <c r="A860" s="2">
        <v>1.0</v>
      </c>
      <c r="B860" s="2" t="s">
        <v>2383</v>
      </c>
      <c r="C860" s="2" t="s">
        <v>2384</v>
      </c>
      <c r="D860" s="2" t="s">
        <v>20</v>
      </c>
      <c r="E860" s="2" t="s">
        <v>21</v>
      </c>
      <c r="F860" s="2" t="s">
        <v>15</v>
      </c>
      <c r="G860" s="2" t="s">
        <v>1495</v>
      </c>
      <c r="H860" s="2" t="s">
        <v>56</v>
      </c>
      <c r="I860" s="2" t="str">
        <f>IFERROR(__xludf.DUMMYFUNCTION("GOOGLETRANSLATE(C860,""fr"",""en"")"),"Insurance that does not respond to the registeredder or the email
Waiting for very long reimbursements
Mutual not to recommend
I want my courier strongly
Impossible to see your account by Internet from a MOM")</f>
        <v>Insurance that does not respond to the registeredder or the email
Waiting for very long reimbursements
Mutual not to recommend
I want my courier strongly
Impossible to see your account by Internet from a MOM</v>
      </c>
    </row>
    <row r="861" ht="15.75" customHeight="1">
      <c r="A861" s="2">
        <v>3.0</v>
      </c>
      <c r="B861" s="2" t="s">
        <v>2385</v>
      </c>
      <c r="C861" s="2" t="s">
        <v>2386</v>
      </c>
      <c r="D861" s="2" t="s">
        <v>253</v>
      </c>
      <c r="E861" s="2" t="s">
        <v>21</v>
      </c>
      <c r="F861" s="2" t="s">
        <v>15</v>
      </c>
      <c r="G861" s="2" t="s">
        <v>2387</v>
      </c>
      <c r="H861" s="2" t="s">
        <v>259</v>
      </c>
      <c r="I861" s="2" t="str">
        <f>IFERROR(__xludf.DUMMYFUNCTION("GOOGLETRANSLATE(C861,""fr"",""en"")"),"I had like many of you a call an hour ago with a woman who told me about this insurance for accidents etc ... during this call I exchanged (stupidly I think) my bank details with She knowing that she already knew the first letters of the BIC account. It s"&amp;"eemed weird but I still did. I already have a mutual insurance company with another structure which takes into account the provident, the cases of accident, and taking hospital charges, but I did not react instantly because it told me that it does not was"&amp;" not the same thing, it was in addition to my basic mutual and social security. So I looked at all your opinions and tell myself that I did a stupidity, I did not think about it. Those who had the same case as months, is the letter of termination with AR "&amp;"was effective? I think I do it on Monday (after 4 days on the 14 rights)
Or did you have to take more complicated steps? It stresses me now")</f>
        <v>I had like many of you a call an hour ago with a woman who told me about this insurance for accidents etc ... during this call I exchanged (stupidly I think) my bank details with She knowing that she already knew the first letters of the BIC account. It seemed weird but I still did. I already have a mutual insurance company with another structure which takes into account the provident, the cases of accident, and taking hospital charges, but I did not react instantly because it told me that it does not was not the same thing, it was in addition to my basic mutual and social security. So I looked at all your opinions and tell myself that I did a stupidity, I did not think about it. Those who had the same case as months, is the letter of termination with AR was effective? I think I do it on Monday (after 4 days on the 14 rights)
Or did you have to take more complicated steps? It stresses me now</v>
      </c>
    </row>
    <row r="862" ht="15.75" customHeight="1">
      <c r="A862" s="2">
        <v>5.0</v>
      </c>
      <c r="B862" s="2" t="s">
        <v>2388</v>
      </c>
      <c r="C862" s="2" t="s">
        <v>2389</v>
      </c>
      <c r="D862" s="2" t="s">
        <v>13</v>
      </c>
      <c r="E862" s="2" t="s">
        <v>14</v>
      </c>
      <c r="F862" s="2" t="s">
        <v>15</v>
      </c>
      <c r="G862" s="2" t="s">
        <v>1289</v>
      </c>
      <c r="H862" s="2" t="s">
        <v>69</v>
      </c>
      <c r="I862" s="2" t="str">
        <f>IFERROR(__xludf.DUMMYFUNCTION("GOOGLETRANSLATE(C862,""fr"",""en"")"),"Very satisfied with the services during the subscription and facilities for setting up a car contract on the phone and by transfer of email to insurance.")</f>
        <v>Very satisfied with the services during the subscription and facilities for setting up a car contract on the phone and by transfer of email to insurance.</v>
      </c>
    </row>
    <row r="863" ht="15.75" customHeight="1">
      <c r="A863" s="2">
        <v>1.0</v>
      </c>
      <c r="B863" s="2" t="s">
        <v>2390</v>
      </c>
      <c r="C863" s="2" t="s">
        <v>2391</v>
      </c>
      <c r="D863" s="2" t="s">
        <v>223</v>
      </c>
      <c r="E863" s="2" t="s">
        <v>14</v>
      </c>
      <c r="F863" s="2" t="s">
        <v>15</v>
      </c>
      <c r="G863" s="2" t="s">
        <v>2392</v>
      </c>
      <c r="H863" s="2" t="s">
        <v>91</v>
      </c>
      <c r="I863" s="2" t="str">
        <f>IFERROR(__xludf.DUMMYFUNCTION("GOOGLETRANSLATE(C863,""fr"",""en"")"),"202 € all risks for a Peugeot 208 4CV Tax Tariff Ultra expensive, for never having had claims.
Termination mail send since January 10 I am still debited on my account until this month (October) the advisor tells me that it still lacks documents written l"&amp;"etter and sign send as well as certificate of transfer of the big one anyway What this very disappointed insurance.")</f>
        <v>202 € all risks for a Peugeot 208 4CV Tax Tariff Ultra expensive, for never having had claims.
Termination mail send since January 10 I am still debited on my account until this month (October) the advisor tells me that it still lacks documents written letter and sign send as well as certificate of transfer of the big one anyway What this very disappointed insurance.</v>
      </c>
    </row>
    <row r="864" ht="15.75" customHeight="1">
      <c r="A864" s="2">
        <v>4.0</v>
      </c>
      <c r="B864" s="2" t="s">
        <v>2393</v>
      </c>
      <c r="C864" s="2" t="s">
        <v>2394</v>
      </c>
      <c r="D864" s="2" t="s">
        <v>47</v>
      </c>
      <c r="E864" s="2" t="s">
        <v>14</v>
      </c>
      <c r="F864" s="2" t="s">
        <v>15</v>
      </c>
      <c r="G864" s="2" t="s">
        <v>2395</v>
      </c>
      <c r="H864" s="2" t="s">
        <v>17</v>
      </c>
      <c r="I864" s="2" t="str">
        <f>IFERROR(__xludf.DUMMYFUNCTION("GOOGLETRANSLATE(C864,""fr"",""en"")"),"Very fast insurance thumbnail
Thanks
I recovered my vehicle quickly thanks to you
I am very happy
And thank you cordially")</f>
        <v>Very fast insurance thumbnail
Thanks
I recovered my vehicle quickly thanks to you
I am very happy
And thank you cordially</v>
      </c>
    </row>
    <row r="865" ht="15.75" customHeight="1">
      <c r="A865" s="2">
        <v>4.0</v>
      </c>
      <c r="B865" s="2" t="s">
        <v>2396</v>
      </c>
      <c r="C865" s="2" t="s">
        <v>2397</v>
      </c>
      <c r="D865" s="2" t="s">
        <v>13</v>
      </c>
      <c r="E865" s="2" t="s">
        <v>14</v>
      </c>
      <c r="F865" s="2" t="s">
        <v>15</v>
      </c>
      <c r="G865" s="2" t="s">
        <v>130</v>
      </c>
      <c r="H865" s="2" t="s">
        <v>60</v>
      </c>
      <c r="I865" s="2" t="str">
        <f>IFERROR(__xludf.DUMMYFUNCTION("GOOGLETRANSLATE(C865,""fr"",""en"")"),"Very attractive coverage ratio. Website allows you to easily process your contract. Responsive to answer questions.
I recommend this site.")</f>
        <v>Very attractive coverage ratio. Website allows you to easily process your contract. Responsive to answer questions.
I recommend this site.</v>
      </c>
    </row>
    <row r="866" ht="15.75" customHeight="1">
      <c r="A866" s="2">
        <v>3.0</v>
      </c>
      <c r="B866" s="2" t="s">
        <v>2398</v>
      </c>
      <c r="C866" s="2" t="s">
        <v>2399</v>
      </c>
      <c r="D866" s="2" t="s">
        <v>168</v>
      </c>
      <c r="E866" s="2" t="s">
        <v>14</v>
      </c>
      <c r="F866" s="2" t="s">
        <v>15</v>
      </c>
      <c r="G866" s="2" t="s">
        <v>440</v>
      </c>
      <c r="H866" s="2" t="s">
        <v>99</v>
      </c>
      <c r="I866" s="2" t="str">
        <f>IFERROR(__xludf.DUMMYFUNCTION("GOOGLETRANSLATE(C866,""fr"",""en"")"),"Group insurance (former Air France navigating hostesses) a little high monthly payments unrelated to the amount of pensions. Punctual adjustments, by return of mail, from the transmission of the sick person.")</f>
        <v>Group insurance (former Air France navigating hostesses) a little high monthly payments unrelated to the amount of pensions. Punctual adjustments, by return of mail, from the transmission of the sick person.</v>
      </c>
    </row>
    <row r="867" ht="15.75" customHeight="1">
      <c r="A867" s="2">
        <v>2.0</v>
      </c>
      <c r="B867" s="2" t="s">
        <v>2400</v>
      </c>
      <c r="C867" s="2" t="s">
        <v>2401</v>
      </c>
      <c r="D867" s="2" t="s">
        <v>63</v>
      </c>
      <c r="E867" s="2" t="s">
        <v>77</v>
      </c>
      <c r="F867" s="2" t="s">
        <v>15</v>
      </c>
      <c r="G867" s="2" t="s">
        <v>2402</v>
      </c>
      <c r="H867" s="2" t="s">
        <v>213</v>
      </c>
      <c r="I867" s="2" t="str">
        <f>IFERROR(__xludf.DUMMYFUNCTION("GOOGLETRANSLATE(C867,""fr"",""en"")"),"I have a very negative opinion of the sinister activity of the MAIF which, in an hurtful way, question the words of its members and shows dilettantism.")</f>
        <v>I have a very negative opinion of the sinister activity of the MAIF which, in an hurtful way, question the words of its members and shows dilettantism.</v>
      </c>
    </row>
    <row r="868" ht="15.75" customHeight="1">
      <c r="A868" s="2">
        <v>1.0</v>
      </c>
      <c r="B868" s="2" t="s">
        <v>2403</v>
      </c>
      <c r="C868" s="2" t="s">
        <v>2404</v>
      </c>
      <c r="D868" s="2" t="s">
        <v>287</v>
      </c>
      <c r="E868" s="2" t="s">
        <v>14</v>
      </c>
      <c r="F868" s="2" t="s">
        <v>15</v>
      </c>
      <c r="G868" s="2" t="s">
        <v>404</v>
      </c>
      <c r="H868" s="2" t="s">
        <v>245</v>
      </c>
      <c r="I868" s="2" t="str">
        <f>IFERROR(__xludf.DUMMYFUNCTION("GOOGLETRANSLATE(C868,""fr"",""en"")"),"Unjustified and not reimbursed withdrawals, no service is able to give explanations. Go elsewhere! I may say that I am in a complicated situation because of its samples, the advisers laugh on the phone and hang up without giving me time to explain me")</f>
        <v>Unjustified and not reimbursed withdrawals, no service is able to give explanations. Go elsewhere! I may say that I am in a complicated situation because of its samples, the advisers laugh on the phone and hang up without giving me time to explain me</v>
      </c>
    </row>
    <row r="869" ht="15.75" customHeight="1">
      <c r="A869" s="2">
        <v>3.0</v>
      </c>
      <c r="B869" s="2" t="s">
        <v>2405</v>
      </c>
      <c r="C869" s="2" t="s">
        <v>2406</v>
      </c>
      <c r="D869" s="2" t="s">
        <v>13</v>
      </c>
      <c r="E869" s="2" t="s">
        <v>14</v>
      </c>
      <c r="F869" s="2" t="s">
        <v>15</v>
      </c>
      <c r="G869" s="2" t="s">
        <v>2407</v>
      </c>
      <c r="H869" s="2" t="s">
        <v>17</v>
      </c>
      <c r="I869" s="2" t="str">
        <f>IFERROR(__xludf.DUMMYFUNCTION("GOOGLETRANSLATE(C869,""fr"",""en"")"),"The prices suit me and are interesting. I am new to Direct Insurance. I therefore expect to see the platform and the various services that will be offered to me throughout my contract.")</f>
        <v>The prices suit me and are interesting. I am new to Direct Insurance. I therefore expect to see the platform and the various services that will be offered to me throughout my contract.</v>
      </c>
    </row>
    <row r="870" ht="15.75" customHeight="1">
      <c r="A870" s="2">
        <v>1.0</v>
      </c>
      <c r="B870" s="2" t="s">
        <v>2408</v>
      </c>
      <c r="C870" s="2" t="s">
        <v>2409</v>
      </c>
      <c r="D870" s="2" t="s">
        <v>31</v>
      </c>
      <c r="E870" s="2" t="s">
        <v>322</v>
      </c>
      <c r="F870" s="2" t="s">
        <v>15</v>
      </c>
      <c r="G870" s="2" t="s">
        <v>1058</v>
      </c>
      <c r="H870" s="2" t="s">
        <v>815</v>
      </c>
      <c r="I870" s="2" t="str">
        <f>IFERROR(__xludf.DUMMYFUNCTION("GOOGLETRANSLATE(C870,""fr"",""en"")"),"Impossibility of receiving a file concerning life insurance which I am beneficiary")</f>
        <v>Impossibility of receiving a file concerning life insurance which I am beneficiary</v>
      </c>
    </row>
    <row r="871" ht="15.75" customHeight="1">
      <c r="A871" s="2">
        <v>5.0</v>
      </c>
      <c r="B871" s="2" t="s">
        <v>2410</v>
      </c>
      <c r="C871" s="2" t="s">
        <v>2411</v>
      </c>
      <c r="D871" s="2" t="s">
        <v>253</v>
      </c>
      <c r="E871" s="2" t="s">
        <v>21</v>
      </c>
      <c r="F871" s="2" t="s">
        <v>15</v>
      </c>
      <c r="G871" s="2" t="s">
        <v>1734</v>
      </c>
      <c r="H871" s="2" t="s">
        <v>56</v>
      </c>
      <c r="I871" s="2" t="str">
        <f>IFERROR(__xludf.DUMMYFUNCTION("GOOGLETRANSLATE(C871,""fr"",""en"")"),"My opinion for Emeline I have never dealt with a no one I am filled with great Emeline pleasant to discuss and everything is clear and especially professionalism
Bravo to him to continue like this.
Cordially
Michel Mercier")</f>
        <v>My opinion for Emeline I have never dealt with a no one I am filled with great Emeline pleasant to discuss and everything is clear and especially professionalism
Bravo to him to continue like this.
Cordially
Michel Mercier</v>
      </c>
    </row>
    <row r="872" ht="15.75" customHeight="1">
      <c r="A872" s="2">
        <v>4.0</v>
      </c>
      <c r="B872" s="2" t="s">
        <v>2412</v>
      </c>
      <c r="C872" s="2" t="s">
        <v>2413</v>
      </c>
      <c r="D872" s="2" t="s">
        <v>13</v>
      </c>
      <c r="E872" s="2" t="s">
        <v>14</v>
      </c>
      <c r="F872" s="2" t="s">
        <v>15</v>
      </c>
      <c r="G872" s="2" t="s">
        <v>451</v>
      </c>
      <c r="H872" s="2" t="s">
        <v>87</v>
      </c>
      <c r="I872" s="2" t="str">
        <f>IFERROR(__xludf.DUMMYFUNCTION("GOOGLETRANSLATE(C872,""fr"",""en"")"),"I am a new customer, we will see in 1 year! (Increase in the contribution of 800% despite Corona (!), 0 accident, 0 concern and bonus ?? !!!) I paid € 310, we will see how much I will pay (more, of race!) In 1 year...")</f>
        <v>I am a new customer, we will see in 1 year! (Increase in the contribution of 800% despite Corona (!), 0 accident, 0 concern and bonus ?? !!!) I paid € 310, we will see how much I will pay (more, of race!) In 1 year...</v>
      </c>
    </row>
    <row r="873" ht="15.75" customHeight="1">
      <c r="A873" s="2">
        <v>4.0</v>
      </c>
      <c r="B873" s="2" t="s">
        <v>2414</v>
      </c>
      <c r="C873" s="2" t="s">
        <v>2415</v>
      </c>
      <c r="D873" s="2" t="s">
        <v>47</v>
      </c>
      <c r="E873" s="2" t="s">
        <v>14</v>
      </c>
      <c r="F873" s="2" t="s">
        <v>15</v>
      </c>
      <c r="G873" s="2" t="s">
        <v>688</v>
      </c>
      <c r="H873" s="2" t="s">
        <v>60</v>
      </c>
      <c r="I873" s="2" t="str">
        <f>IFERROR(__xludf.DUMMYFUNCTION("GOOGLETRANSLATE(C873,""fr"",""en"")"),"I am satisfied with the service.
But do not understand why my insurance rate has decreased so much when I was always insured at home and there I leave with a lower bcp rate (bonus /penalty).")</f>
        <v>I am satisfied with the service.
But do not understand why my insurance rate has decreased so much when I was always insured at home and there I leave with a lower bcp rate (bonus /penalty).</v>
      </c>
    </row>
    <row r="874" ht="15.75" customHeight="1">
      <c r="A874" s="2">
        <v>3.0</v>
      </c>
      <c r="B874" s="2" t="s">
        <v>2416</v>
      </c>
      <c r="C874" s="2" t="s">
        <v>2417</v>
      </c>
      <c r="D874" s="2" t="s">
        <v>13</v>
      </c>
      <c r="E874" s="2" t="s">
        <v>14</v>
      </c>
      <c r="F874" s="2" t="s">
        <v>15</v>
      </c>
      <c r="G874" s="2" t="s">
        <v>111</v>
      </c>
      <c r="H874" s="2" t="s">
        <v>99</v>
      </c>
      <c r="I874" s="2" t="str">
        <f>IFERROR(__xludf.DUMMYFUNCTION("GOOGLETRANSLATE(C874,""fr"",""en"")"),"Not at the top question communication, a blow I am ensured a blow I am not.
Big problems to transmit documents ....
It remains to be seen more ....")</f>
        <v>Not at the top question communication, a blow I am ensured a blow I am not.
Big problems to transmit documents ....
It remains to be seen more ....</v>
      </c>
    </row>
    <row r="875" ht="15.75" customHeight="1">
      <c r="A875" s="2">
        <v>5.0</v>
      </c>
      <c r="B875" s="2" t="s">
        <v>2418</v>
      </c>
      <c r="C875" s="2" t="s">
        <v>2419</v>
      </c>
      <c r="D875" s="2" t="s">
        <v>287</v>
      </c>
      <c r="E875" s="2" t="s">
        <v>14</v>
      </c>
      <c r="F875" s="2" t="s">
        <v>15</v>
      </c>
      <c r="G875" s="2" t="s">
        <v>1821</v>
      </c>
      <c r="H875" s="2" t="s">
        <v>60</v>
      </c>
      <c r="I875" s="2" t="str">
        <f>IFERROR(__xludf.DUMMYFUNCTION("GOOGLETRANSLATE(C875,""fr"",""en"")"),"Children's school insurance is very good. I have nothing to say in terms of price because I do not really pay for school and extracurricular insurance.")</f>
        <v>Children's school insurance is very good. I have nothing to say in terms of price because I do not really pay for school and extracurricular insurance.</v>
      </c>
    </row>
    <row r="876" ht="15.75" customHeight="1">
      <c r="A876" s="2">
        <v>5.0</v>
      </c>
      <c r="B876" s="2" t="s">
        <v>2420</v>
      </c>
      <c r="C876" s="2" t="s">
        <v>2421</v>
      </c>
      <c r="D876" s="2" t="s">
        <v>47</v>
      </c>
      <c r="E876" s="2" t="s">
        <v>14</v>
      </c>
      <c r="F876" s="2" t="s">
        <v>15</v>
      </c>
      <c r="G876" s="2" t="s">
        <v>170</v>
      </c>
      <c r="H876" s="2" t="s">
        <v>17</v>
      </c>
      <c r="I876" s="2" t="str">
        <f>IFERROR(__xludf.DUMMYFUNCTION("GOOGLETRANSLATE(C876,""fr"",""en"")"),"I am satisfied with the service and the advisor I had on the phone.
The website is very simple to use
sending documents to the very practical site
")</f>
        <v>I am satisfied with the service and the advisor I had on the phone.
The website is very simple to use
sending documents to the very practical site
</v>
      </c>
    </row>
    <row r="877" ht="15.75" customHeight="1">
      <c r="A877" s="2">
        <v>1.0</v>
      </c>
      <c r="B877" s="2" t="s">
        <v>2422</v>
      </c>
      <c r="C877" s="2" t="s">
        <v>2423</v>
      </c>
      <c r="D877" s="2" t="s">
        <v>133</v>
      </c>
      <c r="E877" s="2" t="s">
        <v>77</v>
      </c>
      <c r="F877" s="2" t="s">
        <v>15</v>
      </c>
      <c r="G877" s="2" t="s">
        <v>2424</v>
      </c>
      <c r="H877" s="2" t="s">
        <v>565</v>
      </c>
      <c r="I877" s="2" t="str">
        <f>IFERROR(__xludf.DUMMYFUNCTION("GOOGLETRANSLATE(C877,""fr"",""en"")"),"Insured at Allianz for 4 years, I have undergone a fire last July, since he refused to respond to my detail requests on the proposed compensation. Obliged to involve a lawyer. They even tried to deduce decontamination when it is provided for the contract.")</f>
        <v>Insured at Allianz for 4 years, I have undergone a fire last July, since he refused to respond to my detail requests on the proposed compensation. Obliged to involve a lawyer. They even tried to deduce decontamination when it is provided for the contract.</v>
      </c>
    </row>
    <row r="878" ht="15.75" customHeight="1">
      <c r="A878" s="2">
        <v>4.0</v>
      </c>
      <c r="B878" s="2" t="s">
        <v>2425</v>
      </c>
      <c r="C878" s="2" t="s">
        <v>2426</v>
      </c>
      <c r="D878" s="2" t="s">
        <v>13</v>
      </c>
      <c r="E878" s="2" t="s">
        <v>14</v>
      </c>
      <c r="F878" s="2" t="s">
        <v>15</v>
      </c>
      <c r="G878" s="2" t="s">
        <v>1657</v>
      </c>
      <c r="H878" s="2" t="s">
        <v>56</v>
      </c>
      <c r="I878" s="2" t="str">
        <f>IFERROR(__xludf.DUMMYFUNCTION("GOOGLETRANSLATE(C878,""fr"",""en"")"),"I am satisfied with the service. Nevertheless, each year my subscription increases while my bonus increases ....
So if that only increases I would end up changing insurance.")</f>
        <v>I am satisfied with the service. Nevertheless, each year my subscription increases while my bonus increases ....
So if that only increases I would end up changing insurance.</v>
      </c>
    </row>
    <row r="879" ht="15.75" customHeight="1">
      <c r="A879" s="2">
        <v>1.0</v>
      </c>
      <c r="B879" s="2" t="s">
        <v>2427</v>
      </c>
      <c r="C879" s="2" t="s">
        <v>2428</v>
      </c>
      <c r="D879" s="2" t="s">
        <v>153</v>
      </c>
      <c r="E879" s="2" t="s">
        <v>77</v>
      </c>
      <c r="F879" s="2" t="s">
        <v>15</v>
      </c>
      <c r="G879" s="2" t="s">
        <v>2429</v>
      </c>
      <c r="H879" s="2" t="s">
        <v>155</v>
      </c>
      <c r="I879" s="2" t="str">
        <f>IFERROR(__xludf.DUMMYFUNCTION("GOOGLETRANSLATE(C879,""fr"",""en"")"),"Sinister on a bathroom since the beginning of January.
The expert report has been rendered since 21.
Our bathroom has been unusable for 1 month. Complicated with 3 children including 1 baby. No news of the insurance and especially the height of the heig"&amp;"ht they are unreachable !!! 25 calls without success ... all the advisers are busy !! ... unheard of !!
As soon as it is possible we resilled this insurance.")</f>
        <v>Sinister on a bathroom since the beginning of January.
The expert report has been rendered since 21.
Our bathroom has been unusable for 1 month. Complicated with 3 children including 1 baby. No news of the insurance and especially the height of the height they are unreachable !!! 25 calls without success ... all the advisers are busy !! ... unheard of !!
As soon as it is possible we resilled this insurance.</v>
      </c>
    </row>
    <row r="880" ht="15.75" customHeight="1">
      <c r="A880" s="2">
        <v>5.0</v>
      </c>
      <c r="B880" s="2" t="s">
        <v>2430</v>
      </c>
      <c r="C880" s="2" t="s">
        <v>2431</v>
      </c>
      <c r="D880" s="2" t="s">
        <v>47</v>
      </c>
      <c r="E880" s="2" t="s">
        <v>14</v>
      </c>
      <c r="F880" s="2" t="s">
        <v>15</v>
      </c>
      <c r="G880" s="2" t="s">
        <v>722</v>
      </c>
      <c r="H880" s="2" t="s">
        <v>99</v>
      </c>
      <c r="I880" s="2" t="str">
        <f>IFERROR(__xludf.DUMMYFUNCTION("GOOGLETRANSLATE(C880,""fr"",""en"")"),"I am satisfied with the speed and quality of the service offer with prices 3 times cheaper than an agency, I recommend very strongly, and especially for young permits")</f>
        <v>I am satisfied with the speed and quality of the service offer with prices 3 times cheaper than an agency, I recommend very strongly, and especially for young permits</v>
      </c>
    </row>
    <row r="881" ht="15.75" customHeight="1">
      <c r="A881" s="2">
        <v>5.0</v>
      </c>
      <c r="B881" s="2" t="s">
        <v>2432</v>
      </c>
      <c r="C881" s="2" t="s">
        <v>2433</v>
      </c>
      <c r="D881" s="2" t="s">
        <v>239</v>
      </c>
      <c r="E881" s="2" t="s">
        <v>21</v>
      </c>
      <c r="F881" s="2" t="s">
        <v>15</v>
      </c>
      <c r="G881" s="2" t="s">
        <v>49</v>
      </c>
      <c r="H881" s="2" t="s">
        <v>49</v>
      </c>
      <c r="I881" s="2" t="str">
        <f>IFERROR(__xludf.DUMMYFUNCTION("GOOGLETRANSLATE(C881,""fr"",""en"")"),"I am satisfied with your mutual insurance company I really like I will recommend it to my friends and my family like her they will be well protecting and my friends too ??")</f>
        <v>I am satisfied with your mutual insurance company I really like I will recommend it to my friends and my family like her they will be well protecting and my friends too ??</v>
      </c>
    </row>
    <row r="882" ht="15.75" customHeight="1">
      <c r="A882" s="2">
        <v>1.0</v>
      </c>
      <c r="B882" s="2" t="s">
        <v>2434</v>
      </c>
      <c r="C882" s="2" t="s">
        <v>2435</v>
      </c>
      <c r="D882" s="2" t="s">
        <v>168</v>
      </c>
      <c r="E882" s="2" t="s">
        <v>14</v>
      </c>
      <c r="F882" s="2" t="s">
        <v>15</v>
      </c>
      <c r="G882" s="2" t="s">
        <v>2436</v>
      </c>
      <c r="H882" s="2" t="s">
        <v>83</v>
      </c>
      <c r="I882" s="2" t="str">
        <f>IFERROR(__xludf.DUMMYFUNCTION("GOOGLETRANSLATE(C882,""fr"",""en"")"),"I had a claim in November 2017 a third party responsible was recognized by a witness but after expertise in my vehicle they do not want to take into account the disaster because according to them the car was already repaired because my panel- Shocks were "&amp;"already a little damaged and never gave me again now I have a bumper a wing and a lighthouse to have repaired at my expense. What is the point of being insured in these cases?")</f>
        <v>I had a claim in November 2017 a third party responsible was recognized by a witness but after expertise in my vehicle they do not want to take into account the disaster because according to them the car was already repaired because my panel- Shocks were already a little damaged and never gave me again now I have a bumper a wing and a lighthouse to have repaired at my expense. What is the point of being insured in these cases?</v>
      </c>
    </row>
    <row r="883" ht="15.75" customHeight="1">
      <c r="A883" s="2">
        <v>1.0</v>
      </c>
      <c r="B883" s="2" t="s">
        <v>2437</v>
      </c>
      <c r="C883" s="2" t="s">
        <v>2438</v>
      </c>
      <c r="D883" s="2" t="s">
        <v>483</v>
      </c>
      <c r="E883" s="2" t="s">
        <v>21</v>
      </c>
      <c r="F883" s="2" t="s">
        <v>15</v>
      </c>
      <c r="G883" s="2" t="s">
        <v>2439</v>
      </c>
      <c r="H883" s="2" t="s">
        <v>330</v>
      </c>
      <c r="I883" s="2" t="str">
        <f>IFERROR(__xludf.DUMMYFUNCTION("GOOGLETRANSLATE(C883,""fr"",""en"")"),"Currently client at the MGP for several years, being ADS then PM in 2012, I contacted the MGP in order to update my contact details in April 2019.
During this approach, my interlocutor realized an error concerning my file. Indeed, he appears that I did n"&amp;"ot have a gold treatment complement, I had the Primo warranty. One does not go without the other and what is more, normally, we have the supplement of automatic processing but not the Primo warranty which is an option.
It would be a computer Beug accordi"&amp;"ng to his statements. This took place in 2012 and has not been restored since then on my file.
Fortunately everything went well for me so far ...
As soon as I got to know it, I contacted the MGP telephone on multiple times (6 or more) my interlocutor "&amp;"of the moment had raised the information.
I also sent a letter twice because it lacked documents. The first contained my April salary slip and the second, my PM tenure decree to do this.
Things have been done but nothing corresponds with my initial requ"&amp;"est (grade and other update ...)
The last contact goes back in July and my interlocutor confirmed to me that it was an error on their part, that it was going to be corrected quickly and that I was going to receive a new schedule including my salary treat"&amp;"ment.
Today, August 6, 2019, I receive a letter from the MGP stipulating that I have requested the staggered regulation of the sum of 180 euros of which I am liable and this divided into two contributions taken in September and October.
This day, I call"&amp;" the MGP. First of all, my interlocutor asks me to ensure that it is indeed me and therefore lists my status and then refers to treatment. So I ask her if I have it well and that he has been updated, she answers me positively, I see her marked.
I share i"&amp;"t with the mail. She informs me that it is probably a recall following the update of the additional salary treatment but checks with her colleagues. After a few minutes of waiting, my interlocutor tells me that she confirms that this is a recall for the s"&amp;"upplement of treatment over two years.
Therefore, I went up and declares that it is not a question that I pay for a status that I had not until that they themselves correct the problem on July or August 2019.
They must contact me because I do not agree "&amp;"and more, I did not ask anything for the reimbursement of which I did not know. I am waiting to be contacted. It is necessary to wait until the request is taken n account above all else, which can prove to be long, especially according to their priorities"&amp;".
The first levy is scheduled for early September and in view of the deadlines for the lack of professionalism of the MGP to process the files, I think I would be taken before repairing the damage.
In short, the MGP is fabulous. She claims me money (180"&amp;" euros) for a compulsory service but which has been deleted on my personal file since 2012 for unknown reasons for their fact
She allows myself to ask me for money over two years when my file has been updated only very recently, it is extraordinary on th"&amp;"eir part and completely abuse or even the order of justice.
MGP and its service have become mediocre and lamentable
Difficulty joining, different interlocutor for the same file, too long processing time, total incomprehension of requests, lack of rigor "&amp;"and professionalism.
TO FLEE......")</f>
        <v>Currently client at the MGP for several years, being ADS then PM in 2012, I contacted the MGP in order to update my contact details in April 2019.
During this approach, my interlocutor realized an error concerning my file. Indeed, he appears that I did not have a gold treatment complement, I had the Primo warranty. One does not go without the other and what is more, normally, we have the supplement of automatic processing but not the Primo warranty which is an option.
It would be a computer Beug according to his statements. This took place in 2012 and has not been restored since then on my file.
Fortunately everything went well for me so far ...
As soon as I got to know it, I contacted the MGP telephone on multiple times (6 or more) my interlocutor of the moment had raised the information.
I also sent a letter twice because it lacked documents. The first contained my April salary slip and the second, my PM tenure decree to do this.
Things have been done but nothing corresponds with my initial request (grade and other update ...)
The last contact goes back in July and my interlocutor confirmed to me that it was an error on their part, that it was going to be corrected quickly and that I was going to receive a new schedule including my salary treatment.
Today, August 6, 2019, I receive a letter from the MGP stipulating that I have requested the staggered regulation of the sum of 180 euros of which I am liable and this divided into two contributions taken in September and October.
This day, I call the MGP. First of all, my interlocutor asks me to ensure that it is indeed me and therefore lists my status and then refers to treatment. So I ask her if I have it well and that he has been updated, she answers me positively, I see her marked.
I share it with the mail. She informs me that it is probably a recall following the update of the additional salary treatment but checks with her colleagues. After a few minutes of waiting, my interlocutor tells me that she confirms that this is a recall for the supplement of treatment over two years.
Therefore, I went up and declares that it is not a question that I pay for a status that I had not until that they themselves correct the problem on July or August 2019.
They must contact me because I do not agree and more, I did not ask anything for the reimbursement of which I did not know. I am waiting to be contacted. It is necessary to wait until the request is taken n account above all else, which can prove to be long, especially according to their priorities.
The first levy is scheduled for early September and in view of the deadlines for the lack of professionalism of the MGP to process the files, I think I would be taken before repairing the damage.
In short, the MGP is fabulous. She claims me money (180 euros) for a compulsory service but which has been deleted on my personal file since 2012 for unknown reasons for their fact
She allows myself to ask me for money over two years when my file has been updated only very recently, it is extraordinary on their part and completely abuse or even the order of justice.
MGP and its service have become mediocre and lamentable
Difficulty joining, different interlocutor for the same file, too long processing time, total incomprehension of requests, lack of rigor and professionalism.
TO FLEE......</v>
      </c>
    </row>
    <row r="884" ht="15.75" customHeight="1">
      <c r="A884" s="2">
        <v>4.0</v>
      </c>
      <c r="B884" s="2" t="s">
        <v>2440</v>
      </c>
      <c r="C884" s="2" t="s">
        <v>2441</v>
      </c>
      <c r="D884" s="2" t="s">
        <v>47</v>
      </c>
      <c r="E884" s="2" t="s">
        <v>14</v>
      </c>
      <c r="F884" s="2" t="s">
        <v>15</v>
      </c>
      <c r="G884" s="2" t="s">
        <v>508</v>
      </c>
      <c r="H884" s="2" t="s">
        <v>87</v>
      </c>
      <c r="I884" s="2" t="str">
        <f>IFERROR(__xludf.DUMMYFUNCTION("GOOGLETRANSLATE(C884,""fr"",""en"")"),"Since the questionnaire to establish the quote, the order, the sending of supporting documents, everything has been carried out according to an effective procedure.
The price is competitive and the advisers reactive.")</f>
        <v>Since the questionnaire to establish the quote, the order, the sending of supporting documents, everything has been carried out according to an effective procedure.
The price is competitive and the advisers reactive.</v>
      </c>
    </row>
    <row r="885" ht="15.75" customHeight="1">
      <c r="A885" s="2">
        <v>2.0</v>
      </c>
      <c r="B885" s="2" t="s">
        <v>2442</v>
      </c>
      <c r="C885" s="2" t="s">
        <v>2443</v>
      </c>
      <c r="D885" s="2" t="s">
        <v>13</v>
      </c>
      <c r="E885" s="2" t="s">
        <v>77</v>
      </c>
      <c r="F885" s="2" t="s">
        <v>15</v>
      </c>
      <c r="G885" s="2" t="s">
        <v>2349</v>
      </c>
      <c r="H885" s="2" t="s">
        <v>213</v>
      </c>
      <c r="I885" s="2" t="str">
        <f>IFERROR(__xludf.DUMMYFUNCTION("GOOGLETRANSLATE(C885,""fr"",""en"")"),"Once customer we are a number, an impractical website, I pay by check, I have a telephone message telling me that we can cash my check, no writing no return from check, but a letter of termination For non -payment.
Without a possible dialogue I assure my"&amp;"self elsewhere, then am assaulted by a recovery pharmacy which claims to me to pay again the entire premium.
Avoid imperatively.")</f>
        <v>Once customer we are a number, an impractical website, I pay by check, I have a telephone message telling me that we can cash my check, no writing no return from check, but a letter of termination For non -payment.
Without a possible dialogue I assure myself elsewhere, then am assaulted by a recovery pharmacy which claims to me to pay again the entire premium.
Avoid imperatively.</v>
      </c>
    </row>
    <row r="886" ht="15.75" customHeight="1">
      <c r="A886" s="2">
        <v>1.0</v>
      </c>
      <c r="B886" s="2" t="s">
        <v>2444</v>
      </c>
      <c r="C886" s="2" t="s">
        <v>2445</v>
      </c>
      <c r="D886" s="2" t="s">
        <v>133</v>
      </c>
      <c r="E886" s="2" t="s">
        <v>14</v>
      </c>
      <c r="F886" s="2" t="s">
        <v>15</v>
      </c>
      <c r="G886" s="2" t="s">
        <v>2446</v>
      </c>
      <c r="H886" s="2" t="s">
        <v>741</v>
      </c>
      <c r="I886" s="2" t="str">
        <f>IFERROR(__xludf.DUMMYFUNCTION("GOOGLETRANSLATE(C886,""fr"",""en"")"),"I have been at Allianz since 07/2020 and I have been receiving staunch letters for unpaid, a bug on your part according to the vocal server. Impossible to have an interlocutor who can inform me on this subject, stroll from server to server to hear many ti"&amp;"mes ""I do not have access to your file""! From the anniversary date I change insurance !!!")</f>
        <v>I have been at Allianz since 07/2020 and I have been receiving staunch letters for unpaid, a bug on your part according to the vocal server. Impossible to have an interlocutor who can inform me on this subject, stroll from server to server to hear many times "I do not have access to your file"! From the anniversary date I change insurance !!!</v>
      </c>
    </row>
    <row r="887" ht="15.75" customHeight="1">
      <c r="A887" s="2">
        <v>1.0</v>
      </c>
      <c r="B887" s="2" t="s">
        <v>2447</v>
      </c>
      <c r="C887" s="2" t="s">
        <v>2448</v>
      </c>
      <c r="D887" s="2" t="s">
        <v>248</v>
      </c>
      <c r="E887" s="2" t="s">
        <v>14</v>
      </c>
      <c r="F887" s="2" t="s">
        <v>15</v>
      </c>
      <c r="G887" s="2" t="s">
        <v>516</v>
      </c>
      <c r="H887" s="2" t="s">
        <v>60</v>
      </c>
      <c r="I887" s="2" t="str">
        <f>IFERROR(__xludf.DUMMYFUNCTION("GOOGLETRANSLATE(C887,""fr"",""en"")"),"They hang up on me, because I received my annual maturity notice, there is a line (brokerage costs) that I cannot understand, I had three people on the phone one behind the other they hang me in the nose because they can't explain it what is, to flee.")</f>
        <v>They hang up on me, because I received my annual maturity notice, there is a line (brokerage costs) that I cannot understand, I had three people on the phone one behind the other they hang me in the nose because they can't explain it what is, to flee.</v>
      </c>
    </row>
    <row r="888" ht="15.75" customHeight="1">
      <c r="A888" s="2">
        <v>2.0</v>
      </c>
      <c r="B888" s="2" t="s">
        <v>2449</v>
      </c>
      <c r="C888" s="2" t="s">
        <v>2450</v>
      </c>
      <c r="D888" s="2" t="s">
        <v>196</v>
      </c>
      <c r="E888" s="2" t="s">
        <v>77</v>
      </c>
      <c r="F888" s="2" t="s">
        <v>15</v>
      </c>
      <c r="G888" s="2" t="s">
        <v>2451</v>
      </c>
      <c r="H888" s="2" t="s">
        <v>23</v>
      </c>
      <c r="I888" s="2" t="str">
        <f>IFERROR(__xludf.DUMMYFUNCTION("GOOGLETRANSLATE(C888,""fr"",""en"")"),"Disaster declared in January, the Matmut is dissociated today because the disaster is said to be a vice prior to our acquisition of good.
However, the Matmut is unable to give us this document certifying this fact which would allow us to return against t"&amp;"he faulty.
In addition, the expertise has not even been finished, because the leak has still not been detected, so we are surprised by these claims which is not based on any basis, if not the will to avoid compensation.
Believing good to remain silent o"&amp;"r by not answering us badly, the Matmut seems to play with her most deprived members so as not to do her job.
Avoid at all costs if you are looking for humanity and efficiency")</f>
        <v>Disaster declared in January, the Matmut is dissociated today because the disaster is said to be a vice prior to our acquisition of good.
However, the Matmut is unable to give us this document certifying this fact which would allow us to return against the faulty.
In addition, the expertise has not even been finished, because the leak has still not been detected, so we are surprised by these claims which is not based on any basis, if not the will to avoid compensation.
Believing good to remain silent or by not answering us badly, the Matmut seems to play with her most deprived members so as not to do her job.
Avoid at all costs if you are looking for humanity and efficiency</v>
      </c>
    </row>
    <row r="889" ht="15.75" customHeight="1">
      <c r="A889" s="2">
        <v>4.0</v>
      </c>
      <c r="B889" s="2" t="s">
        <v>2452</v>
      </c>
      <c r="C889" s="2" t="s">
        <v>2453</v>
      </c>
      <c r="D889" s="2" t="s">
        <v>47</v>
      </c>
      <c r="E889" s="2" t="s">
        <v>14</v>
      </c>
      <c r="F889" s="2" t="s">
        <v>15</v>
      </c>
      <c r="G889" s="2" t="s">
        <v>1968</v>
      </c>
      <c r="H889" s="2" t="s">
        <v>87</v>
      </c>
      <c r="I889" s="2" t="str">
        <f>IFERROR(__xludf.DUMMYFUNCTION("GOOGLETRANSLATE(C889,""fr"",""en"")"),"Very easy, very effective but always too expensive especially on deductibles and small pettiness such as no providers of observations, card with emergency or assistance numbers ...")</f>
        <v>Very easy, very effective but always too expensive especially on deductibles and small pettiness such as no providers of observations, card with emergency or assistance numbers ...</v>
      </c>
    </row>
    <row r="890" ht="15.75" customHeight="1">
      <c r="A890" s="2">
        <v>5.0</v>
      </c>
      <c r="B890" s="2" t="s">
        <v>2454</v>
      </c>
      <c r="C890" s="2" t="s">
        <v>2455</v>
      </c>
      <c r="D890" s="2" t="s">
        <v>47</v>
      </c>
      <c r="E890" s="2" t="s">
        <v>14</v>
      </c>
      <c r="F890" s="2" t="s">
        <v>15</v>
      </c>
      <c r="G890" s="2" t="s">
        <v>352</v>
      </c>
      <c r="H890" s="2" t="s">
        <v>87</v>
      </c>
      <c r="I890" s="2" t="str">
        <f>IFERROR(__xludf.DUMMYFUNCTION("GOOGLETRANSLATE(C890,""fr"",""en"")"),"Very satisfied with the service and the price is very reasonable with a good guarantee.
Best price I found. Thank you for your confidence since it is the first time that I have assured myself.")</f>
        <v>Very satisfied with the service and the price is very reasonable with a good guarantee.
Best price I found. Thank you for your confidence since it is the first time that I have assured myself.</v>
      </c>
    </row>
    <row r="891" ht="15.75" customHeight="1">
      <c r="A891" s="2">
        <v>3.0</v>
      </c>
      <c r="B891" s="2" t="s">
        <v>2456</v>
      </c>
      <c r="C891" s="2" t="s">
        <v>2457</v>
      </c>
      <c r="D891" s="2" t="s">
        <v>47</v>
      </c>
      <c r="E891" s="2" t="s">
        <v>14</v>
      </c>
      <c r="F891" s="2" t="s">
        <v>15</v>
      </c>
      <c r="G891" s="2" t="s">
        <v>1527</v>
      </c>
      <c r="H891" s="2" t="s">
        <v>56</v>
      </c>
      <c r="I891" s="2" t="str">
        <f>IFERROR(__xludf.DUMMYFUNCTION("GOOGLETRANSLATE(C891,""fr"",""en"")"),"This is the first time I have made this insurance for my new car. I hope to be satisfied to be able to recommend it to my loved ones. Have")</f>
        <v>This is the first time I have made this insurance for my new car. I hope to be satisfied to be able to recommend it to my loved ones. Have</v>
      </c>
    </row>
    <row r="892" ht="15.75" customHeight="1">
      <c r="A892" s="2">
        <v>5.0</v>
      </c>
      <c r="B892" s="2" t="s">
        <v>2458</v>
      </c>
      <c r="C892" s="2" t="s">
        <v>2459</v>
      </c>
      <c r="D892" s="2" t="s">
        <v>47</v>
      </c>
      <c r="E892" s="2" t="s">
        <v>14</v>
      </c>
      <c r="F892" s="2" t="s">
        <v>15</v>
      </c>
      <c r="G892" s="2" t="s">
        <v>497</v>
      </c>
      <c r="H892" s="2" t="s">
        <v>69</v>
      </c>
      <c r="I892" s="2" t="str">
        <f>IFERROR(__xludf.DUMMYFUNCTION("GOOGLETRANSLATE(C892,""fr"",""en"")"),"Fast, clear and precise service! I made my quote orally by telephone call, it was fast and organized.
In addition to that, the prices are low!")</f>
        <v>Fast, clear and precise service! I made my quote orally by telephone call, it was fast and organized.
In addition to that, the prices are low!</v>
      </c>
    </row>
    <row r="893" ht="15.75" customHeight="1">
      <c r="A893" s="2">
        <v>5.0</v>
      </c>
      <c r="B893" s="2" t="s">
        <v>2460</v>
      </c>
      <c r="C893" s="2" t="s">
        <v>2461</v>
      </c>
      <c r="D893" s="2" t="s">
        <v>287</v>
      </c>
      <c r="E893" s="2" t="s">
        <v>14</v>
      </c>
      <c r="F893" s="2" t="s">
        <v>15</v>
      </c>
      <c r="G893" s="2" t="s">
        <v>1813</v>
      </c>
      <c r="H893" s="2" t="s">
        <v>99</v>
      </c>
      <c r="I893" s="2" t="str">
        <f>IFERROR(__xludf.DUMMYFUNCTION("GOOGLETRANSLATE(C893,""fr"",""en"")"),"Being assured for many years at GMF, for the cars that I have been able to have during these years and the home, I highly recommend this insurance. Cordially.
")</f>
        <v>Being assured for many years at GMF, for the cars that I have been able to have during these years and the home, I highly recommend this insurance. Cordially.
</v>
      </c>
    </row>
    <row r="894" ht="15.75" customHeight="1">
      <c r="A894" s="2">
        <v>1.0</v>
      </c>
      <c r="B894" s="2" t="s">
        <v>2462</v>
      </c>
      <c r="C894" s="2" t="s">
        <v>2463</v>
      </c>
      <c r="D894" s="2" t="s">
        <v>483</v>
      </c>
      <c r="E894" s="2" t="s">
        <v>21</v>
      </c>
      <c r="F894" s="2" t="s">
        <v>15</v>
      </c>
      <c r="G894" s="2" t="s">
        <v>330</v>
      </c>
      <c r="H894" s="2" t="s">
        <v>330</v>
      </c>
      <c r="I894" s="2" t="str">
        <f>IFERROR(__xludf.DUMMYFUNCTION("GOOGLETRANSLATE(C894,""fr"",""en"")"),"A member for 40 years, I am extremely disappointed. Currently, following health problems, I find myself in financial distress and I cannot obtain the payment of my salary supplement for 7 months. Despite an over -indebtedness file accepted by the Banque d"&amp;"e France, the MGP is slow to process my file. I left several messages explaining the urgency of my situation, and despite the intervention of the social worker I did not get any response. I am desperate and they mock it.")</f>
        <v>A member for 40 years, I am extremely disappointed. Currently, following health problems, I find myself in financial distress and I cannot obtain the payment of my salary supplement for 7 months. Despite an over -indebtedness file accepted by the Banque de France, the MGP is slow to process my file. I left several messages explaining the urgency of my situation, and despite the intervention of the social worker I did not get any response. I am desperate and they mock it.</v>
      </c>
    </row>
    <row r="895" ht="15.75" customHeight="1">
      <c r="A895" s="2">
        <v>4.0</v>
      </c>
      <c r="B895" s="2" t="s">
        <v>2464</v>
      </c>
      <c r="C895" s="2" t="s">
        <v>2465</v>
      </c>
      <c r="D895" s="2" t="s">
        <v>13</v>
      </c>
      <c r="E895" s="2" t="s">
        <v>14</v>
      </c>
      <c r="F895" s="2" t="s">
        <v>15</v>
      </c>
      <c r="G895" s="2" t="s">
        <v>2466</v>
      </c>
      <c r="H895" s="2" t="s">
        <v>201</v>
      </c>
      <c r="I895" s="2" t="str">
        <f>IFERROR(__xludf.DUMMYFUNCTION("GOOGLETRANSLATE(C895,""fr"",""en"")")," We will see when I need you ...
But I have no doubt about your professionalism because I have already taken out insurance with your business.")</f>
        <v> We will see when I need you ...
But I have no doubt about your professionalism because I have already taken out insurance with your business.</v>
      </c>
    </row>
    <row r="896" ht="15.75" customHeight="1">
      <c r="A896" s="2">
        <v>5.0</v>
      </c>
      <c r="B896" s="2" t="s">
        <v>2467</v>
      </c>
      <c r="C896" s="2" t="s">
        <v>2468</v>
      </c>
      <c r="D896" s="2" t="s">
        <v>13</v>
      </c>
      <c r="E896" s="2" t="s">
        <v>14</v>
      </c>
      <c r="F896" s="2" t="s">
        <v>15</v>
      </c>
      <c r="G896" s="2" t="s">
        <v>534</v>
      </c>
      <c r="H896" s="2" t="s">
        <v>87</v>
      </c>
      <c r="I896" s="2" t="str">
        <f>IFERROR(__xludf.DUMMYFUNCTION("GOOGLETRANSLATE(C896,""fr"",""en"")"),"Very attractive price, quite high franchises but looking at my insured past I realize that I have not needed them for many years .... I touch wood!")</f>
        <v>Very attractive price, quite high franchises but looking at my insured past I realize that I have not needed them for many years .... I touch wood!</v>
      </c>
    </row>
    <row r="897" ht="15.75" customHeight="1">
      <c r="A897" s="2">
        <v>4.0</v>
      </c>
      <c r="B897" s="2" t="s">
        <v>2469</v>
      </c>
      <c r="C897" s="2" t="s">
        <v>2470</v>
      </c>
      <c r="D897" s="2" t="s">
        <v>248</v>
      </c>
      <c r="E897" s="2" t="s">
        <v>14</v>
      </c>
      <c r="F897" s="2" t="s">
        <v>15</v>
      </c>
      <c r="G897" s="2" t="s">
        <v>956</v>
      </c>
      <c r="H897" s="2" t="s">
        <v>23</v>
      </c>
      <c r="I897" s="2" t="str">
        <f>IFERROR(__xludf.DUMMYFUNCTION("GOOGLETRANSLATE(C897,""fr"",""en"")"),"Insured at Active Insurance recently, I find that they have been super fast in sending my green card. I immediately received my insurance by email for a month. I then had a person on the phone who told me that I had made a mistake on my request for a quot"&amp;"e, I accepted his new proposal, and I I received by return from mail my new green card. For the moment, nothing to say about this insurance ... to follow ...")</f>
        <v>Insured at Active Insurance recently, I find that they have been super fast in sending my green card. I immediately received my insurance by email for a month. I then had a person on the phone who told me that I had made a mistake on my request for a quote, I accepted his new proposal, and I I received by return from mail my new green card. For the moment, nothing to say about this insurance ... to follow ...</v>
      </c>
    </row>
    <row r="898" ht="15.75" customHeight="1">
      <c r="A898" s="2">
        <v>5.0</v>
      </c>
      <c r="B898" s="2" t="s">
        <v>2471</v>
      </c>
      <c r="C898" s="2" t="s">
        <v>2472</v>
      </c>
      <c r="D898" s="2" t="s">
        <v>42</v>
      </c>
      <c r="E898" s="2" t="s">
        <v>43</v>
      </c>
      <c r="F898" s="2" t="s">
        <v>15</v>
      </c>
      <c r="G898" s="2" t="s">
        <v>497</v>
      </c>
      <c r="H898" s="2" t="s">
        <v>69</v>
      </c>
      <c r="I898" s="2" t="str">
        <f>IFERROR(__xludf.DUMMYFUNCTION("GOOGLETRANSLATE(C898,""fr"",""en"")"),"Top insurance, very available, impeccable telephonic assistance and the listening of the customer, very correct price, I am entirely satisfied ... Thank you AMV")</f>
        <v>Top insurance, very available, impeccable telephonic assistance and the listening of the customer, very correct price, I am entirely satisfied ... Thank you AMV</v>
      </c>
    </row>
    <row r="899" ht="15.75" customHeight="1">
      <c r="A899" s="2">
        <v>3.0</v>
      </c>
      <c r="B899" s="2" t="s">
        <v>2473</v>
      </c>
      <c r="C899" s="2" t="s">
        <v>2474</v>
      </c>
      <c r="D899" s="2" t="s">
        <v>253</v>
      </c>
      <c r="E899" s="2" t="s">
        <v>21</v>
      </c>
      <c r="F899" s="2" t="s">
        <v>15</v>
      </c>
      <c r="G899" s="2" t="s">
        <v>673</v>
      </c>
      <c r="H899" s="2" t="s">
        <v>140</v>
      </c>
      <c r="I899" s="2" t="str">
        <f>IFERROR(__xludf.DUMMYFUNCTION("GOOGLETRANSLATE(C899,""fr"",""en"")"),"The reimbursements are very fast and sent by email which is more practical than going to your customer account whose codes have always been lost. Very good contact with Mélanie for warranty level changes")</f>
        <v>The reimbursements are very fast and sent by email which is more practical than going to your customer account whose codes have always been lost. Very good contact with Mélanie for warranty level changes</v>
      </c>
    </row>
    <row r="900" ht="15.75" customHeight="1">
      <c r="A900" s="2">
        <v>1.0</v>
      </c>
      <c r="B900" s="2" t="s">
        <v>2475</v>
      </c>
      <c r="C900" s="2" t="s">
        <v>2476</v>
      </c>
      <c r="D900" s="2" t="s">
        <v>26</v>
      </c>
      <c r="E900" s="2" t="s">
        <v>322</v>
      </c>
      <c r="F900" s="2" t="s">
        <v>15</v>
      </c>
      <c r="G900" s="2" t="s">
        <v>473</v>
      </c>
      <c r="H900" s="2" t="s">
        <v>87</v>
      </c>
      <c r="I900" s="2" t="str">
        <f>IFERROR(__xludf.DUMMYFUNCTION("GOOGLETRANSLATE(C900,""fr"",""en"")"),"I have long been Mutavie, the Macif life insurance subsidiary. I asked for a partial withdrawal on 03/03/2021. The request is always reported ""in progress"". Contacted, the advisor tells me that he unlocks me, that I will have the money within 8 days. Co"&amp;"ntacted again this morning, the same answer. In short, I am strolled. At the same time, I notice problems of access to the recurring site. I strongly suspect major technical concerns, obviously not communicated.")</f>
        <v>I have long been Mutavie, the Macif life insurance subsidiary. I asked for a partial withdrawal on 03/03/2021. The request is always reported "in progress". Contacted, the advisor tells me that he unlocks me, that I will have the money within 8 days. Contacted again this morning, the same answer. In short, I am strolled. At the same time, I notice problems of access to the recurring site. I strongly suspect major technical concerns, obviously not communicated.</v>
      </c>
    </row>
    <row r="901" ht="15.75" customHeight="1">
      <c r="A901" s="2">
        <v>2.0</v>
      </c>
      <c r="B901" s="2" t="s">
        <v>2477</v>
      </c>
      <c r="C901" s="2" t="s">
        <v>2478</v>
      </c>
      <c r="D901" s="2" t="s">
        <v>341</v>
      </c>
      <c r="E901" s="2" t="s">
        <v>77</v>
      </c>
      <c r="F901" s="2" t="s">
        <v>15</v>
      </c>
      <c r="G901" s="2" t="s">
        <v>2479</v>
      </c>
      <c r="H901" s="2" t="s">
        <v>585</v>
      </c>
      <c r="I901" s="2" t="str">
        <f>IFERROR(__xludf.DUMMYFUNCTION("GOOGLETRANSLATE(C901,""fr"",""en"")"),"30 years of seniority, 2 non -responsible claims (water degates occasioned by a neighbor) in 2 years and Maaf Radie! assurance to flee")</f>
        <v>30 years of seniority, 2 non -responsible claims (water degates occasioned by a neighbor) in 2 years and Maaf Radie! assurance to flee</v>
      </c>
    </row>
    <row r="902" ht="15.75" customHeight="1">
      <c r="A902" s="2">
        <v>1.0</v>
      </c>
      <c r="B902" s="2" t="s">
        <v>2480</v>
      </c>
      <c r="C902" s="2" t="s">
        <v>2481</v>
      </c>
      <c r="D902" s="2" t="s">
        <v>13</v>
      </c>
      <c r="E902" s="2" t="s">
        <v>14</v>
      </c>
      <c r="F902" s="2" t="s">
        <v>15</v>
      </c>
      <c r="G902" s="2" t="s">
        <v>1484</v>
      </c>
      <c r="H902" s="2" t="s">
        <v>69</v>
      </c>
      <c r="I902" s="2" t="str">
        <f>IFERROR(__xludf.DUMMYFUNCTION("GOOGLETRANSLATE(C902,""fr"",""en"")"),"incompehensible we provide you with all the documents provided and then after 3 days you are told that insurance is not possible bravo
Yet all the documents are provided
On the other hand to take the money there is the fast we will see if the reimbursem"&amp;"ent will be seen as quickly")</f>
        <v>incompehensible we provide you with all the documents provided and then after 3 days you are told that insurance is not possible bravo
Yet all the documents are provided
On the other hand to take the money there is the fast we will see if the reimbursement will be seen as quickly</v>
      </c>
    </row>
    <row r="903" ht="15.75" customHeight="1">
      <c r="A903" s="2">
        <v>3.0</v>
      </c>
      <c r="B903" s="2" t="s">
        <v>2482</v>
      </c>
      <c r="C903" s="2" t="s">
        <v>2483</v>
      </c>
      <c r="D903" s="2" t="s">
        <v>13</v>
      </c>
      <c r="E903" s="2" t="s">
        <v>14</v>
      </c>
      <c r="F903" s="2" t="s">
        <v>15</v>
      </c>
      <c r="G903" s="2" t="s">
        <v>2484</v>
      </c>
      <c r="H903" s="2" t="s">
        <v>201</v>
      </c>
      <c r="I903" s="2" t="str">
        <f>IFERROR(__xludf.DUMMYFUNCTION("GOOGLETRANSLATE(C903,""fr"",""en"")"),"Satisfied. I have already been insured at home and I was not disappointed so I come back ... good explanation quote very clear and no surprise at the subscription")</f>
        <v>Satisfied. I have already been insured at home and I was not disappointed so I come back ... good explanation quote very clear and no surprise at the subscription</v>
      </c>
    </row>
    <row r="904" ht="15.75" customHeight="1">
      <c r="A904" s="2">
        <v>2.0</v>
      </c>
      <c r="B904" s="2" t="s">
        <v>2485</v>
      </c>
      <c r="C904" s="2" t="s">
        <v>2486</v>
      </c>
      <c r="D904" s="2" t="s">
        <v>223</v>
      </c>
      <c r="E904" s="2" t="s">
        <v>77</v>
      </c>
      <c r="F904" s="2" t="s">
        <v>15</v>
      </c>
      <c r="G904" s="2" t="s">
        <v>541</v>
      </c>
      <c r="H904" s="2" t="s">
        <v>343</v>
      </c>
      <c r="I904" s="2" t="str">
        <f>IFERROR(__xludf.DUMMYFUNCTION("GOOGLETRANSLATE(C904,""fr"",""en"")"),"I have a house dating from the 15th century. In 2017 the municipality was recognized as a natural disaster for drought. Following this drought, the walls have cracked, cracks from the bottom, the large stones of all angles (stones of 60 x 60 cm) were also"&amp;" cracked, part of a wall collapsed without counting all the cracks who were formed on the right and on the left. Pacifica dispatched his favorite Saretec expert. This one came with his pretty little city shoes, went around the house and after a quarter of"&amp;" an hour left by letting us hope that the damage of the facade and the cracks of the stones of the foundations of The house would be taken care of. But now, a certain very haughty Emilie replied that we would not be compensated for anything, all the prete"&amp;"xts being good as the fact that the house was aging, gag! Yes she is 600 years old but was impeccable, photos in support. Then then, being also assured for the ground movements, this was not the fault of the ground movements. The land not being moving des"&amp;"pite all the evidence provided and a counter-expertise at our expense. All the pretexts were good, until the trees that the seller had especially advised us not to remove because they maintained the ground. 11 years at Pacifica and 9 insurance contracts. "&amp;"When this affair is passed in court, Farewell Pacifica and his companions from Saretec !!!")</f>
        <v>I have a house dating from the 15th century. In 2017 the municipality was recognized as a natural disaster for drought. Following this drought, the walls have cracked, cracks from the bottom, the large stones of all angles (stones of 60 x 60 cm) were also cracked, part of a wall collapsed without counting all the cracks who were formed on the right and on the left. Pacifica dispatched his favorite Saretec expert. This one came with his pretty little city shoes, went around the house and after a quarter of an hour left by letting us hope that the damage of the facade and the cracks of the stones of the foundations of The house would be taken care of. But now, a certain very haughty Emilie replied that we would not be compensated for anything, all the pretexts being good as the fact that the house was aging, gag! Yes she is 600 years old but was impeccable, photos in support. Then then, being also assured for the ground movements, this was not the fault of the ground movements. The land not being moving despite all the evidence provided and a counter-expertise at our expense. All the pretexts were good, until the trees that the seller had especially advised us not to remove because they maintained the ground. 11 years at Pacifica and 9 insurance contracts. When this affair is passed in court, Farewell Pacifica and his companions from Saretec !!!</v>
      </c>
    </row>
    <row r="905" ht="15.75" customHeight="1">
      <c r="A905" s="2">
        <v>2.0</v>
      </c>
      <c r="B905" s="2" t="s">
        <v>2487</v>
      </c>
      <c r="C905" s="2" t="s">
        <v>2488</v>
      </c>
      <c r="D905" s="2" t="s">
        <v>13</v>
      </c>
      <c r="E905" s="2" t="s">
        <v>14</v>
      </c>
      <c r="F905" s="2" t="s">
        <v>15</v>
      </c>
      <c r="G905" s="2" t="s">
        <v>52</v>
      </c>
      <c r="H905" s="2" t="s">
        <v>28</v>
      </c>
      <c r="I905" s="2" t="str">
        <f>IFERROR(__xludf.DUMMYFUNCTION("GOOGLETRANSLATE(C905,""fr"",""en"")"),"The price is expensive compared to other services
Ke Service On the other hand is fast
Thank you for your speed and your simple service to use
Ait Athmane Farid")</f>
        <v>The price is expensive compared to other services
Ke Service On the other hand is fast
Thank you for your speed and your simple service to use
Ait Athmane Farid</v>
      </c>
    </row>
    <row r="906" ht="15.75" customHeight="1">
      <c r="A906" s="2">
        <v>2.0</v>
      </c>
      <c r="B906" s="2" t="s">
        <v>2489</v>
      </c>
      <c r="C906" s="2" t="s">
        <v>2490</v>
      </c>
      <c r="D906" s="2" t="s">
        <v>781</v>
      </c>
      <c r="E906" s="2" t="s">
        <v>21</v>
      </c>
      <c r="F906" s="2" t="s">
        <v>15</v>
      </c>
      <c r="G906" s="2" t="s">
        <v>548</v>
      </c>
      <c r="H906" s="2" t="s">
        <v>87</v>
      </c>
      <c r="I906" s="2" t="str">
        <f>IFERROR(__xludf.DUMMYFUNCTION("GOOGLETRANSLATE(C906,""fr"",""en"")"),"Really disappointed with this mutual, very long on the reimbursements 4 weeks minimum when you send the documents and I don't even talk about my birth package that I have been waiting for since January !!! This is not normal when you pay you you need to t"&amp;"hank my employer it was better the previous one !!! A disaster !!")</f>
        <v>Really disappointed with this mutual, very long on the reimbursements 4 weeks minimum when you send the documents and I don't even talk about my birth package that I have been waiting for since January !!! This is not normal when you pay you you need to thank my employer it was better the previous one !!! A disaster !!</v>
      </c>
    </row>
    <row r="907" ht="15.75" customHeight="1">
      <c r="A907" s="2">
        <v>5.0</v>
      </c>
      <c r="B907" s="2" t="s">
        <v>2491</v>
      </c>
      <c r="C907" s="2" t="s">
        <v>2492</v>
      </c>
      <c r="D907" s="2" t="s">
        <v>13</v>
      </c>
      <c r="E907" s="2" t="s">
        <v>14</v>
      </c>
      <c r="F907" s="2" t="s">
        <v>15</v>
      </c>
      <c r="G907" s="2" t="s">
        <v>303</v>
      </c>
      <c r="H907" s="2" t="s">
        <v>99</v>
      </c>
      <c r="I907" s="2" t="str">
        <f>IFERROR(__xludf.DUMMYFUNCTION("GOOGLETRANSLATE(C907,""fr"",""en"")"),"I am satisfied with the prices offered by Direct Insurance compared to other insurance companies, you are competitive, reachable and accessible personal")</f>
        <v>I am satisfied with the prices offered by Direct Insurance compared to other insurance companies, you are competitive, reachable and accessible personal</v>
      </c>
    </row>
    <row r="908" ht="15.75" customHeight="1">
      <c r="A908" s="2">
        <v>5.0</v>
      </c>
      <c r="B908" s="2" t="s">
        <v>2493</v>
      </c>
      <c r="C908" s="2" t="s">
        <v>2494</v>
      </c>
      <c r="D908" s="2" t="s">
        <v>890</v>
      </c>
      <c r="E908" s="2" t="s">
        <v>32</v>
      </c>
      <c r="F908" s="2" t="s">
        <v>15</v>
      </c>
      <c r="G908" s="2" t="s">
        <v>2495</v>
      </c>
      <c r="H908" s="2" t="s">
        <v>28</v>
      </c>
      <c r="I908" s="2" t="str">
        <f>IFERROR(__xludf.DUMMYFUNCTION("GOOGLETRANSLATE(C908,""fr"",""en"")"),"Excellent advisor on the phone, which has shown great professionalism and listens to my project. He made the difference compared to the many contacts that I had following my request for a quote.")</f>
        <v>Excellent advisor on the phone, which has shown great professionalism and listens to my project. He made the difference compared to the many contacts that I had following my request for a quote.</v>
      </c>
    </row>
    <row r="909" ht="15.75" customHeight="1">
      <c r="A909" s="2">
        <v>1.0</v>
      </c>
      <c r="B909" s="2" t="s">
        <v>2496</v>
      </c>
      <c r="C909" s="2" t="s">
        <v>2497</v>
      </c>
      <c r="D909" s="2" t="s">
        <v>257</v>
      </c>
      <c r="E909" s="2" t="s">
        <v>14</v>
      </c>
      <c r="F909" s="2" t="s">
        <v>15</v>
      </c>
      <c r="G909" s="2" t="s">
        <v>2498</v>
      </c>
      <c r="H909" s="2" t="s">
        <v>83</v>
      </c>
      <c r="I909" s="2" t="str">
        <f>IFERROR(__xludf.DUMMYFUNCTION("GOOGLETRANSLATE(C909,""fr"",""en"")"),"Customers for 25 years at Eurofil, we receive today a recommended which informs us that Eurofil terminates our auto contract for ""inadequacy of risk with regard to the policy of acceptance of their company"" We have just called them: the reason is 3 clai"&amp;"ms in two years (for which our responsibility has not been engaged)")</f>
        <v>Customers for 25 years at Eurofil, we receive today a recommended which informs us that Eurofil terminates our auto contract for "inadequacy of risk with regard to the policy of acceptance of their company" We have just called them: the reason is 3 claims in two years (for which our responsibility has not been engaged)</v>
      </c>
    </row>
    <row r="910" ht="15.75" customHeight="1">
      <c r="A910" s="2">
        <v>2.0</v>
      </c>
      <c r="B910" s="2" t="s">
        <v>2499</v>
      </c>
      <c r="C910" s="2" t="s">
        <v>2500</v>
      </c>
      <c r="D910" s="2" t="s">
        <v>158</v>
      </c>
      <c r="E910" s="2" t="s">
        <v>159</v>
      </c>
      <c r="F910" s="2" t="s">
        <v>15</v>
      </c>
      <c r="G910" s="2" t="s">
        <v>2169</v>
      </c>
      <c r="H910" s="2" t="s">
        <v>284</v>
      </c>
      <c r="I910" s="2" t="str">
        <f>IFERROR(__xludf.DUMMYFUNCTION("GOOGLETRANSLATE(C910,""fr"",""en"")"),"For 4 years assured for my cat at home last year (2017) my Tibout had several injuries which were reimbursed to me but at the end of 2017 my subscription went from 15.7 € to 24.41 € ... I call And I am told ""We have reimbursed you 360 € when the amount o"&amp;"f you contributed on 2017 188 € .. so normal reread your contract. We are not here to lose money"" apparently they sent me an email that I have not received ... my good time against theirs. Obliged to stay for a year still hoping not to have costs above m"&amp;"y damage damage .......")</f>
        <v>For 4 years assured for my cat at home last year (2017) my Tibout had several injuries which were reimbursed to me but at the end of 2017 my subscription went from 15.7 € to 24.41 € ... I call And I am told "We have reimbursed you 360 € when the amount of you contributed on 2017 188 € .. so normal reread your contract. We are not here to lose money" apparently they sent me an email that I have not received ... my good time against theirs. Obliged to stay for a year still hoping not to have costs above my damage damage .......</v>
      </c>
    </row>
    <row r="911" ht="15.75" customHeight="1">
      <c r="A911" s="2">
        <v>3.0</v>
      </c>
      <c r="B911" s="2" t="s">
        <v>2501</v>
      </c>
      <c r="C911" s="2" t="s">
        <v>2502</v>
      </c>
      <c r="D911" s="2" t="s">
        <v>47</v>
      </c>
      <c r="E911" s="2" t="s">
        <v>14</v>
      </c>
      <c r="F911" s="2" t="s">
        <v>15</v>
      </c>
      <c r="G911" s="2" t="s">
        <v>1484</v>
      </c>
      <c r="H911" s="2" t="s">
        <v>69</v>
      </c>
      <c r="I911" s="2" t="str">
        <f>IFERROR(__xludf.DUMMYFUNCTION("GOOGLETRANSLATE(C911,""fr"",""en"")"),"Interesting price.
Would like to be able to have an à la carte contract. For example, take the essential third -party insurance, with the choice of adding only a few options without taking the upper formula (example add the break in ice).
Would have lik"&amp;"ed to find a warranty formula per km (insurance for a minimum of km per year then price per additional km)")</f>
        <v>Interesting price.
Would like to be able to have an à la carte contract. For example, take the essential third -party insurance, with the choice of adding only a few options without taking the upper formula (example add the break in ice).
Would have liked to find a warranty formula per km (insurance for a minimum of km per year then price per additional km)</v>
      </c>
    </row>
    <row r="912" ht="15.75" customHeight="1">
      <c r="A912" s="2">
        <v>1.0</v>
      </c>
      <c r="B912" s="2" t="s">
        <v>2503</v>
      </c>
      <c r="C912" s="2" t="s">
        <v>2504</v>
      </c>
      <c r="D912" s="2" t="s">
        <v>37</v>
      </c>
      <c r="E912" s="2" t="s">
        <v>21</v>
      </c>
      <c r="F912" s="2" t="s">
        <v>15</v>
      </c>
      <c r="G912" s="2" t="s">
        <v>2505</v>
      </c>
      <c r="H912" s="2" t="s">
        <v>284</v>
      </c>
      <c r="I912" s="2" t="str">
        <f>IFERROR(__xludf.DUMMYFUNCTION("GOOGLETRANSLATE(C912,""fr"",""en"")"),"Incapable !!!, that add more .... we are in 2018, we are asked to save paper and promote our steps via the internet. But on the other side impossible to have an online certificate which It really seems to be the minimum when you have an identifier and pro"&amp;"tection password !!! But not possible ask by email, we will answer you ..... when we have time !!!
Application is therefore made by email by mentioning everything I need (name first name, date of start of contract and end date) to cancel the mutual of my"&amp;" wife that is stuck by obviously ...
I receive the paper missing the end date: oh damn then, 20 days to make the paper and not damn to fill it properly.
I therefore be sent for a walk for the cancellation of the other mutual (well thugs in the passage) "&amp;"under the pretext that the end date is missing .... no how
So I recall harmony: not an excuse, I note your request, you will have the paper within 15 days !!!
Lol ... better to laugh ...")</f>
        <v>Incapable !!!, that add more .... we are in 2018, we are asked to save paper and promote our steps via the internet. But on the other side impossible to have an online certificate which It really seems to be the minimum when you have an identifier and protection password !!! But not possible ask by email, we will answer you ..... when we have time !!!
Application is therefore made by email by mentioning everything I need (name first name, date of start of contract and end date) to cancel the mutual of my wife that is stuck by obviously ...
I receive the paper missing the end date: oh damn then, 20 days to make the paper and not damn to fill it properly.
I therefore be sent for a walk for the cancellation of the other mutual (well thugs in the passage) under the pretext that the end date is missing .... no how
So I recall harmony: not an excuse, I note your request, you will have the paper within 15 days !!!
Lol ... better to laugh ...</v>
      </c>
    </row>
    <row r="913" ht="15.75" customHeight="1">
      <c r="A913" s="2">
        <v>4.0</v>
      </c>
      <c r="B913" s="2" t="s">
        <v>2506</v>
      </c>
      <c r="C913" s="2" t="s">
        <v>2507</v>
      </c>
      <c r="D913" s="2" t="s">
        <v>47</v>
      </c>
      <c r="E913" s="2" t="s">
        <v>14</v>
      </c>
      <c r="F913" s="2" t="s">
        <v>15</v>
      </c>
      <c r="G913" s="2" t="s">
        <v>227</v>
      </c>
      <c r="H913" s="2" t="s">
        <v>28</v>
      </c>
      <c r="I913" s="2" t="str">
        <f>IFERROR(__xludf.DUMMYFUNCTION("GOOGLETRANSLATE(C913,""fr"",""en"")"),"Adjusting everything by the Internet, without moving is really interesting, and the speed of implementation of the contract, even more.
Perfect.")</f>
        <v>Adjusting everything by the Internet, without moving is really interesting, and the speed of implementation of the contract, even more.
Perfect.</v>
      </c>
    </row>
    <row r="914" ht="15.75" customHeight="1">
      <c r="A914" s="2">
        <v>2.0</v>
      </c>
      <c r="B914" s="2" t="s">
        <v>2508</v>
      </c>
      <c r="C914" s="2" t="s">
        <v>2509</v>
      </c>
      <c r="D914" s="2" t="s">
        <v>13</v>
      </c>
      <c r="E914" s="2" t="s">
        <v>14</v>
      </c>
      <c r="F914" s="2" t="s">
        <v>15</v>
      </c>
      <c r="G914" s="2" t="s">
        <v>968</v>
      </c>
      <c r="H914" s="2" t="s">
        <v>28</v>
      </c>
      <c r="I914" s="2" t="str">
        <f>IFERROR(__xludf.DUMMYFUNCTION("GOOGLETRANSLATE(C914,""fr"",""en"")"),"I am satisfied with the service. The are low. The speed of subscription is satisfactory. The waiting time on the phone is relatively short.")</f>
        <v>I am satisfied with the service. The are low. The speed of subscription is satisfactory. The waiting time on the phone is relatively short.</v>
      </c>
    </row>
    <row r="915" ht="15.75" customHeight="1">
      <c r="A915" s="2">
        <v>3.0</v>
      </c>
      <c r="B915" s="2" t="s">
        <v>2510</v>
      </c>
      <c r="C915" s="2" t="s">
        <v>2511</v>
      </c>
      <c r="D915" s="2" t="s">
        <v>13</v>
      </c>
      <c r="E915" s="2" t="s">
        <v>14</v>
      </c>
      <c r="F915" s="2" t="s">
        <v>15</v>
      </c>
      <c r="G915" s="2" t="s">
        <v>1422</v>
      </c>
      <c r="H915" s="2" t="s">
        <v>87</v>
      </c>
      <c r="I915" s="2" t="str">
        <f>IFERROR(__xludf.DUMMYFUNCTION("GOOGLETRANSLATE(C915,""fr"",""en"")"),"Simple and practical, prices are average.
My interlocutor on the phone was very professional and patient. I am therefore satisfied with the service.")</f>
        <v>Simple and practical, prices are average.
My interlocutor on the phone was very professional and patient. I am therefore satisfied with the service.</v>
      </c>
    </row>
    <row r="916" ht="15.75" customHeight="1">
      <c r="A916" s="2">
        <v>3.0</v>
      </c>
      <c r="B916" s="2" t="s">
        <v>2512</v>
      </c>
      <c r="C916" s="2" t="s">
        <v>2513</v>
      </c>
      <c r="D916" s="2" t="s">
        <v>13</v>
      </c>
      <c r="E916" s="2" t="s">
        <v>14</v>
      </c>
      <c r="F916" s="2" t="s">
        <v>15</v>
      </c>
      <c r="G916" s="2" t="s">
        <v>98</v>
      </c>
      <c r="H916" s="2" t="s">
        <v>99</v>
      </c>
      <c r="I916" s="2" t="str">
        <f>IFERROR(__xludf.DUMMYFUNCTION("GOOGLETRANSLATE(C916,""fr"",""en"")"),"I am satisfied with the service and wish to have an insurance proposal for the RAV4, from 2022.
I am currently provided by the L’Olivier insurance,")</f>
        <v>I am satisfied with the service and wish to have an insurance proposal for the RAV4, from 2022.
I am currently provided by the L’Olivier insurance,</v>
      </c>
    </row>
    <row r="917" ht="15.75" customHeight="1">
      <c r="A917" s="2">
        <v>4.0</v>
      </c>
      <c r="B917" s="2" t="s">
        <v>2514</v>
      </c>
      <c r="C917" s="2" t="s">
        <v>2515</v>
      </c>
      <c r="D917" s="2" t="s">
        <v>13</v>
      </c>
      <c r="E917" s="2" t="s">
        <v>14</v>
      </c>
      <c r="F917" s="2" t="s">
        <v>15</v>
      </c>
      <c r="G917" s="2" t="s">
        <v>871</v>
      </c>
      <c r="H917" s="2" t="s">
        <v>125</v>
      </c>
      <c r="I917" s="2" t="str">
        <f>IFERROR(__xludf.DUMMYFUNCTION("GOOGLETRANSLATE(C917,""fr"",""en"")"),"I am satisfied. On-line service and telephone communication are good.
I am satisfied. On-line service and telephone communication are good.")</f>
        <v>I am satisfied. On-line service and telephone communication are good.
I am satisfied. On-line service and telephone communication are good.</v>
      </c>
    </row>
    <row r="918" ht="15.75" customHeight="1">
      <c r="A918" s="2">
        <v>4.0</v>
      </c>
      <c r="B918" s="2" t="s">
        <v>2516</v>
      </c>
      <c r="C918" s="2" t="s">
        <v>2517</v>
      </c>
      <c r="D918" s="2" t="s">
        <v>13</v>
      </c>
      <c r="E918" s="2" t="s">
        <v>14</v>
      </c>
      <c r="F918" s="2" t="s">
        <v>15</v>
      </c>
      <c r="G918" s="2" t="s">
        <v>1367</v>
      </c>
      <c r="H918" s="2" t="s">
        <v>87</v>
      </c>
      <c r="I918" s="2" t="str">
        <f>IFERROR(__xludf.DUMMYFUNCTION("GOOGLETRANSLATE(C918,""fr"",""en"")"),"I am very satisfied with your very pleasant and very courteous online customer service; I thank Direct Assurance for his clear and precise prices.
")</f>
        <v>I am very satisfied with your very pleasant and very courteous online customer service; I thank Direct Assurance for his clear and precise prices.
</v>
      </c>
    </row>
    <row r="919" ht="15.75" customHeight="1">
      <c r="A919" s="2">
        <v>1.0</v>
      </c>
      <c r="B919" s="2" t="s">
        <v>2518</v>
      </c>
      <c r="C919" s="2" t="s">
        <v>2519</v>
      </c>
      <c r="D919" s="2" t="s">
        <v>13</v>
      </c>
      <c r="E919" s="2" t="s">
        <v>14</v>
      </c>
      <c r="F919" s="2" t="s">
        <v>15</v>
      </c>
      <c r="G919" s="2" t="s">
        <v>87</v>
      </c>
      <c r="H919" s="2" t="s">
        <v>87</v>
      </c>
      <c r="I919" s="2" t="str">
        <f>IFERROR(__xludf.DUMMYFUNCTION("GOOGLETRANSLATE(C919,""fr"",""en"")"),"Why this increase on my home insurance?
I don't understand what can cause this in this difficult period. In any case, it did not justify in my eyes.
Total misunderstanding")</f>
        <v>Why this increase on my home insurance?
I don't understand what can cause this in this difficult period. In any case, it did not justify in my eyes.
Total misunderstanding</v>
      </c>
    </row>
    <row r="920" ht="15.75" customHeight="1">
      <c r="A920" s="2">
        <v>4.0</v>
      </c>
      <c r="B920" s="2" t="s">
        <v>2520</v>
      </c>
      <c r="C920" s="2" t="s">
        <v>2521</v>
      </c>
      <c r="D920" s="2" t="s">
        <v>42</v>
      </c>
      <c r="E920" s="2" t="s">
        <v>43</v>
      </c>
      <c r="F920" s="2" t="s">
        <v>15</v>
      </c>
      <c r="G920" s="2" t="s">
        <v>102</v>
      </c>
      <c r="H920" s="2" t="s">
        <v>28</v>
      </c>
      <c r="I920" s="2" t="str">
        <f>IFERROR(__xludf.DUMMYFUNCTION("GOOGLETRANSLATE(C920,""fr"",""en"")"),"Very competitive company and very fast response seals very well designed appreciable rates for motorcycles to advise strongly")</f>
        <v>Very competitive company and very fast response seals very well designed appreciable rates for motorcycles to advise strongly</v>
      </c>
    </row>
    <row r="921" ht="15.75" customHeight="1">
      <c r="A921" s="2">
        <v>5.0</v>
      </c>
      <c r="B921" s="2" t="s">
        <v>2522</v>
      </c>
      <c r="C921" s="2" t="s">
        <v>2523</v>
      </c>
      <c r="D921" s="2" t="s">
        <v>287</v>
      </c>
      <c r="E921" s="2" t="s">
        <v>14</v>
      </c>
      <c r="F921" s="2" t="s">
        <v>15</v>
      </c>
      <c r="G921" s="2" t="s">
        <v>1183</v>
      </c>
      <c r="H921" s="2" t="s">
        <v>56</v>
      </c>
      <c r="I921" s="2" t="str">
        <f>IFERROR(__xludf.DUMMYFUNCTION("GOOGLETRANSLATE(C921,""fr"",""en"")"),"Very satisfied with the GMF service, but also the prices and services offer, I recommend the GMF services which are always attentive and anxious to respond favorably")</f>
        <v>Very satisfied with the GMF service, but also the prices and services offer, I recommend the GMF services which are always attentive and anxious to respond favorably</v>
      </c>
    </row>
    <row r="922" ht="15.75" customHeight="1">
      <c r="A922" s="2">
        <v>5.0</v>
      </c>
      <c r="B922" s="2" t="s">
        <v>2524</v>
      </c>
      <c r="C922" s="2" t="s">
        <v>2525</v>
      </c>
      <c r="D922" s="2" t="s">
        <v>13</v>
      </c>
      <c r="E922" s="2" t="s">
        <v>14</v>
      </c>
      <c r="F922" s="2" t="s">
        <v>15</v>
      </c>
      <c r="G922" s="2" t="s">
        <v>102</v>
      </c>
      <c r="H922" s="2" t="s">
        <v>28</v>
      </c>
      <c r="I922" s="2" t="str">
        <f>IFERROR(__xludf.DUMMYFUNCTION("GOOGLETRANSLATE(C922,""fr"",""en"")"),"very satisfied overall
Very interesting price compared to competition
Correct professional interlocutor listening
Nothing to add
")</f>
        <v>very satisfied overall
Very interesting price compared to competition
Correct professional interlocutor listening
Nothing to add
</v>
      </c>
    </row>
    <row r="923" ht="15.75" customHeight="1">
      <c r="A923" s="2">
        <v>2.0</v>
      </c>
      <c r="B923" s="2" t="s">
        <v>2526</v>
      </c>
      <c r="C923" s="2" t="s">
        <v>2527</v>
      </c>
      <c r="D923" s="2" t="s">
        <v>72</v>
      </c>
      <c r="E923" s="2" t="s">
        <v>21</v>
      </c>
      <c r="F923" s="2" t="s">
        <v>15</v>
      </c>
      <c r="G923" s="2" t="s">
        <v>44</v>
      </c>
      <c r="H923" s="2" t="s">
        <v>28</v>
      </c>
      <c r="I923" s="2" t="str">
        <f>IFERROR(__xludf.DUMMYFUNCTION("GOOGLETRANSLATE(C923,""fr"",""en"")"),"Impossible to make a third party because it is said to be a problem of teletransmission. Very bad dental and optical coverage, in short I strongly advise against")</f>
        <v>Impossible to make a third party because it is said to be a problem of teletransmission. Very bad dental and optical coverage, in short I strongly advise against</v>
      </c>
    </row>
    <row r="924" ht="15.75" customHeight="1">
      <c r="A924" s="2">
        <v>3.0</v>
      </c>
      <c r="B924" s="2" t="s">
        <v>2528</v>
      </c>
      <c r="C924" s="2" t="s">
        <v>2529</v>
      </c>
      <c r="D924" s="2" t="s">
        <v>890</v>
      </c>
      <c r="E924" s="2" t="s">
        <v>32</v>
      </c>
      <c r="F924" s="2" t="s">
        <v>15</v>
      </c>
      <c r="G924" s="2" t="s">
        <v>1326</v>
      </c>
      <c r="H924" s="2" t="s">
        <v>741</v>
      </c>
      <c r="I924" s="2" t="str">
        <f>IFERROR(__xludf.DUMMYFUNCTION("GOOGLETRANSLATE(C924,""fr"",""en"")"),"hello
A person favorable to the phone and fast, my questions were very quickly dealt with by the conseillé, he knew his product very well.
I recommend this service")</f>
        <v>hello
A person favorable to the phone and fast, my questions were very quickly dealt with by the conseillé, he knew his product very well.
I recommend this service</v>
      </c>
    </row>
    <row r="925" ht="15.75" customHeight="1">
      <c r="A925" s="2">
        <v>5.0</v>
      </c>
      <c r="B925" s="2" t="s">
        <v>2530</v>
      </c>
      <c r="C925" s="2" t="s">
        <v>2531</v>
      </c>
      <c r="D925" s="2" t="s">
        <v>47</v>
      </c>
      <c r="E925" s="2" t="s">
        <v>14</v>
      </c>
      <c r="F925" s="2" t="s">
        <v>15</v>
      </c>
      <c r="G925" s="2" t="s">
        <v>2532</v>
      </c>
      <c r="H925" s="2" t="s">
        <v>99</v>
      </c>
      <c r="I925" s="2" t="str">
        <f>IFERROR(__xludf.DUMMYFUNCTION("GOOGLETRANSLATE(C925,""fr"",""en"")"),"I am satisfied with the service, the prices are very correct and customer service is pleasant and competent. I recommend the olive assurance without problems")</f>
        <v>I am satisfied with the service, the prices are very correct and customer service is pleasant and competent. I recommend the olive assurance without problems</v>
      </c>
    </row>
    <row r="926" ht="15.75" customHeight="1">
      <c r="A926" s="2">
        <v>5.0</v>
      </c>
      <c r="B926" s="2" t="s">
        <v>2533</v>
      </c>
      <c r="C926" s="2" t="s">
        <v>2534</v>
      </c>
      <c r="D926" s="2" t="s">
        <v>47</v>
      </c>
      <c r="E926" s="2" t="s">
        <v>14</v>
      </c>
      <c r="F926" s="2" t="s">
        <v>15</v>
      </c>
      <c r="G926" s="2" t="s">
        <v>390</v>
      </c>
      <c r="H926" s="2" t="s">
        <v>60</v>
      </c>
      <c r="I926" s="2" t="str">
        <f>IFERROR(__xludf.DUMMYFUNCTION("GOOGLETRANSLATE(C926,""fr"",""en"")"),"I am satisfied with the offer and the speed to which I was able to take out my contract. The offer is the best for a young driver, I recommend.")</f>
        <v>I am satisfied with the offer and the speed to which I was able to take out my contract. The offer is the best for a young driver, I recommend.</v>
      </c>
    </row>
    <row r="927" ht="15.75" customHeight="1">
      <c r="A927" s="2">
        <v>4.0</v>
      </c>
      <c r="B927" s="2" t="s">
        <v>2535</v>
      </c>
      <c r="C927" s="2" t="s">
        <v>2536</v>
      </c>
      <c r="D927" s="2" t="s">
        <v>13</v>
      </c>
      <c r="E927" s="2" t="s">
        <v>14</v>
      </c>
      <c r="F927" s="2" t="s">
        <v>15</v>
      </c>
      <c r="G927" s="2" t="s">
        <v>2537</v>
      </c>
      <c r="H927" s="2" t="s">
        <v>201</v>
      </c>
      <c r="I927" s="2" t="str">
        <f>IFERROR(__xludf.DUMMYFUNCTION("GOOGLETRANSLATE(C927,""fr"",""en"")"),"I am satisfied with the service, simple quick practice nothing to say cheap insurance, always available, I have never had no dispute despite, I recommend")</f>
        <v>I am satisfied with the service, simple quick practice nothing to say cheap insurance, always available, I have never had no dispute despite, I recommend</v>
      </c>
    </row>
    <row r="928" ht="15.75" customHeight="1">
      <c r="A928" s="2">
        <v>1.0</v>
      </c>
      <c r="B928" s="2" t="s">
        <v>2538</v>
      </c>
      <c r="C928" s="2" t="s">
        <v>2539</v>
      </c>
      <c r="D928" s="2" t="s">
        <v>63</v>
      </c>
      <c r="E928" s="2" t="s">
        <v>77</v>
      </c>
      <c r="F928" s="2" t="s">
        <v>15</v>
      </c>
      <c r="G928" s="2" t="s">
        <v>2540</v>
      </c>
      <c r="H928" s="2" t="s">
        <v>39</v>
      </c>
      <c r="I928" s="2" t="str">
        <f>IFERROR(__xludf.DUMMYFUNCTION("GOOGLETRANSLATE(C928,""fr"",""en"")"),"MAIF customer for many years, more than 15 years I think, I was quite satisfied with the way in which some incidents have been managed. The contacts were easy and always pleasant.
On the other hand, their attitudes and their management of the following i"&amp;"ncident made me completely review my opinion.
Owner of an apartment in Grenoble, he is for furnished rental short stays. On July 3, 2016 I saw damage in the bedroom caused by a water leak from the upper floor. I immediately report the loss to the maif.
"&amp;"The plumber sent by the trustee on July 7 will indicate a private leak housing Mr. X (the owner of the second floor apartment) on the sink tap.
The expert will not report until August 29 is almost 2 months after the disaster. Subsequently and after sever"&amp;"al letters on my part and the intervention of the legal advice of UFC Que Choisir de Grenoble, this same expert will indicate that no leak has been detected by the plumber. The origin of the claim could not be demonstrated. What is the validity of an expe"&amp;"rtise made after such a delay? Who to believe? The plumber spent a few hours after the incident or the expert occurred 2 months later, once the causes are repaired.
So I started a legal action which I was dismissed after two years. I did it not so much f"&amp;"or the amounts at stake, relatively unimportant, but on the principle of the most elementary justice.
Subsequently, having waited for the outcome of the trial to send the invoice for the embellishment of the play (and justice is overwhelmed as everyone k"&amp;"nows), I have been reported that a period of two being exceeded from the claim, I was no longer entitled to compensation according to article L114-1 of the insurance code.
")</f>
        <v>MAIF customer for many years, more than 15 years I think, I was quite satisfied with the way in which some incidents have been managed. The contacts were easy and always pleasant.
On the other hand, their attitudes and their management of the following incident made me completely review my opinion.
Owner of an apartment in Grenoble, he is for furnished rental short stays. On July 3, 2016 I saw damage in the bedroom caused by a water leak from the upper floor. I immediately report the loss to the maif.
The plumber sent by the trustee on July 7 will indicate a private leak housing Mr. X (the owner of the second floor apartment) on the sink tap.
The expert will not report until August 29 is almost 2 months after the disaster. Subsequently and after several letters on my part and the intervention of the legal advice of UFC Que Choisir de Grenoble, this same expert will indicate that no leak has been detected by the plumber. The origin of the claim could not be demonstrated. What is the validity of an expertise made after such a delay? Who to believe? The plumber spent a few hours after the incident or the expert occurred 2 months later, once the causes are repaired.
So I started a legal action which I was dismissed after two years. I did it not so much for the amounts at stake, relatively unimportant, but on the principle of the most elementary justice.
Subsequently, having waited for the outcome of the trial to send the invoice for the embellishment of the play (and justice is overwhelmed as everyone knows), I have been reported that a period of two being exceeded from the claim, I was no longer entitled to compensation according to article L114-1 of the insurance code.
</v>
      </c>
    </row>
    <row r="929" ht="15.75" customHeight="1">
      <c r="A929" s="2">
        <v>5.0</v>
      </c>
      <c r="B929" s="2" t="s">
        <v>2541</v>
      </c>
      <c r="C929" s="2" t="s">
        <v>2542</v>
      </c>
      <c r="D929" s="2" t="s">
        <v>13</v>
      </c>
      <c r="E929" s="2" t="s">
        <v>14</v>
      </c>
      <c r="F929" s="2" t="s">
        <v>15</v>
      </c>
      <c r="G929" s="2" t="s">
        <v>184</v>
      </c>
      <c r="H929" s="2" t="s">
        <v>28</v>
      </c>
      <c r="I929" s="2" t="str">
        <f>IFERROR(__xludf.DUMMYFUNCTION("GOOGLETRANSLATE(C929,""fr"",""en"")"),"I am satisfied with the service. And above all the patience of the advisor. Kind and professional. What more can be said. I recommend. It's great. Good insurance.")</f>
        <v>I am satisfied with the service. And above all the patience of the advisor. Kind and professional. What more can be said. I recommend. It's great. Good insurance.</v>
      </c>
    </row>
    <row r="930" ht="15.75" customHeight="1">
      <c r="A930" s="2">
        <v>5.0</v>
      </c>
      <c r="B930" s="2" t="s">
        <v>2543</v>
      </c>
      <c r="C930" s="2" t="s">
        <v>2544</v>
      </c>
      <c r="D930" s="2" t="s">
        <v>47</v>
      </c>
      <c r="E930" s="2" t="s">
        <v>14</v>
      </c>
      <c r="F930" s="2" t="s">
        <v>15</v>
      </c>
      <c r="G930" s="2" t="s">
        <v>1331</v>
      </c>
      <c r="H930" s="2" t="s">
        <v>56</v>
      </c>
      <c r="I930" s="2" t="str">
        <f>IFERROR(__xludf.DUMMYFUNCTION("GOOGLETRANSLATE(C930,""fr"",""en"")")," Procedure to subscribe to a really very fast contract I am satisfied and I recommend the Olivier Insurance which are reasonable on prices")</f>
        <v> Procedure to subscribe to a really very fast contract I am satisfied and I recommend the Olivier Insurance which are reasonable on prices</v>
      </c>
    </row>
    <row r="931" ht="15.75" customHeight="1">
      <c r="A931" s="2">
        <v>5.0</v>
      </c>
      <c r="B931" s="2" t="s">
        <v>2545</v>
      </c>
      <c r="C931" s="2" t="s">
        <v>2546</v>
      </c>
      <c r="D931" s="2" t="s">
        <v>97</v>
      </c>
      <c r="E931" s="2" t="s">
        <v>43</v>
      </c>
      <c r="F931" s="2" t="s">
        <v>15</v>
      </c>
      <c r="G931" s="2" t="s">
        <v>568</v>
      </c>
      <c r="H931" s="2" t="s">
        <v>56</v>
      </c>
      <c r="I931" s="2" t="str">
        <f>IFERROR(__xludf.DUMMYFUNCTION("GOOGLETRANSLATE(C931,""fr"",""en"")"),"Perfect, well received quick response. Easy to use. I totally recommend! My insurance is cheaper than my old A2 motorcycle while other insurers do not take")</f>
        <v>Perfect, well received quick response. Easy to use. I totally recommend! My insurance is cheaper than my old A2 motorcycle while other insurers do not take</v>
      </c>
    </row>
    <row r="932" ht="15.75" customHeight="1">
      <c r="A932" s="2">
        <v>1.0</v>
      </c>
      <c r="B932" s="2" t="s">
        <v>2547</v>
      </c>
      <c r="C932" s="2" t="s">
        <v>2548</v>
      </c>
      <c r="D932" s="2" t="s">
        <v>1323</v>
      </c>
      <c r="E932" s="2" t="s">
        <v>159</v>
      </c>
      <c r="F932" s="2" t="s">
        <v>15</v>
      </c>
      <c r="G932" s="2" t="s">
        <v>1481</v>
      </c>
      <c r="H932" s="2" t="s">
        <v>161</v>
      </c>
      <c r="I932" s="2" t="str">
        <f>IFERROR(__xludf.DUMMYFUNCTION("GOOGLETRANSLATE(C932,""fr"",""en"")"),"The advisor who harasses under the name of Marie Laure is not only badly watchful but also bad advisor ... with relief I do not follow up with health vet. There is Olein other mutual, parties the sorting!")</f>
        <v>The advisor who harasses under the name of Marie Laure is not only badly watchful but also bad advisor ... with relief I do not follow up with health vet. There is Olein other mutual, parties the sorting!</v>
      </c>
    </row>
    <row r="933" ht="15.75" customHeight="1">
      <c r="A933" s="2">
        <v>2.0</v>
      </c>
      <c r="B933" s="2" t="s">
        <v>2549</v>
      </c>
      <c r="C933" s="2" t="s">
        <v>2550</v>
      </c>
      <c r="D933" s="2" t="s">
        <v>257</v>
      </c>
      <c r="E933" s="2" t="s">
        <v>14</v>
      </c>
      <c r="F933" s="2" t="s">
        <v>15</v>
      </c>
      <c r="G933" s="2" t="s">
        <v>1391</v>
      </c>
      <c r="H933" s="2" t="s">
        <v>266</v>
      </c>
      <c r="I933" s="2" t="str">
        <f>IFERROR(__xludf.DUMMYFUNCTION("GOOGLETRANSLATE(C933,""fr"",""en"")"),"I do not recommend very strongly. Do not subscribe. The subscription is simple, to pay too! I exceeded (9 days) the period of 30 days to obtain my gray card so contract terminated at D30 +1 by Eurofil while I made a 3 -month lead as the Eurofil request; T"&amp;"hey do not want to know anything about the administrative deadlines for which unfortunately I am not responsible. 30 years of license, no claim. They didn't take a big risk with me. We are taken for doors
 change. Unless they change their minds, I wear t"&amp;"he case further even if my case is insignificant compared to other insured.")</f>
        <v>I do not recommend very strongly. Do not subscribe. The subscription is simple, to pay too! I exceeded (9 days) the period of 30 days to obtain my gray card so contract terminated at D30 +1 by Eurofil while I made a 3 -month lead as the Eurofil request; They do not want to know anything about the administrative deadlines for which unfortunately I am not responsible. 30 years of license, no claim. They didn't take a big risk with me. We are taken for doors
 change. Unless they change their minds, I wear the case further even if my case is insignificant compared to other insured.</v>
      </c>
    </row>
    <row r="934" ht="15.75" customHeight="1">
      <c r="A934" s="2">
        <v>2.0</v>
      </c>
      <c r="B934" s="2" t="s">
        <v>2551</v>
      </c>
      <c r="C934" s="2" t="s">
        <v>2552</v>
      </c>
      <c r="D934" s="2" t="s">
        <v>253</v>
      </c>
      <c r="E934" s="2" t="s">
        <v>21</v>
      </c>
      <c r="F934" s="2" t="s">
        <v>15</v>
      </c>
      <c r="G934" s="2" t="s">
        <v>2407</v>
      </c>
      <c r="H934" s="2" t="s">
        <v>17</v>
      </c>
      <c r="I934" s="2" t="str">
        <f>IFERROR(__xludf.DUMMYFUNCTION("GOOGLETRANSLATE(C934,""fr"",""en"")"),"I strongly advise against this mutual! I have a dental bill of € 1,500 not a penny reimbursed !! They always miss a document !! I really regret having trusted Neoliane especially for 2 years it is my first request")</f>
        <v>I strongly advise against this mutual! I have a dental bill of € 1,500 not a penny reimbursed !! They always miss a document !! I really regret having trusted Neoliane especially for 2 years it is my first request</v>
      </c>
    </row>
    <row r="935" ht="15.75" customHeight="1">
      <c r="A935" s="2">
        <v>5.0</v>
      </c>
      <c r="B935" s="2" t="s">
        <v>2553</v>
      </c>
      <c r="C935" s="2" t="s">
        <v>2554</v>
      </c>
      <c r="D935" s="2" t="s">
        <v>47</v>
      </c>
      <c r="E935" s="2" t="s">
        <v>14</v>
      </c>
      <c r="F935" s="2" t="s">
        <v>15</v>
      </c>
      <c r="G935" s="2" t="s">
        <v>111</v>
      </c>
      <c r="H935" s="2" t="s">
        <v>99</v>
      </c>
      <c r="I935" s="2" t="str">
        <f>IFERROR(__xludf.DUMMYFUNCTION("GOOGLETRANSLATE(C935,""fr"",""en"")"),"I am satisfied with the prices concerning automotive insurance. Practice to be able to do it online and faster. I recommend my friends and family.")</f>
        <v>I am satisfied with the prices concerning automotive insurance. Practice to be able to do it online and faster. I recommend my friends and family.</v>
      </c>
    </row>
    <row r="936" ht="15.75" customHeight="1">
      <c r="A936" s="2">
        <v>1.0</v>
      </c>
      <c r="B936" s="2" t="s">
        <v>2555</v>
      </c>
      <c r="C936" s="2" t="s">
        <v>2556</v>
      </c>
      <c r="D936" s="2" t="s">
        <v>133</v>
      </c>
      <c r="E936" s="2" t="s">
        <v>322</v>
      </c>
      <c r="F936" s="2" t="s">
        <v>15</v>
      </c>
      <c r="G936" s="2" t="s">
        <v>602</v>
      </c>
      <c r="H936" s="2" t="s">
        <v>17</v>
      </c>
      <c r="I936" s="2" t="str">
        <f>IFERROR(__xludf.DUMMYFUNCTION("GOOGLETRANSLATE(C936,""fr"",""en"")"),"Just 3 months that day my dad had prescribed funeral insurance dating from September 1998 and at € 14.81 or paid 3 x his burial .......
I must receive € 1525.00 on the contract stipiles well within 48 hours following the DC The sums is paid ..........
"&amp;"
I am the only daughter of my dad unfortunately died on 05/05/2021 I sent with a/r the file on 05/11/2021 which replied on 05/15 request to send the CERFA document that I have returned again With a/r in early July
07/15 I phone to find out if it's good"&amp;"
They do not answer me any worries you will have the sum at the end of July
Starting up not seeing anything on my account I phone them again
And one person tells me you have to wait between 6/9 months ???
Pay the Obseque of your Dad
So I answered m"&amp;"y dad had taken this insurance precisely so as not to have to advance the costs
And moreover I am retired I earn 1100 € how should I do
If I pay my rent my gas and my EDF and my nies
I have to die too
So after discussing a mediator and I give you th"&amp;"e information
As provided for in the funeral contract subscribed on 4/12/1998, therefore old contract which justifies a payment within 48 hours with your company,
I follow up on article L-132-23-1
I sent mail with a/r
COURAGE")</f>
        <v>Just 3 months that day my dad had prescribed funeral insurance dating from September 1998 and at € 14.81 or paid 3 x his burial .......
I must receive € 1525.00 on the contract stipiles well within 48 hours following the DC The sums is paid ..........
I am the only daughter of my dad unfortunately died on 05/05/2021 I sent with a/r the file on 05/11/2021 which replied on 05/15 request to send the CERFA document that I have returned again With a/r in early July
07/15 I phone to find out if it's good
They do not answer me any worries you will have the sum at the end of July
Starting up not seeing anything on my account I phone them again
And one person tells me you have to wait between 6/9 months ???
Pay the Obseque of your Dad
So I answered my dad had taken this insurance precisely so as not to have to advance the costs
And moreover I am retired I earn 1100 € how should I do
If I pay my rent my gas and my EDF and my nies
I have to die too
So after discussing a mediator and I give you the information
As provided for in the funeral contract subscribed on 4/12/1998, therefore old contract which justifies a payment within 48 hours with your company,
I follow up on article L-132-23-1
I sent mail with a/r
COURAGE</v>
      </c>
    </row>
    <row r="937" ht="15.75" customHeight="1">
      <c r="A937" s="2">
        <v>1.0</v>
      </c>
      <c r="B937" s="2" t="s">
        <v>2557</v>
      </c>
      <c r="C937" s="2" t="s">
        <v>2558</v>
      </c>
      <c r="D937" s="2" t="s">
        <v>37</v>
      </c>
      <c r="E937" s="2" t="s">
        <v>21</v>
      </c>
      <c r="F937" s="2" t="s">
        <v>15</v>
      </c>
      <c r="G937" s="2" t="s">
        <v>1377</v>
      </c>
      <c r="H937" s="2" t="s">
        <v>161</v>
      </c>
      <c r="I937" s="2" t="str">
        <f>IFERROR(__xludf.DUMMYFUNCTION("GOOGLETRANSLATE(C937,""fr"",""en"")"),"I was entitled to one year of free mutual insurance company following a conventional rupture. But Harmonie Mutuelle does not reimburse me anything and because it is blocking on my social security, I cannot get a pair of glasses at my sight. Mutual to flee"&amp;".")</f>
        <v>I was entitled to one year of free mutual insurance company following a conventional rupture. But Harmonie Mutuelle does not reimburse me anything and because it is blocking on my social security, I cannot get a pair of glasses at my sight. Mutual to flee.</v>
      </c>
    </row>
    <row r="938" ht="15.75" customHeight="1">
      <c r="A938" s="2">
        <v>5.0</v>
      </c>
      <c r="B938" s="2" t="s">
        <v>2559</v>
      </c>
      <c r="C938" s="2" t="s">
        <v>2560</v>
      </c>
      <c r="D938" s="2" t="s">
        <v>42</v>
      </c>
      <c r="E938" s="2" t="s">
        <v>43</v>
      </c>
      <c r="F938" s="2" t="s">
        <v>15</v>
      </c>
      <c r="G938" s="2" t="s">
        <v>2561</v>
      </c>
      <c r="H938" s="2" t="s">
        <v>28</v>
      </c>
      <c r="I938" s="2" t="str">
        <f>IFERROR(__xludf.DUMMYFUNCTION("GOOGLETRANSLATE(C938,""fr"",""en"")"),"Insured for several years, I renew my contract following the purchase of a new motorcycle. My confidence is intact, and I found with my listening and benevolence interlocutors in the aid provided to online writing. The services are fast, (sending document"&amp;"s, certificate, etc.) Thank you again, I will not fail to recommend.")</f>
        <v>Insured for several years, I renew my contract following the purchase of a new motorcycle. My confidence is intact, and I found with my listening and benevolence interlocutors in the aid provided to online writing. The services are fast, (sending documents, certificate, etc.) Thank you again, I will not fail to recommend.</v>
      </c>
    </row>
    <row r="939" ht="15.75" customHeight="1">
      <c r="A939" s="2">
        <v>1.0</v>
      </c>
      <c r="B939" s="2" t="s">
        <v>2562</v>
      </c>
      <c r="C939" s="2" t="s">
        <v>2563</v>
      </c>
      <c r="D939" s="2" t="s">
        <v>803</v>
      </c>
      <c r="E939" s="2" t="s">
        <v>21</v>
      </c>
      <c r="F939" s="2" t="s">
        <v>15</v>
      </c>
      <c r="G939" s="2" t="s">
        <v>1326</v>
      </c>
      <c r="H939" s="2" t="s">
        <v>741</v>
      </c>
      <c r="I939" s="2" t="str">
        <f>IFERROR(__xludf.DUMMYFUNCTION("GOOGLETRANSLATE(C939,""fr"",""en"")"),"A real shame .. !!!!. 2 months to treat an invoice to exceed fees for a 93 year old person who honors an important contribution every month ... !! We should do the same for the monthly sample !! ’In the meantime they are getting bored !!’ to flee ....")</f>
        <v>A real shame .. !!!!. 2 months to treat an invoice to exceed fees for a 93 year old person who honors an important contribution every month ... !! We should do the same for the monthly sample !! ’In the meantime they are getting bored !!’ to flee ....</v>
      </c>
    </row>
    <row r="940" ht="15.75" customHeight="1">
      <c r="A940" s="2">
        <v>1.0</v>
      </c>
      <c r="B940" s="2" t="s">
        <v>2564</v>
      </c>
      <c r="C940" s="2" t="s">
        <v>2565</v>
      </c>
      <c r="D940" s="2" t="s">
        <v>803</v>
      </c>
      <c r="E940" s="2" t="s">
        <v>138</v>
      </c>
      <c r="F940" s="2" t="s">
        <v>15</v>
      </c>
      <c r="G940" s="2" t="s">
        <v>2566</v>
      </c>
      <c r="H940" s="2" t="s">
        <v>17</v>
      </c>
      <c r="I940" s="2" t="str">
        <f>IFERROR(__xludf.DUMMYFUNCTION("GOOGLETRANSLATE(C940,""fr"",""en"")"),"On a survivor's request: claims not to have received the request via the ""retirement insurance"" account and claims that the ex-wife of my spouse is not remarried, therefore gives me a pro rata of reversion and asks me to Justify the remarriage of my hus"&amp;"band's ex-wife !!!!! Already dealing with this organization to request social assistance for my mother, the quantity of documents requested the more the report of a social worker is very dissuasive! Pass off if you can ....")</f>
        <v>On a survivor's request: claims not to have received the request via the "retirement insurance" account and claims that the ex-wife of my spouse is not remarried, therefore gives me a pro rata of reversion and asks me to Justify the remarriage of my husband's ex-wife !!!!! Already dealing with this organization to request social assistance for my mother, the quantity of documents requested the more the report of a social worker is very dissuasive! Pass off if you can ....</v>
      </c>
    </row>
    <row r="941" ht="15.75" customHeight="1">
      <c r="A941" s="2">
        <v>1.0</v>
      </c>
      <c r="B941" s="2" t="s">
        <v>2567</v>
      </c>
      <c r="C941" s="2" t="s">
        <v>2568</v>
      </c>
      <c r="D941" s="2" t="s">
        <v>341</v>
      </c>
      <c r="E941" s="2" t="s">
        <v>14</v>
      </c>
      <c r="F941" s="2" t="s">
        <v>15</v>
      </c>
      <c r="G941" s="2" t="s">
        <v>2569</v>
      </c>
      <c r="H941" s="2" t="s">
        <v>538</v>
      </c>
      <c r="I941" s="2" t="str">
        <f>IFERROR(__xludf.DUMMYFUNCTION("GOOGLETRANSLATE(C941,""fr"",""en"")"),"Insurance has forgotten despite the millions of euros they displease in their pubs flee !!!!
Even their email for reclamation returns as not read shame")</f>
        <v>Insurance has forgotten despite the millions of euros they displease in their pubs flee !!!!
Even their email for reclamation returns as not read shame</v>
      </c>
    </row>
    <row r="942" ht="15.75" customHeight="1">
      <c r="A942" s="2">
        <v>3.0</v>
      </c>
      <c r="B942" s="2" t="s">
        <v>2570</v>
      </c>
      <c r="C942" s="2" t="s">
        <v>2571</v>
      </c>
      <c r="D942" s="2" t="s">
        <v>42</v>
      </c>
      <c r="E942" s="2" t="s">
        <v>43</v>
      </c>
      <c r="F942" s="2" t="s">
        <v>15</v>
      </c>
      <c r="G942" s="2" t="s">
        <v>2572</v>
      </c>
      <c r="H942" s="2" t="s">
        <v>17</v>
      </c>
      <c r="I942" s="2" t="str">
        <f>IFERROR(__xludf.DUMMYFUNCTION("GOOGLETRANSLATE(C942,""fr"",""en"")"),"I am satisfied with the service The price suits me perfectly simple and practical I love very well to continue with this service in all the remaining in my life")</f>
        <v>I am satisfied with the service The price suits me perfectly simple and practical I love very well to continue with this service in all the remaining in my life</v>
      </c>
    </row>
    <row r="943" ht="15.75" customHeight="1">
      <c r="A943" s="2">
        <v>3.0</v>
      </c>
      <c r="B943" s="2" t="s">
        <v>2573</v>
      </c>
      <c r="C943" s="2" t="s">
        <v>2574</v>
      </c>
      <c r="D943" s="2" t="s">
        <v>47</v>
      </c>
      <c r="E943" s="2" t="s">
        <v>14</v>
      </c>
      <c r="F943" s="2" t="s">
        <v>15</v>
      </c>
      <c r="G943" s="2" t="s">
        <v>688</v>
      </c>
      <c r="H943" s="2" t="s">
        <v>60</v>
      </c>
      <c r="I943" s="2" t="str">
        <f>IFERROR(__xludf.DUMMYFUNCTION("GOOGLETRANSLATE(C943,""fr"",""en"")"),"Hello, I asked you to change the bank account, you certified me by phone that it was done, outside, you send me the Manda Sepa with the old account ...
You will not be paid in a year if you do not change it.")</f>
        <v>Hello, I asked you to change the bank account, you certified me by phone that it was done, outside, you send me the Manda Sepa with the old account ...
You will not be paid in a year if you do not change it.</v>
      </c>
    </row>
    <row r="944" ht="15.75" customHeight="1">
      <c r="A944" s="2">
        <v>3.0</v>
      </c>
      <c r="B944" s="2" t="s">
        <v>2575</v>
      </c>
      <c r="C944" s="2" t="s">
        <v>2576</v>
      </c>
      <c r="D944" s="2" t="s">
        <v>26</v>
      </c>
      <c r="E944" s="2" t="s">
        <v>14</v>
      </c>
      <c r="F944" s="2" t="s">
        <v>15</v>
      </c>
      <c r="G944" s="2" t="s">
        <v>1908</v>
      </c>
      <c r="H944" s="2" t="s">
        <v>565</v>
      </c>
      <c r="I944" s="2" t="str">
        <f>IFERROR(__xludf.DUMMYFUNCTION("GOOGLETRANSLATE(C944,""fr"",""en"")"),"Much less close to the member. No response to many letters.
Very suspicious during a claim to the point of mandating a private detective and questioning the veracity of a driving license! .....")</f>
        <v>Much less close to the member. No response to many letters.
Very suspicious during a claim to the point of mandating a private detective and questioning the veracity of a driving license! .....</v>
      </c>
    </row>
    <row r="945" ht="15.75" customHeight="1">
      <c r="A945" s="2">
        <v>1.0</v>
      </c>
      <c r="B945" s="2" t="s">
        <v>2577</v>
      </c>
      <c r="C945" s="2" t="s">
        <v>2578</v>
      </c>
      <c r="D945" s="2" t="s">
        <v>341</v>
      </c>
      <c r="E945" s="2" t="s">
        <v>14</v>
      </c>
      <c r="F945" s="2" t="s">
        <v>15</v>
      </c>
      <c r="G945" s="2" t="s">
        <v>2579</v>
      </c>
      <c r="H945" s="2" t="s">
        <v>741</v>
      </c>
      <c r="I945" s="2" t="str">
        <f>IFERROR(__xludf.DUMMYFUNCTION("GOOGLETRANSLATE(C945,""fr"",""en"")"),"Hi there,
I recently made a quote from the MAAF for a 5cv fiscal 5CV polo shirt that I have for 2 years at third party +.
I have my license since 2017 and I was insured until 2018 with them then they terminated me because I had a claim in April 2017 (€ "&amp;"300 of repairs for a damaged bumper following braking D 'Emergency before me). I had suddenly taken SOS malus and paid nearly € 2,000 to a third per year. 2021 anniversary of my contract, quick descent to be just a CRM of 1 from January 1.
I contact seve"&amp;"ral insurances the maaf tells me 1080/year to third party +, I accept and pay the 1st monthly payment. The next day an advisor calls me and tells me that they do not take the insured like me unless I subscribe to the home insurance and the provident plan."&amp;" Telling them that it is clearly blackmail I am told that this is how the management decides the files.
So I lost 3 days with incompetent speeches every 30 min then I finally found cheaper elsewhere, with an insurer who can read the papers and understand"&amp;"s that in January 1 I am neither a lot of good nor good Place of pose intrinsic conditions to my insurance")</f>
        <v>Hi there,
I recently made a quote from the MAAF for a 5cv fiscal 5CV polo shirt that I have for 2 years at third party +.
I have my license since 2017 and I was insured until 2018 with them then they terminated me because I had a claim in April 2017 (€ 300 of repairs for a damaged bumper following braking D 'Emergency before me). I had suddenly taken SOS malus and paid nearly € 2,000 to a third per year. 2021 anniversary of my contract, quick descent to be just a CRM of 1 from January 1.
I contact several insurances the maaf tells me 1080/year to third party +, I accept and pay the 1st monthly payment. The next day an advisor calls me and tells me that they do not take the insured like me unless I subscribe to the home insurance and the provident plan. Telling them that it is clearly blackmail I am told that this is how the management decides the files.
So I lost 3 days with incompetent speeches every 30 min then I finally found cheaper elsewhere, with an insurer who can read the papers and understands that in January 1 I am neither a lot of good nor good Place of pose intrinsic conditions to my insurance</v>
      </c>
    </row>
    <row r="946" ht="15.75" customHeight="1">
      <c r="A946" s="2">
        <v>1.0</v>
      </c>
      <c r="B946" s="2" t="s">
        <v>2580</v>
      </c>
      <c r="C946" s="2" t="s">
        <v>2581</v>
      </c>
      <c r="D946" s="2" t="s">
        <v>13</v>
      </c>
      <c r="E946" s="2" t="s">
        <v>14</v>
      </c>
      <c r="F946" s="2" t="s">
        <v>15</v>
      </c>
      <c r="G946" s="2" t="s">
        <v>1292</v>
      </c>
      <c r="H946" s="2" t="s">
        <v>69</v>
      </c>
      <c r="I946" s="2" t="str">
        <f>IFERROR(__xludf.DUMMYFUNCTION("GOOGLETRANSLATE(C946,""fr"",""en"")"),"Already insured at Direct Insurance for my old accommodation I wanted to ensure my new accommodation located at 30190 Bourdic but your advisor told me that it was impossible because Direct Insurance did not cover this sector.
I had to find another insura"&amp;"nce in urgency for my new accommodation!")</f>
        <v>Already insured at Direct Insurance for my old accommodation I wanted to ensure my new accommodation located at 30190 Bourdic but your advisor told me that it was impossible because Direct Insurance did not cover this sector.
I had to find another insurance in urgency for my new accommodation!</v>
      </c>
    </row>
    <row r="947" ht="15.75" customHeight="1">
      <c r="A947" s="2">
        <v>2.0</v>
      </c>
      <c r="B947" s="2" t="s">
        <v>2582</v>
      </c>
      <c r="C947" s="2" t="s">
        <v>2583</v>
      </c>
      <c r="D947" s="2" t="s">
        <v>47</v>
      </c>
      <c r="E947" s="2" t="s">
        <v>14</v>
      </c>
      <c r="F947" s="2" t="s">
        <v>15</v>
      </c>
      <c r="G947" s="2" t="s">
        <v>2243</v>
      </c>
      <c r="H947" s="2" t="s">
        <v>121</v>
      </c>
      <c r="I947" s="2" t="str">
        <f>IFERROR(__xludf.DUMMYFUNCTION("GOOGLETRANSLATE(C947,""fr"",""en"")"),"I wait since 12/16 my green card we are in May. After 15 min waiting at such each time I am told that it will come and I call ts the months")</f>
        <v>I wait since 12/16 my green card we are in May. After 15 min waiting at such each time I am told that it will come and I call ts the months</v>
      </c>
    </row>
    <row r="948" ht="15.75" customHeight="1">
      <c r="A948" s="2">
        <v>3.0</v>
      </c>
      <c r="B948" s="2" t="s">
        <v>2584</v>
      </c>
      <c r="C948" s="2" t="s">
        <v>2585</v>
      </c>
      <c r="D948" s="2" t="s">
        <v>72</v>
      </c>
      <c r="E948" s="2" t="s">
        <v>21</v>
      </c>
      <c r="F948" s="2" t="s">
        <v>15</v>
      </c>
      <c r="G948" s="2" t="s">
        <v>299</v>
      </c>
      <c r="H948" s="2" t="s">
        <v>300</v>
      </c>
      <c r="I948" s="2" t="str">
        <f>IFERROR(__xludf.DUMMYFUNCTION("GOOGLETRANSLATE(C948,""fr"",""en"")"),"Nadège")</f>
        <v>Nadège</v>
      </c>
    </row>
    <row r="949" ht="15.75" customHeight="1">
      <c r="A949" s="2">
        <v>3.0</v>
      </c>
      <c r="B949" s="2" t="s">
        <v>2586</v>
      </c>
      <c r="C949" s="2" t="s">
        <v>2587</v>
      </c>
      <c r="D949" s="2" t="s">
        <v>47</v>
      </c>
      <c r="E949" s="2" t="s">
        <v>14</v>
      </c>
      <c r="F949" s="2" t="s">
        <v>15</v>
      </c>
      <c r="G949" s="2" t="s">
        <v>1527</v>
      </c>
      <c r="H949" s="2" t="s">
        <v>56</v>
      </c>
      <c r="I949" s="2" t="str">
        <f>IFERROR(__xludf.DUMMYFUNCTION("GOOGLETRANSLATE(C949,""fr"",""en"")"),"I am satisfied with the prices and the various formulas offered to send the quote and fast and meet my expectations. Cordially.")</f>
        <v>I am satisfied with the prices and the various formulas offered to send the quote and fast and meet my expectations. Cordially.</v>
      </c>
    </row>
    <row r="950" ht="15.75" customHeight="1">
      <c r="A950" s="2">
        <v>1.0</v>
      </c>
      <c r="B950" s="2" t="s">
        <v>2588</v>
      </c>
      <c r="C950" s="2" t="s">
        <v>2589</v>
      </c>
      <c r="D950" s="2" t="s">
        <v>47</v>
      </c>
      <c r="E950" s="2" t="s">
        <v>14</v>
      </c>
      <c r="F950" s="2" t="s">
        <v>15</v>
      </c>
      <c r="G950" s="2" t="s">
        <v>2590</v>
      </c>
      <c r="H950" s="2" t="s">
        <v>897</v>
      </c>
      <c r="I950" s="2" t="str">
        <f>IFERROR(__xludf.DUMMYFUNCTION("GOOGLETRANSLATE(C950,""fr"",""en"")"),"Hello, I have just taken out a contract with the insurance olive tree quote 467.95 and finally I have to pay 681
increase of 24.8% for having omitted an ice cream on the vehicle of my wife + an increase of 80 euros lamentable flee")</f>
        <v>Hello, I have just taken out a contract with the insurance olive tree quote 467.95 and finally I have to pay 681
increase of 24.8% for having omitted an ice cream on the vehicle of my wife + an increase of 80 euros lamentable flee</v>
      </c>
    </row>
    <row r="951" ht="15.75" customHeight="1">
      <c r="A951" s="2">
        <v>3.0</v>
      </c>
      <c r="B951" s="2" t="s">
        <v>2591</v>
      </c>
      <c r="C951" s="2" t="s">
        <v>2592</v>
      </c>
      <c r="D951" s="2" t="s">
        <v>47</v>
      </c>
      <c r="E951" s="2" t="s">
        <v>14</v>
      </c>
      <c r="F951" s="2" t="s">
        <v>15</v>
      </c>
      <c r="G951" s="2" t="s">
        <v>605</v>
      </c>
      <c r="H951" s="2" t="s">
        <v>28</v>
      </c>
      <c r="I951" s="2" t="str">
        <f>IFERROR(__xludf.DUMMYFUNCTION("GOOGLETRANSLATE(C951,""fr"",""en"")"),"It was a bit complicated
You have to simplify
The price is raissonable
The information on covers is insufficient and must be available to the new customer above all the process")</f>
        <v>It was a bit complicated
You have to simplify
The price is raissonable
The information on covers is insufficient and must be available to the new customer above all the process</v>
      </c>
    </row>
    <row r="952" ht="15.75" customHeight="1">
      <c r="A952" s="2">
        <v>4.0</v>
      </c>
      <c r="B952" s="2" t="s">
        <v>2593</v>
      </c>
      <c r="C952" s="2" t="s">
        <v>2594</v>
      </c>
      <c r="D952" s="2" t="s">
        <v>47</v>
      </c>
      <c r="E952" s="2" t="s">
        <v>14</v>
      </c>
      <c r="F952" s="2" t="s">
        <v>15</v>
      </c>
      <c r="G952" s="2" t="s">
        <v>502</v>
      </c>
      <c r="H952" s="2" t="s">
        <v>49</v>
      </c>
      <c r="I952" s="2" t="str">
        <f>IFERROR(__xludf.DUMMYFUNCTION("GOOGLETRANSLATE(C952,""fr"",""en"")"),"satisfied for the moment by the service for what it offers at the quality price level,
Thank you for being the lowest on the market and allowing me to ensure my van")</f>
        <v>satisfied for the moment by the service for what it offers at the quality price level,
Thank you for being the lowest on the market and allowing me to ensure my van</v>
      </c>
    </row>
    <row r="953" ht="15.75" customHeight="1">
      <c r="A953" s="2">
        <v>5.0</v>
      </c>
      <c r="B953" s="2" t="s">
        <v>2595</v>
      </c>
      <c r="C953" s="2" t="s">
        <v>2596</v>
      </c>
      <c r="D953" s="2" t="s">
        <v>47</v>
      </c>
      <c r="E953" s="2" t="s">
        <v>14</v>
      </c>
      <c r="F953" s="2" t="s">
        <v>15</v>
      </c>
      <c r="G953" s="2" t="s">
        <v>1053</v>
      </c>
      <c r="H953" s="2" t="s">
        <v>60</v>
      </c>
      <c r="I953" s="2" t="str">
        <f>IFERROR(__xludf.DUMMYFUNCTION("GOOGLETRANSLATE(C953,""fr"",""en"")"),"Level quality price more than satisfactory, very attractive price, fast online service, also to this fast. Send a provisional green card")</f>
        <v>Level quality price more than satisfactory, very attractive price, fast online service, also to this fast. Send a provisional green card</v>
      </c>
    </row>
    <row r="954" ht="15.75" customHeight="1">
      <c r="A954" s="2">
        <v>1.0</v>
      </c>
      <c r="B954" s="2" t="s">
        <v>2597</v>
      </c>
      <c r="C954" s="2" t="s">
        <v>2598</v>
      </c>
      <c r="D954" s="2" t="s">
        <v>253</v>
      </c>
      <c r="E954" s="2" t="s">
        <v>21</v>
      </c>
      <c r="F954" s="2" t="s">
        <v>15</v>
      </c>
      <c r="G954" s="2" t="s">
        <v>1743</v>
      </c>
      <c r="H954" s="2" t="s">
        <v>74</v>
      </c>
      <c r="I954" s="2" t="str">
        <f>IFERROR(__xludf.DUMMYFUNCTION("GOOGLETRANSLATE(C954,""fr"",""en"")"),"I regret having subscribed to this Mutual Neoliane through a MBS Contact broker
Difficulty having a ""Competant"" interlocutor when finally your call ends up succeeding
No answer to your questions and refer to another number that keeps repeating you: du"&amp;"e to a large number of calls etc ......... ""
So yes I am very angry all the more since my emails remain unanswered
Suffice to say that our collaboration will not go beyond the year and before if I could denounce the contract
If you are not able to fol"&amp;"low up on your members, avoid getting shitching to flesh out your customer wallet.
I am waiting for your call at 06 88 98 97 42 as quickly as possible I expect.
")</f>
        <v>I regret having subscribed to this Mutual Neoliane through a MBS Contact broker
Difficulty having a "Competant" interlocutor when finally your call ends up succeeding
No answer to your questions and refer to another number that keeps repeating you: due to a large number of calls etc ......... "
So yes I am very angry all the more since my emails remain unanswered
Suffice to say that our collaboration will not go beyond the year and before if I could denounce the contract
If you are not able to follow up on your members, avoid getting shitching to flesh out your customer wallet.
I am waiting for your call at 06 88 98 97 42 as quickly as possible I expect.
</v>
      </c>
    </row>
    <row r="955" ht="15.75" customHeight="1">
      <c r="A955" s="2">
        <v>1.0</v>
      </c>
      <c r="B955" s="2" t="s">
        <v>2599</v>
      </c>
      <c r="C955" s="2" t="s">
        <v>2600</v>
      </c>
      <c r="D955" s="2" t="s">
        <v>253</v>
      </c>
      <c r="E955" s="2" t="s">
        <v>21</v>
      </c>
      <c r="F955" s="2" t="s">
        <v>15</v>
      </c>
      <c r="G955" s="2" t="s">
        <v>2601</v>
      </c>
      <c r="H955" s="2" t="s">
        <v>805</v>
      </c>
      <c r="I955" s="2" t="str">
        <f>IFERROR(__xludf.DUMMYFUNCTION("GOOGLETRANSLATE(C955,""fr"",""en"")"),"Hello,
I was approached on 28/12/2016 by phone by a broker (it seems to me because the person did not show up) with a regional number appearing on the phone, to subscribe to a Neoliane health contract. I had the right to a discourse on this organization,"&amp;" to new health reforms as well as the reduction of the costs of hospitalization of the mutual insurance company etc etc, polished I listen.
And thereafter, I give a number that I receive by SMS, by ensuring that it does not commit. But in the end, this n"&amp;"umber made it possible to electronically subscribe to this health contract which I did not want to subscribe. This person at the end of the line simply wanted to sell a contract in order to enter these ""quotas"" ...
Now, I therefore want to retract, a"&amp;"fter research on the Internet, (to date I still haven't received the contract at my home) I have 14 calendar days from the date of membership.
When I try to join Néoliane, he tells me that the contract takes effect from 02/01/2017, and that I do not yet "&amp;"have a member number and that it will be created next week ( 10 days to create a member number it seems very long to me especially since everything is done by software). But why he can tell me from when my contract begins when they don't even have a membe"&amp;"r number to my name? But how do I get my member number ??
I have the impression that they do everything to waste time, and thus send me the contract at my home after the 14 days of retraction !!!
This is called abusive canvassing, because we are not"&amp;" even aware of the guarantees that you boast so exceptional they are they !! But especially that by phone we manage to take out a contract and that we are not really aware of this commitment !!
Thank you in advance for your replies
")</f>
        <v>Hello,
I was approached on 28/12/2016 by phone by a broker (it seems to me because the person did not show up) with a regional number appearing on the phone, to subscribe to a Neoliane health contract. I had the right to a discourse on this organization, to new health reforms as well as the reduction of the costs of hospitalization of the mutual insurance company etc etc, polished I listen.
And thereafter, I give a number that I receive by SMS, by ensuring that it does not commit. But in the end, this number made it possible to electronically subscribe to this health contract which I did not want to subscribe. This person at the end of the line simply wanted to sell a contract in order to enter these "quotas" ...
Now, I therefore want to retract, after research on the Internet, (to date I still haven't received the contract at my home) I have 14 calendar days from the date of membership.
When I try to join Néoliane, he tells me that the contract takes effect from 02/01/2017, and that I do not yet have a member number and that it will be created next week ( 10 days to create a member number it seems very long to me especially since everything is done by software). But why he can tell me from when my contract begins when they don't even have a member number to my name? But how do I get my member number ??
I have the impression that they do everything to waste time, and thus send me the contract at my home after the 14 days of retraction !!!
This is called abusive canvassing, because we are not even aware of the guarantees that you boast so exceptional they are they !! But especially that by phone we manage to take out a contract and that we are not really aware of this commitment !!
Thank you in advance for your replies
</v>
      </c>
    </row>
    <row r="956" ht="15.75" customHeight="1">
      <c r="A956" s="2">
        <v>5.0</v>
      </c>
      <c r="B956" s="2" t="s">
        <v>2602</v>
      </c>
      <c r="C956" s="2" t="s">
        <v>2603</v>
      </c>
      <c r="D956" s="2" t="s">
        <v>13</v>
      </c>
      <c r="E956" s="2" t="s">
        <v>14</v>
      </c>
      <c r="F956" s="2" t="s">
        <v>15</v>
      </c>
      <c r="G956" s="2" t="s">
        <v>531</v>
      </c>
      <c r="H956" s="2" t="s">
        <v>69</v>
      </c>
      <c r="I956" s="2" t="str">
        <f>IFERROR(__xludf.DUMMYFUNCTION("GOOGLETRANSLATE(C956,""fr"",""en"")"),"Subscription facilitity and clear and intuitive website
Correct and very clear prices of understanding, hoping not to be disappointed as a member
")</f>
        <v>Subscription facilitity and clear and intuitive website
Correct and very clear prices of understanding, hoping not to be disappointed as a member
</v>
      </c>
    </row>
    <row r="957" ht="15.75" customHeight="1">
      <c r="A957" s="2">
        <v>1.0</v>
      </c>
      <c r="B957" s="2" t="s">
        <v>2604</v>
      </c>
      <c r="C957" s="2" t="s">
        <v>2605</v>
      </c>
      <c r="D957" s="2" t="s">
        <v>63</v>
      </c>
      <c r="E957" s="2" t="s">
        <v>77</v>
      </c>
      <c r="F957" s="2" t="s">
        <v>15</v>
      </c>
      <c r="G957" s="2" t="s">
        <v>2606</v>
      </c>
      <c r="H957" s="2" t="s">
        <v>906</v>
      </c>
      <c r="I957" s="2" t="str">
        <f>IFERROR(__xludf.DUMMYFUNCTION("GOOGLETRANSLATE(C957,""fr"",""en"")"),"Insured for more than 30 years, I note that the insurer supposedly activist is more and more like a commercial insurer.
The prices have increased a lot, especially in housing. The contracts are more and more segmented. Why not, except that then it is no "&amp;"longer called a mutual.
There is no longer a physical contact point for the processing of claim files. Everything happens by phone. It is a degradation of customer service.
I can no longer bear the advertisements of Maif. This insistence on the side we "&amp;"are not the same, while if they are the same as the others by the search for profit, is irritating.
As a reminder, MAIF was once a mutual insurance company reserved for teachers and having really social concern.")</f>
        <v>Insured for more than 30 years, I note that the insurer supposedly activist is more and more like a commercial insurer.
The prices have increased a lot, especially in housing. The contracts are more and more segmented. Why not, except that then it is no longer called a mutual.
There is no longer a physical contact point for the processing of claim files. Everything happens by phone. It is a degradation of customer service.
I can no longer bear the advertisements of Maif. This insistence on the side we are not the same, while if they are the same as the others by the search for profit, is irritating.
As a reminder, MAIF was once a mutual insurance company reserved for teachers and having really social concern.</v>
      </c>
    </row>
    <row r="958" ht="15.75" customHeight="1">
      <c r="A958" s="2">
        <v>2.0</v>
      </c>
      <c r="B958" s="2" t="s">
        <v>2607</v>
      </c>
      <c r="C958" s="2" t="s">
        <v>2608</v>
      </c>
      <c r="D958" s="2" t="s">
        <v>13</v>
      </c>
      <c r="E958" s="2" t="s">
        <v>14</v>
      </c>
      <c r="F958" s="2" t="s">
        <v>15</v>
      </c>
      <c r="G958" s="2" t="s">
        <v>1810</v>
      </c>
      <c r="H958" s="2" t="s">
        <v>181</v>
      </c>
      <c r="I958" s="2" t="str">
        <f>IFERROR(__xludf.DUMMYFUNCTION("GOOGLETRANSLATE(C958,""fr"",""en"")"),"Competitive and inexpensive prices. But the service is not at all up to par, zero. Incompetent advisers who are not at all attentive to the customer, I do not recommend it.")</f>
        <v>Competitive and inexpensive prices. But the service is not at all up to par, zero. Incompetent advisers who are not at all attentive to the customer, I do not recommend it.</v>
      </c>
    </row>
    <row r="959" ht="15.75" customHeight="1">
      <c r="A959" s="2">
        <v>1.0</v>
      </c>
      <c r="B959" s="2" t="s">
        <v>2609</v>
      </c>
      <c r="C959" s="2" t="s">
        <v>2610</v>
      </c>
      <c r="D959" s="2" t="s">
        <v>397</v>
      </c>
      <c r="E959" s="2" t="s">
        <v>322</v>
      </c>
      <c r="F959" s="2" t="s">
        <v>15</v>
      </c>
      <c r="G959" s="2" t="s">
        <v>2611</v>
      </c>
      <c r="H959" s="2" t="s">
        <v>121</v>
      </c>
      <c r="I959" s="2" t="str">
        <f>IFERROR(__xludf.DUMMYFUNCTION("GOOGLETRANSLATE(C959,""fr"",""en"")"),"We have been around for eight months ... My sister has already posted an unfavorable opinion on our father's death and funeral insurance, who died in September. When you deign to answer you by email after many exchanges by phone (surcharged call), emails "&amp;"and letters; We ask you for the supporting documents, we finally give you the name of a person to whom to send the papers. But does this Madame ""X"" really exist ??? Because strangely she does not respond to your emails ... does she have the instructions"&amp;" to have the regulations dragged ??
Funeral insurance must be paid within 72 hours upon receipt of documents. Be careful, when you are the children, you are not trying to reach you. So if you do not know that your parents have subscribed to insurance wit"&amp;"h Swisslife to help you pay for funeral or death insurance, don't wait for it ...
Since the end of January, our mother's file has been complete because, obviously, we have asked her the pieces in several times, and since then it's up to us to restart the"&amp;"m constantly. And in her case 8 months they are sold before she affects our father's death insurance, and funeral insurance has still not been paid to her.
It's like we say ""a gas factory"" ...
To perceive your payments, it's okay, but to settle what y"&amp;"ou are entitled to, that's another question. They even take you the month after your death, when they are warned in time and then you have to make the refund request, this one has still not been made ...
To attract the customer, to the Swisslife website,"&amp;" we tell you: reliable, attentive, serenity ... We certainly do not have the same definition of these three words ...
It is lamentable and shameful.
")</f>
        <v>We have been around for eight months ... My sister has already posted an unfavorable opinion on our father's death and funeral insurance, who died in September. When you deign to answer you by email after many exchanges by phone (surcharged call), emails and letters; We ask you for the supporting documents, we finally give you the name of a person to whom to send the papers. But does this Madame "X" really exist ??? Because strangely she does not respond to your emails ... does she have the instructions to have the regulations dragged ??
Funeral insurance must be paid within 72 hours upon receipt of documents. Be careful, when you are the children, you are not trying to reach you. So if you do not know that your parents have subscribed to insurance with Swisslife to help you pay for funeral or death insurance, don't wait for it ...
Since the end of January, our mother's file has been complete because, obviously, we have asked her the pieces in several times, and since then it's up to us to restart them constantly. And in her case 8 months they are sold before she affects our father's death insurance, and funeral insurance has still not been paid to her.
It's like we say "a gas factory" ...
To perceive your payments, it's okay, but to settle what you are entitled to, that's another question. They even take you the month after your death, when they are warned in time and then you have to make the refund request, this one has still not been made ...
To attract the customer, to the Swisslife website, we tell you: reliable, attentive, serenity ... We certainly do not have the same definition of these three words ...
It is lamentable and shameful.
</v>
      </c>
    </row>
    <row r="960" ht="15.75" customHeight="1">
      <c r="A960" s="2">
        <v>5.0</v>
      </c>
      <c r="B960" s="2" t="s">
        <v>2612</v>
      </c>
      <c r="C960" s="2" t="s">
        <v>2613</v>
      </c>
      <c r="D960" s="2" t="s">
        <v>13</v>
      </c>
      <c r="E960" s="2" t="s">
        <v>14</v>
      </c>
      <c r="F960" s="2" t="s">
        <v>15</v>
      </c>
      <c r="G960" s="2" t="s">
        <v>2346</v>
      </c>
      <c r="H960" s="2" t="s">
        <v>60</v>
      </c>
      <c r="I960" s="2" t="str">
        <f>IFERROR(__xludf.DUMMYFUNCTION("GOOGLETRANSLATE(C960,""fr"",""en"")"),"Very interesting price, ease and speed of subscription. Nothing more to complain about. I recommend this insurance. It is not neuneus as at Euro Insurance et Compagnie.")</f>
        <v>Very interesting price, ease and speed of subscription. Nothing more to complain about. I recommend this insurance. It is not neuneus as at Euro Insurance et Compagnie.</v>
      </c>
    </row>
    <row r="961" ht="15.75" customHeight="1">
      <c r="A961" s="2">
        <v>2.0</v>
      </c>
      <c r="B961" s="2" t="s">
        <v>2614</v>
      </c>
      <c r="C961" s="2" t="s">
        <v>2615</v>
      </c>
      <c r="D961" s="2" t="s">
        <v>13</v>
      </c>
      <c r="E961" s="2" t="s">
        <v>14</v>
      </c>
      <c r="F961" s="2" t="s">
        <v>15</v>
      </c>
      <c r="G961" s="2" t="s">
        <v>845</v>
      </c>
      <c r="H961" s="2" t="s">
        <v>845</v>
      </c>
      <c r="I961" s="2" t="str">
        <f>IFERROR(__xludf.DUMMYFUNCTION("GOOGLETRANSLATE(C961,""fr"",""en"")"),"My vehicle was ensured all risks stole in November and 6 months later still reimbursed and he refers the ball between the services.
I will decide you because everything is fine when you don't have a problem but as soon as you have a bession there is no o"&amp;"ne. thank you")</f>
        <v>My vehicle was ensured all risks stole in November and 6 months later still reimbursed and he refers the ball between the services.
I will decide you because everything is fine when you don't have a problem but as soon as you have a bession there is no one. thank you</v>
      </c>
    </row>
    <row r="962" ht="15.75" customHeight="1">
      <c r="A962" s="2">
        <v>1.0</v>
      </c>
      <c r="B962" s="2" t="s">
        <v>2616</v>
      </c>
      <c r="C962" s="2" t="s">
        <v>2617</v>
      </c>
      <c r="D962" s="2" t="s">
        <v>153</v>
      </c>
      <c r="E962" s="2" t="s">
        <v>77</v>
      </c>
      <c r="F962" s="2" t="s">
        <v>15</v>
      </c>
      <c r="G962" s="2" t="s">
        <v>1239</v>
      </c>
      <c r="H962" s="2" t="s">
        <v>201</v>
      </c>
      <c r="I962" s="2" t="str">
        <f>IFERROR(__xludf.DUMMYFUNCTION("GOOGLETRANSLATE(C962,""fr"",""en"")"),"Hello I have already declared the water leak on 07/05/2020 and the Sogessur insurance asks me to contact the expert! Normally it's their work not mine! So I contacted the expert at least 5 times and the expert is that spending 05/27/2020! After he says he"&amp;" will contacted the insurance to solve my problem! I waited 2 weeks and I 'I call insurance but every time I call them they tell me that their colleague will contact me but they never contact me! Then on 04/07/2020 I contact them and I'm waiting for 30 mi"&amp;"n they don't even answer me!")</f>
        <v>Hello I have already declared the water leak on 07/05/2020 and the Sogessur insurance asks me to contact the expert! Normally it's their work not mine! So I contacted the expert at least 5 times and the expert is that spending 05/27/2020! After he says he will contacted the insurance to solve my problem! I waited 2 weeks and I 'I call insurance but every time I call them they tell me that their colleague will contact me but they never contact me! Then on 04/07/2020 I contact them and I'm waiting for 30 min they don't even answer me!</v>
      </c>
    </row>
    <row r="963" ht="15.75" customHeight="1">
      <c r="A963" s="2">
        <v>5.0</v>
      </c>
      <c r="B963" s="2" t="s">
        <v>2618</v>
      </c>
      <c r="C963" s="2" t="s">
        <v>2619</v>
      </c>
      <c r="D963" s="2" t="s">
        <v>47</v>
      </c>
      <c r="E963" s="2" t="s">
        <v>14</v>
      </c>
      <c r="F963" s="2" t="s">
        <v>15</v>
      </c>
      <c r="G963" s="2" t="s">
        <v>2620</v>
      </c>
      <c r="H963" s="2" t="s">
        <v>28</v>
      </c>
      <c r="I963" s="2" t="str">
        <f>IFERROR(__xludf.DUMMYFUNCTION("GOOGLETRANSLATE(C963,""fr"",""en"")"),"Satisfactory insurance. Low prices. Guarantee satisfactory. A little long customer service, but it is due to the number of calls. Very nice and courteous staff.")</f>
        <v>Satisfactory insurance. Low prices. Guarantee satisfactory. A little long customer service, but it is due to the number of calls. Very nice and courteous staff.</v>
      </c>
    </row>
    <row r="964" ht="15.75" customHeight="1">
      <c r="A964" s="2">
        <v>3.0</v>
      </c>
      <c r="B964" s="2" t="s">
        <v>2621</v>
      </c>
      <c r="C964" s="2" t="s">
        <v>2622</v>
      </c>
      <c r="D964" s="2" t="s">
        <v>13</v>
      </c>
      <c r="E964" s="2" t="s">
        <v>14</v>
      </c>
      <c r="F964" s="2" t="s">
        <v>15</v>
      </c>
      <c r="G964" s="2" t="s">
        <v>659</v>
      </c>
      <c r="H964" s="2" t="s">
        <v>99</v>
      </c>
      <c r="I964" s="2" t="str">
        <f>IFERROR(__xludf.DUMMYFUNCTION("GOOGLETRANSLATE(C964,""fr"",""en"")"),"Too much franchises, modifications of paid contracts. Too much options. Too basic internet site, too little information., Little possible actions on the site.")</f>
        <v>Too much franchises, modifications of paid contracts. Too much options. Too basic internet site, too little information., Little possible actions on the site.</v>
      </c>
    </row>
    <row r="965" ht="15.75" customHeight="1">
      <c r="A965" s="2">
        <v>2.0</v>
      </c>
      <c r="B965" s="2" t="s">
        <v>2623</v>
      </c>
      <c r="C965" s="2" t="s">
        <v>2624</v>
      </c>
      <c r="D965" s="2" t="s">
        <v>13</v>
      </c>
      <c r="E965" s="2" t="s">
        <v>14</v>
      </c>
      <c r="F965" s="2" t="s">
        <v>15</v>
      </c>
      <c r="G965" s="2" t="s">
        <v>700</v>
      </c>
      <c r="H965" s="2" t="s">
        <v>161</v>
      </c>
      <c r="I965" s="2" t="str">
        <f>IFERROR(__xludf.DUMMYFUNCTION("GOOGLETRANSLATE(C965,""fr"",""en"")"),"Do not hesitate to terminate without warning you being in full illegality.
Mediocre insurance to avoid prices can be attractive but in the event of a problem .... good luck")</f>
        <v>Do not hesitate to terminate without warning you being in full illegality.
Mediocre insurance to avoid prices can be attractive but in the event of a problem .... good luck</v>
      </c>
    </row>
    <row r="966" ht="15.75" customHeight="1">
      <c r="A966" s="2">
        <v>5.0</v>
      </c>
      <c r="B966" s="2" t="s">
        <v>2625</v>
      </c>
      <c r="C966" s="2" t="s">
        <v>2626</v>
      </c>
      <c r="D966" s="2" t="s">
        <v>72</v>
      </c>
      <c r="E966" s="2" t="s">
        <v>21</v>
      </c>
      <c r="F966" s="2" t="s">
        <v>15</v>
      </c>
      <c r="G966" s="2" t="s">
        <v>2169</v>
      </c>
      <c r="H966" s="2" t="s">
        <v>284</v>
      </c>
      <c r="I966" s="2" t="str">
        <f>IFERROR(__xludf.DUMMYFUNCTION("GOOGLETRANSLATE(C966,""fr"",""en"")"),"Very effective good advice .....")</f>
        <v>Very effective good advice .....</v>
      </c>
    </row>
    <row r="967" ht="15.75" customHeight="1">
      <c r="A967" s="2">
        <v>2.0</v>
      </c>
      <c r="B967" s="2" t="s">
        <v>2627</v>
      </c>
      <c r="C967" s="2" t="s">
        <v>2628</v>
      </c>
      <c r="D967" s="2" t="s">
        <v>257</v>
      </c>
      <c r="E967" s="2" t="s">
        <v>14</v>
      </c>
      <c r="F967" s="2" t="s">
        <v>15</v>
      </c>
      <c r="G967" s="2" t="s">
        <v>2629</v>
      </c>
      <c r="H967" s="2" t="s">
        <v>23</v>
      </c>
      <c r="I967" s="2" t="str">
        <f>IFERROR(__xludf.DUMMYFUNCTION("GOOGLETRANSLATE(C967,""fr"",""en"")"),"Very bad phone service")</f>
        <v>Very bad phone service</v>
      </c>
    </row>
    <row r="968" ht="15.75" customHeight="1">
      <c r="A968" s="2">
        <v>1.0</v>
      </c>
      <c r="B968" s="2" t="s">
        <v>2630</v>
      </c>
      <c r="C968" s="2" t="s">
        <v>2631</v>
      </c>
      <c r="D968" s="2" t="s">
        <v>168</v>
      </c>
      <c r="E968" s="2" t="s">
        <v>14</v>
      </c>
      <c r="F968" s="2" t="s">
        <v>15</v>
      </c>
      <c r="G968" s="2" t="s">
        <v>2632</v>
      </c>
      <c r="H968" s="2" t="s">
        <v>284</v>
      </c>
      <c r="I968" s="2" t="str">
        <f>IFERROR(__xludf.DUMMYFUNCTION("GOOGLETRANSLATE(C968,""fr"",""en"")"),"Hello, we are garage owners and work with all insurance. Regarding AXA it is horror: service providers is a ghost service, it is almost impossible to reach it and, when after several tests we finally succeed, we are told that we will contact us By email o"&amp;"r phone and this remains as it is, no answer, no return. Faults of elements and references files We cannot cash the vouchers shipped by AXA which has accumulated for several months and which make us lack in our cash. Several assistance have been condemned"&amp;" for this practice which consists in making their cash flow to the expense of the missioned providers, what will he be of Axa?")</f>
        <v>Hello, we are garage owners and work with all insurance. Regarding AXA it is horror: service providers is a ghost service, it is almost impossible to reach it and, when after several tests we finally succeed, we are told that we will contact us By email or phone and this remains as it is, no answer, no return. Faults of elements and references files We cannot cash the vouchers shipped by AXA which has accumulated for several months and which make us lack in our cash. Several assistance have been condemned for this practice which consists in making their cash flow to the expense of the missioned providers, what will he be of Axa?</v>
      </c>
    </row>
    <row r="969" ht="15.75" customHeight="1">
      <c r="A969" s="2">
        <v>4.0</v>
      </c>
      <c r="B969" s="2" t="s">
        <v>2633</v>
      </c>
      <c r="C969" s="2" t="s">
        <v>2634</v>
      </c>
      <c r="D969" s="2" t="s">
        <v>63</v>
      </c>
      <c r="E969" s="2" t="s">
        <v>14</v>
      </c>
      <c r="F969" s="2" t="s">
        <v>15</v>
      </c>
      <c r="G969" s="2" t="s">
        <v>2635</v>
      </c>
      <c r="H969" s="2" t="s">
        <v>150</v>
      </c>
      <c r="I969" s="2" t="str">
        <f>IFERROR(__xludf.DUMMYFUNCTION("GOOGLETRANSLATE(C969,""fr"",""en"")"),"I found myself in difficulty thinking of breaking down. A tow truck arrived within 15 minutes. The convenience store checked my problem and said there was nothing. So he left. No fees was billed")</f>
        <v>I found myself in difficulty thinking of breaking down. A tow truck arrived within 15 minutes. The convenience store checked my problem and said there was nothing. So he left. No fees was billed</v>
      </c>
    </row>
    <row r="970" ht="15.75" customHeight="1">
      <c r="A970" s="2">
        <v>2.0</v>
      </c>
      <c r="B970" s="2" t="s">
        <v>2636</v>
      </c>
      <c r="C970" s="2" t="s">
        <v>2637</v>
      </c>
      <c r="D970" s="2" t="s">
        <v>253</v>
      </c>
      <c r="E970" s="2" t="s">
        <v>21</v>
      </c>
      <c r="F970" s="2" t="s">
        <v>15</v>
      </c>
      <c r="G970" s="2" t="s">
        <v>367</v>
      </c>
      <c r="H970" s="2" t="s">
        <v>165</v>
      </c>
      <c r="I970" s="2" t="str">
        <f>IFERROR(__xludf.DUMMYFUNCTION("GOOGLETRANSLATE(C970,""fr"",""en"")"),"Since June I have not receive my refund anymore, I have asked by phone for explanations, to date no response thank you for the seriousness of this insurance, contract subscribed to Center Assur I contacted them by phone to report the problem,")</f>
        <v>Since June I have not receive my refund anymore, I have asked by phone for explanations, to date no response thank you for the seriousness of this insurance, contract subscribed to Center Assur I contacted them by phone to report the problem,</v>
      </c>
    </row>
    <row r="971" ht="15.75" customHeight="1">
      <c r="A971" s="2">
        <v>1.0</v>
      </c>
      <c r="B971" s="2" t="s">
        <v>2638</v>
      </c>
      <c r="C971" s="2" t="s">
        <v>2639</v>
      </c>
      <c r="D971" s="2" t="s">
        <v>781</v>
      </c>
      <c r="E971" s="2" t="s">
        <v>21</v>
      </c>
      <c r="F971" s="2" t="s">
        <v>15</v>
      </c>
      <c r="G971" s="2" t="s">
        <v>685</v>
      </c>
      <c r="H971" s="2" t="s">
        <v>87</v>
      </c>
      <c r="I971" s="2" t="str">
        <f>IFERROR(__xludf.DUMMYFUNCTION("GOOGLETRANSLATE(C971,""fr"",""en"")"),"Refund not made since January I await 2 reimbursement and still nothing despite the reminders being given that it is a mutual work with colleagues and the union will see us to bring together so that the employer resilses at home because it is already abus"&amp;"ed We pay and behind his deplorable service")</f>
        <v>Refund not made since January I await 2 reimbursement and still nothing despite the reminders being given that it is a mutual work with colleagues and the union will see us to bring together so that the employer resilses at home because it is already abused We pay and behind his deplorable service</v>
      </c>
    </row>
    <row r="972" ht="15.75" customHeight="1">
      <c r="A972" s="2">
        <v>2.0</v>
      </c>
      <c r="B972" s="2" t="s">
        <v>2640</v>
      </c>
      <c r="C972" s="2" t="s">
        <v>2641</v>
      </c>
      <c r="D972" s="2" t="s">
        <v>42</v>
      </c>
      <c r="E972" s="2" t="s">
        <v>43</v>
      </c>
      <c r="F972" s="2" t="s">
        <v>15</v>
      </c>
      <c r="G972" s="2" t="s">
        <v>2642</v>
      </c>
      <c r="H972" s="2" t="s">
        <v>1643</v>
      </c>
      <c r="I972" s="2" t="str">
        <f>IFERROR(__xludf.DUMMYFUNCTION("GOOGLETRANSLATE(C972,""fr"",""en"")"),"Hello,
I have been at AMV since 2015 for my 125, a few weeks ago my spouse in an accident, a motorist did not respect the stop.
(difficult dialogue because being responsible, the opposing part did not want to fill out the observation correctly and my sp"&amp;"ouse was just able to draw the accident before having the observation removed from the hand)
The motorcycle has been appraised, the expert is OK for repairs.
The problem is that the manager has not launched the appeal against opposing insurance but vagu"&amp;"ely speaks to me.
Today I have no news, the motorcycle cannot drive as long as it is not repaired.
On the other hand my subscription is settled year -round
By cons AMV who is still a renowned motorcycle insurer gives more the impression of defending th"&amp;"e motorist ....
")</f>
        <v>Hello,
I have been at AMV since 2015 for my 125, a few weeks ago my spouse in an accident, a motorist did not respect the stop.
(difficult dialogue because being responsible, the opposing part did not want to fill out the observation correctly and my spouse was just able to draw the accident before having the observation removed from the hand)
The motorcycle has been appraised, the expert is OK for repairs.
The problem is that the manager has not launched the appeal against opposing insurance but vaguely speaks to me.
Today I have no news, the motorcycle cannot drive as long as it is not repaired.
On the other hand my subscription is settled year -round
By cons AMV who is still a renowned motorcycle insurer gives more the impression of defending the motorist ....
</v>
      </c>
    </row>
    <row r="973" ht="15.75" customHeight="1">
      <c r="A973" s="2">
        <v>1.0</v>
      </c>
      <c r="B973" s="2" t="s">
        <v>2643</v>
      </c>
      <c r="C973" s="2" t="s">
        <v>2644</v>
      </c>
      <c r="D973" s="2" t="s">
        <v>168</v>
      </c>
      <c r="E973" s="2" t="s">
        <v>14</v>
      </c>
      <c r="F973" s="2" t="s">
        <v>15</v>
      </c>
      <c r="G973" s="2" t="s">
        <v>230</v>
      </c>
      <c r="H973" s="2" t="s">
        <v>181</v>
      </c>
      <c r="I973" s="2" t="str">
        <f>IFERROR(__xludf.DUMMYFUNCTION("GOOGLETRANSLATE(C973,""fr"",""en"")"),"The AXA group is far too expensive for me, having a small retirement AXA prices no longer enter my budget, I am looking for an insurer with lower prices.")</f>
        <v>The AXA group is far too expensive for me, having a small retirement AXA prices no longer enter my budget, I am looking for an insurer with lower prices.</v>
      </c>
    </row>
    <row r="974" ht="15.75" customHeight="1">
      <c r="A974" s="2">
        <v>2.0</v>
      </c>
      <c r="B974" s="2" t="s">
        <v>2645</v>
      </c>
      <c r="C974" s="2" t="s">
        <v>2646</v>
      </c>
      <c r="D974" s="2" t="s">
        <v>97</v>
      </c>
      <c r="E974" s="2" t="s">
        <v>43</v>
      </c>
      <c r="F974" s="2" t="s">
        <v>15</v>
      </c>
      <c r="G974" s="2" t="s">
        <v>728</v>
      </c>
      <c r="H974" s="2" t="s">
        <v>49</v>
      </c>
      <c r="I974" s="2" t="str">
        <f>IFERROR(__xludf.DUMMYFUNCTION("GOOGLETRANSLATE(C974,""fr"",""en"")"),"For a 50cm3 it is extremely expensive, although it is the cheapest insurance on the market. In addition, there is not even a bonus/penalty formula. That's a shame.")</f>
        <v>For a 50cm3 it is extremely expensive, although it is the cheapest insurance on the market. In addition, there is not even a bonus/penalty formula. That's a shame.</v>
      </c>
    </row>
    <row r="975" ht="15.75" customHeight="1">
      <c r="A975" s="2">
        <v>1.0</v>
      </c>
      <c r="B975" s="2" t="s">
        <v>2647</v>
      </c>
      <c r="C975" s="2" t="s">
        <v>2648</v>
      </c>
      <c r="D975" s="2" t="s">
        <v>47</v>
      </c>
      <c r="E975" s="2" t="s">
        <v>14</v>
      </c>
      <c r="F975" s="2" t="s">
        <v>15</v>
      </c>
      <c r="G975" s="2" t="s">
        <v>1854</v>
      </c>
      <c r="H975" s="2" t="s">
        <v>155</v>
      </c>
      <c r="I975" s="2" t="str">
        <f>IFERROR(__xludf.DUMMYFUNCTION("GOOGLETRANSLATE(C975,""fr"",""en"")"),"I have subscribed to a premium option ""0km assistance and increased value"".
Following a claim with non -repairable vehicle I realize that the increased value has not been taken into account. It is only after questioning on my part that I am informed th"&amp;"at the increased value is managed by another company: Mapfre. Only this one has ceased its activities in France, the olive tree discharges and returns the ball on Mapfre. Yet it was in the olive tree that I paid for these additional 12 euros every month. "&amp;"3 months since the accident took place, I still have no return from the olive tree despite my incessant calls which does nothing in front of this situation but which has managed to take the money every month !!!")</f>
        <v>I have subscribed to a premium option "0km assistance and increased value".
Following a claim with non -repairable vehicle I realize that the increased value has not been taken into account. It is only after questioning on my part that I am informed that the increased value is managed by another company: Mapfre. Only this one has ceased its activities in France, the olive tree discharges and returns the ball on Mapfre. Yet it was in the olive tree that I paid for these additional 12 euros every month. 3 months since the accident took place, I still have no return from the olive tree despite my incessant calls which does nothing in front of this situation but which has managed to take the money every month !!!</v>
      </c>
    </row>
    <row r="976" ht="15.75" customHeight="1">
      <c r="A976" s="2">
        <v>1.0</v>
      </c>
      <c r="B976" s="2" t="s">
        <v>2649</v>
      </c>
      <c r="C976" s="2" t="s">
        <v>2650</v>
      </c>
      <c r="D976" s="2" t="s">
        <v>223</v>
      </c>
      <c r="E976" s="2" t="s">
        <v>77</v>
      </c>
      <c r="F976" s="2" t="s">
        <v>15</v>
      </c>
      <c r="G976" s="2" t="s">
        <v>2651</v>
      </c>
      <c r="H976" s="2" t="s">
        <v>140</v>
      </c>
      <c r="I976" s="2" t="str">
        <f>IFERROR(__xludf.DUMMYFUNCTION("GOOGLETRANSLATE(C976,""fr"",""en"")"),"Too expensive home insurance, it was a first cleaning we thought we could trust but when we ended up going around, it was really expensive after all. In addition we have been to take twice the first month, we do not have them reimbursements, and the worst"&amp;" is to have paid two months in the void ... angry, never again!")</f>
        <v>Too expensive home insurance, it was a first cleaning we thought we could trust but when we ended up going around, it was really expensive after all. In addition we have been to take twice the first month, we do not have them reimbursements, and the worst is to have paid two months in the void ... angry, never again!</v>
      </c>
    </row>
    <row r="977" ht="15.75" customHeight="1">
      <c r="A977" s="2">
        <v>3.0</v>
      </c>
      <c r="B977" s="2" t="s">
        <v>2652</v>
      </c>
      <c r="C977" s="2" t="s">
        <v>2653</v>
      </c>
      <c r="D977" s="2" t="s">
        <v>137</v>
      </c>
      <c r="E977" s="2" t="s">
        <v>138</v>
      </c>
      <c r="F977" s="2" t="s">
        <v>15</v>
      </c>
      <c r="G977" s="2" t="s">
        <v>2654</v>
      </c>
      <c r="H977" s="2" t="s">
        <v>165</v>
      </c>
      <c r="I977" s="2" t="str">
        <f>IFERROR(__xludf.DUMMYFUNCTION("GOOGLETRANSLATE(C977,""fr"",""en"")"),"I am insured for the provident and I am not very satisfied in recent months. I am awaiting the complement of my salary in September and October. We are November 27 and I have still received nothing. My work pays me 924 euros and with a rent of 531 euros, "&amp;"I no longer have enough to pay my samples. After several telephone contacts, my file is raised each time ....... still no transfer. I start to have problems on my bank account through their fault. I specify that I have been contributing to them for 20 yea"&amp;"rs.")</f>
        <v>I am insured for the provident and I am not very satisfied in recent months. I am awaiting the complement of my salary in September and October. We are November 27 and I have still received nothing. My work pays me 924 euros and with a rent of 531 euros, I no longer have enough to pay my samples. After several telephone contacts, my file is raised each time ....... still no transfer. I start to have problems on my bank account through their fault. I specify that I have been contributing to them for 20 years.</v>
      </c>
    </row>
    <row r="978" ht="15.75" customHeight="1">
      <c r="A978" s="2">
        <v>1.0</v>
      </c>
      <c r="B978" s="2" t="s">
        <v>2655</v>
      </c>
      <c r="C978" s="2" t="s">
        <v>2656</v>
      </c>
      <c r="D978" s="2" t="s">
        <v>781</v>
      </c>
      <c r="E978" s="2" t="s">
        <v>21</v>
      </c>
      <c r="F978" s="2" t="s">
        <v>15</v>
      </c>
      <c r="G978" s="2" t="s">
        <v>2657</v>
      </c>
      <c r="H978" s="2" t="s">
        <v>741</v>
      </c>
      <c r="I978" s="2" t="str">
        <f>IFERROR(__xludf.DUMMYFUNCTION("GOOGLETRANSLATE(C978,""fr"",""en"")"),"Catastrophe I try to reach them impossible still pending more than 15 minutes I have reimbursements which are still not made this is unacceptable more than 1 month")</f>
        <v>Catastrophe I try to reach them impossible still pending more than 15 minutes I have reimbursements which are still not made this is unacceptable more than 1 month</v>
      </c>
    </row>
    <row r="979" ht="15.75" customHeight="1">
      <c r="A979" s="2">
        <v>5.0</v>
      </c>
      <c r="B979" s="2" t="s">
        <v>2658</v>
      </c>
      <c r="C979" s="2" t="s">
        <v>2659</v>
      </c>
      <c r="D979" s="2" t="s">
        <v>13</v>
      </c>
      <c r="E979" s="2" t="s">
        <v>14</v>
      </c>
      <c r="F979" s="2" t="s">
        <v>15</v>
      </c>
      <c r="G979" s="2" t="s">
        <v>1221</v>
      </c>
      <c r="H979" s="2" t="s">
        <v>28</v>
      </c>
      <c r="I979" s="2" t="str">
        <f>IFERROR(__xludf.DUMMYFUNCTION("GOOGLETRANSLATE(C979,""fr"",""en"")"),"TOP until the contract subscription, good value for money. I hope the same responsiveness in the event of breakdown or accidents. Great the idea of ​​ensuring the spouse automatically in the second driver ... Nice initiative and especially for free")</f>
        <v>TOP until the contract subscription, good value for money. I hope the same responsiveness in the event of breakdown or accidents. Great the idea of ​​ensuring the spouse automatically in the second driver ... Nice initiative and especially for free</v>
      </c>
    </row>
    <row r="980" ht="15.75" customHeight="1">
      <c r="A980" s="2">
        <v>5.0</v>
      </c>
      <c r="B980" s="2" t="s">
        <v>2660</v>
      </c>
      <c r="C980" s="2" t="s">
        <v>2661</v>
      </c>
      <c r="D980" s="2" t="s">
        <v>47</v>
      </c>
      <c r="E980" s="2" t="s">
        <v>14</v>
      </c>
      <c r="F980" s="2" t="s">
        <v>15</v>
      </c>
      <c r="G980" s="2" t="s">
        <v>2407</v>
      </c>
      <c r="H980" s="2" t="s">
        <v>17</v>
      </c>
      <c r="I980" s="2" t="str">
        <f>IFERROR(__xludf.DUMMYFUNCTION("GOOGLETRANSLATE(C980,""fr"",""en"")"),"I am really satisfied with the price and the application in the meantime I will recommend my entourage who we need car insurance where else
Cordially
Thanks")</f>
        <v>I am really satisfied with the price and the application in the meantime I will recommend my entourage who we need car insurance where else
Cordially
Thanks</v>
      </c>
    </row>
    <row r="981" ht="15.75" customHeight="1">
      <c r="A981" s="2">
        <v>1.0</v>
      </c>
      <c r="B981" s="2" t="s">
        <v>2662</v>
      </c>
      <c r="C981" s="2" t="s">
        <v>2663</v>
      </c>
      <c r="D981" s="2" t="s">
        <v>31</v>
      </c>
      <c r="E981" s="2" t="s">
        <v>32</v>
      </c>
      <c r="F981" s="2" t="s">
        <v>15</v>
      </c>
      <c r="G981" s="2" t="s">
        <v>2664</v>
      </c>
      <c r="H981" s="2" t="s">
        <v>161</v>
      </c>
      <c r="I981" s="2" t="str">
        <f>IFERROR(__xludf.DUMMYFUNCTION("GOOGLETRANSLATE(C981,""fr"",""en"")"),"Incompetent !!
We have been reimbursing our real estate loans in advance for 1 year.
 For my part, everything was done in the rules, a registered letter with acknowledgment of receipt to Cardiff and proof of the early reimbursement of our loans.
"&amp;"Cardiff to continue to take the monthly insurance for 6 months after we have reimbursed our loans.
Cardiff had to reimburse us what they have taken too much, and it's been 1 year now that I am fighting with them to reimburse me.
The only answers I have "&amp;"on their part is that they study our file.
 Even the BNP sent them several emails, to make things happen and that they reimburse us.
But nothing helps, they always let us wait ....
But I'm not going to let go.
We owe us between 200 € and 300 €.
I"&amp;" strongly advise against this insurance, which has trouble communicating as well as to recognize their mistakes and obviously to reimburse what they have taken too much.
We were not given the choice of insurance when we had borrowed from the BNP, Cardi"&amp;"f was imposed on us, but on the other hand once the loan was reimbursed in advance, it is up to us to manage to terminate the 'INSURANCE .
So beware mistrust !!!!
")</f>
        <v>Incompetent !!
We have been reimbursing our real estate loans in advance for 1 year.
 For my part, everything was done in the rules, a registered letter with acknowledgment of receipt to Cardiff and proof of the early reimbursement of our loans.
Cardiff to continue to take the monthly insurance for 6 months after we have reimbursed our loans.
Cardiff had to reimburse us what they have taken too much, and it's been 1 year now that I am fighting with them to reimburse me.
The only answers I have on their part is that they study our file.
 Even the BNP sent them several emails, to make things happen and that they reimburse us.
But nothing helps, they always let us wait ....
But I'm not going to let go.
We owe us between 200 € and 300 €.
I strongly advise against this insurance, which has trouble communicating as well as to recognize their mistakes and obviously to reimburse what they have taken too much.
We were not given the choice of insurance when we had borrowed from the BNP, Cardif was imposed on us, but on the other hand once the loan was reimbursed in advance, it is up to us to manage to terminate the 'INSURANCE .
So beware mistrust !!!!
</v>
      </c>
    </row>
    <row r="982" ht="15.75" customHeight="1">
      <c r="A982" s="2">
        <v>2.0</v>
      </c>
      <c r="B982" s="2" t="s">
        <v>2665</v>
      </c>
      <c r="C982" s="2" t="s">
        <v>2666</v>
      </c>
      <c r="D982" s="2" t="s">
        <v>97</v>
      </c>
      <c r="E982" s="2" t="s">
        <v>43</v>
      </c>
      <c r="F982" s="2" t="s">
        <v>15</v>
      </c>
      <c r="G982" s="2" t="s">
        <v>2210</v>
      </c>
      <c r="H982" s="2" t="s">
        <v>338</v>
      </c>
      <c r="I982" s="2" t="str">
        <f>IFERROR(__xludf.DUMMYFUNCTION("GOOGLETRANSLATE(C982,""fr"",""en"")"),"Satisfied I thought it would be cheaper. Around 10th per month
                                                                     .")</f>
        <v>Satisfied I thought it would be cheaper. Around 10th per month
                                                                     .</v>
      </c>
    </row>
    <row r="983" ht="15.75" customHeight="1">
      <c r="A983" s="2">
        <v>1.0</v>
      </c>
      <c r="B983" s="2" t="s">
        <v>2667</v>
      </c>
      <c r="C983" s="2" t="s">
        <v>2668</v>
      </c>
      <c r="D983" s="2" t="s">
        <v>31</v>
      </c>
      <c r="E983" s="2" t="s">
        <v>322</v>
      </c>
      <c r="F983" s="2" t="s">
        <v>15</v>
      </c>
      <c r="G983" s="2" t="s">
        <v>2669</v>
      </c>
      <c r="H983" s="2" t="s">
        <v>79</v>
      </c>
      <c r="I983" s="2" t="str">
        <f>IFERROR(__xludf.DUMMYFUNCTION("GOOGLETRANSLATE(C983,""fr"",""en"")"),"Customer service archi no one impossible to obtain a wire advisor, no response to emails, it is difficult for BNP advisers to direct customers to cardif products")</f>
        <v>Customer service archi no one impossible to obtain a wire advisor, no response to emails, it is difficult for BNP advisers to direct customers to cardif products</v>
      </c>
    </row>
    <row r="984" ht="15.75" customHeight="1">
      <c r="A984" s="2">
        <v>1.0</v>
      </c>
      <c r="B984" s="2" t="s">
        <v>2670</v>
      </c>
      <c r="C984" s="2" t="s">
        <v>2671</v>
      </c>
      <c r="D984" s="2" t="s">
        <v>13</v>
      </c>
      <c r="E984" s="2" t="s">
        <v>14</v>
      </c>
      <c r="F984" s="2" t="s">
        <v>15</v>
      </c>
      <c r="G984" s="2" t="s">
        <v>2672</v>
      </c>
      <c r="H984" s="2" t="s">
        <v>2335</v>
      </c>
      <c r="I984" s="2" t="str">
        <f>IFERROR(__xludf.DUMMYFUNCTION("GOOGLETRANSLATE(C984,""fr"",""en"")"),"I bought a car mid August, which I assured at Direct Insurance Unfortunately for me I was the victim of a hide visce and my car took fire seven days after the purchase. The disaster was however declared assistance at 15 days before finding a garage to acc"&amp;"ept which of course delayed the passage of the expert. On September 5, the expertise and made however since that date I have no information concerning the advancement of my file, it is impossible to reach the sinister service by phone as well as the exper"&amp;"t who does not remind me! I find this situation unacceptable the really limited follow -up. It's been a month now I have no information, no return from the expert report when it is supposed to be available 48 hours after the expert's passage, what does Di"&amp;"rect Assurance do? And why can't I contact the claim service?")</f>
        <v>I bought a car mid August, which I assured at Direct Insurance Unfortunately for me I was the victim of a hide visce and my car took fire seven days after the purchase. The disaster was however declared assistance at 15 days before finding a garage to accept which of course delayed the passage of the expert. On September 5, the expertise and made however since that date I have no information concerning the advancement of my file, it is impossible to reach the sinister service by phone as well as the expert who does not remind me! I find this situation unacceptable the really limited follow -up. It's been a month now I have no information, no return from the expert report when it is supposed to be available 48 hours after the expert's passage, what does Direct Assurance do? And why can't I contact the claim service?</v>
      </c>
    </row>
    <row r="985" ht="15.75" customHeight="1">
      <c r="A985" s="2">
        <v>5.0</v>
      </c>
      <c r="B985" s="2" t="s">
        <v>2673</v>
      </c>
      <c r="C985" s="2" t="s">
        <v>2674</v>
      </c>
      <c r="D985" s="2" t="s">
        <v>223</v>
      </c>
      <c r="E985" s="2" t="s">
        <v>77</v>
      </c>
      <c r="F985" s="2" t="s">
        <v>15</v>
      </c>
      <c r="G985" s="2" t="s">
        <v>448</v>
      </c>
      <c r="H985" s="2" t="s">
        <v>17</v>
      </c>
      <c r="I985" s="2" t="str">
        <f>IFERROR(__xludf.DUMMYFUNCTION("GOOGLETRANSLATE(C985,""fr"",""en"")"),"I contacted my peaceful insurance following the thunder of Thursday August 12 which grid my Ballon D, hot water..j, was very happy with his reimbursement and the person who was occupied with my disaster. Thank you case .....")</f>
        <v>I contacted my peaceful insurance following the thunder of Thursday August 12 which grid my Ballon D, hot water..j, was very happy with his reimbursement and the person who was occupied with my disaster. Thank you case .....</v>
      </c>
    </row>
    <row r="986" ht="15.75" customHeight="1">
      <c r="A986" s="2">
        <v>1.0</v>
      </c>
      <c r="B986" s="2" t="s">
        <v>2675</v>
      </c>
      <c r="C986" s="2" t="s">
        <v>2676</v>
      </c>
      <c r="D986" s="2" t="s">
        <v>13</v>
      </c>
      <c r="E986" s="2" t="s">
        <v>14</v>
      </c>
      <c r="F986" s="2" t="s">
        <v>15</v>
      </c>
      <c r="G986" s="2" t="s">
        <v>384</v>
      </c>
      <c r="H986" s="2" t="s">
        <v>23</v>
      </c>
      <c r="I986" s="2" t="str">
        <f>IFERROR(__xludf.DUMMYFUNCTION("GOOGLETRANSLATE(C986,""fr"",""en"")"),"I was stolen from a steering wheel a GPS and a car radio in my BMW. Ensure any risk I did everything you need. Adjusted expertise estimate of damage € 16,000. I find another garage I refrove the expert 12,500 € estimated vehicle estimated at € 13,000 (wel"&amp;"l below its value) BMW Pack M of 2015 I would like to find one at this price. In short, they tell me go start the repairs we will compensate you for 2 months that I am waiting for the refund and 4 months without my car. Surprise a private detective invest"&amp;"igates me for fraud! ?? Yes yes fraud for a steering wheel a GPS and a car radio. They are looking for everything so as not to pay knowing that he wrote me by black on white email that I was going to be reimbursed but it's been 2 months!
To flee .
I had"&amp;" to take a lawyer while I am the victim of a simple steel of auto accessories! Will understand")</f>
        <v>I was stolen from a steering wheel a GPS and a car radio in my BMW. Ensure any risk I did everything you need. Adjusted expertise estimate of damage € 16,000. I find another garage I refrove the expert 12,500 € estimated vehicle estimated at € 13,000 (well below its value) BMW Pack M of 2015 I would like to find one at this price. In short, they tell me go start the repairs we will compensate you for 2 months that I am waiting for the refund and 4 months without my car. Surprise a private detective investigates me for fraud! ?? Yes yes fraud for a steering wheel a GPS and a car radio. They are looking for everything so as not to pay knowing that he wrote me by black on white email that I was going to be reimbursed but it's been 2 months!
To flee .
I had to take a lawyer while I am the victim of a simple steel of auto accessories! Will understand</v>
      </c>
    </row>
    <row r="987" ht="15.75" customHeight="1">
      <c r="A987" s="2">
        <v>5.0</v>
      </c>
      <c r="B987" s="2" t="s">
        <v>2677</v>
      </c>
      <c r="C987" s="2" t="s">
        <v>2678</v>
      </c>
      <c r="D987" s="2" t="s">
        <v>47</v>
      </c>
      <c r="E987" s="2" t="s">
        <v>14</v>
      </c>
      <c r="F987" s="2" t="s">
        <v>15</v>
      </c>
      <c r="G987" s="2" t="s">
        <v>1081</v>
      </c>
      <c r="H987" s="2" t="s">
        <v>17</v>
      </c>
      <c r="I987" s="2" t="str">
        <f>IFERROR(__xludf.DUMMYFUNCTION("GOOGLETRANSLATE(C987,""fr"",""en"")"),"I am satisfied because it was very fast and very simple. Everything is clear and precise. Receiving a green card so quickly my convinced to secure to the Olivier Insurance")</f>
        <v>I am satisfied because it was very fast and very simple. Everything is clear and precise. Receiving a green card so quickly my convinced to secure to the Olivier Insurance</v>
      </c>
    </row>
    <row r="988" ht="15.75" customHeight="1">
      <c r="A988" s="2">
        <v>1.0</v>
      </c>
      <c r="B988" s="2" t="s">
        <v>2679</v>
      </c>
      <c r="C988" s="2" t="s">
        <v>2680</v>
      </c>
      <c r="D988" s="2" t="s">
        <v>282</v>
      </c>
      <c r="E988" s="2" t="s">
        <v>21</v>
      </c>
      <c r="F988" s="2" t="s">
        <v>15</v>
      </c>
      <c r="G988" s="2" t="s">
        <v>2681</v>
      </c>
      <c r="H988" s="2" t="s">
        <v>845</v>
      </c>
      <c r="I988" s="2" t="str">
        <f>IFERROR(__xludf.DUMMYFUNCTION("GOOGLETRANSLATE(C988,""fr"",""en"")"),"The more time passes and less care is reimbursed.
4 weeks of waiting to receive a response following an unprecedented refund, since it is almost impossible to have them online. As many different answers as interlocutors!
At more than 3000 € per annual p"&amp;"ackage, it is unacceptable to see reimbursements decrease over time, completely aberrant waiting times, they are not even capable of reading a statement in the CPAM to reimburse the share additoinal. Too bad my employer imposes such a mutual.")</f>
        <v>The more time passes and less care is reimbursed.
4 weeks of waiting to receive a response following an unprecedented refund, since it is almost impossible to have them online. As many different answers as interlocutors!
At more than 3000 € per annual package, it is unacceptable to see reimbursements decrease over time, completely aberrant waiting times, they are not even capable of reading a statement in the CPAM to reimburse the share additoinal. Too bad my employer imposes such a mutual.</v>
      </c>
    </row>
    <row r="989" ht="15.75" customHeight="1">
      <c r="A989" s="2">
        <v>1.0</v>
      </c>
      <c r="B989" s="2" t="s">
        <v>2682</v>
      </c>
      <c r="C989" s="2" t="s">
        <v>2683</v>
      </c>
      <c r="D989" s="2" t="s">
        <v>361</v>
      </c>
      <c r="E989" s="2" t="s">
        <v>159</v>
      </c>
      <c r="F989" s="2" t="s">
        <v>15</v>
      </c>
      <c r="G989" s="2" t="s">
        <v>2684</v>
      </c>
      <c r="H989" s="2" t="s">
        <v>79</v>
      </c>
      <c r="I989" s="2" t="str">
        <f>IFERROR(__xludf.DUMMYFUNCTION("GOOGLETRANSLATE(C989,""fr"",""en"")"),"I assured my dog ​​at Solly Azar and I am not satisfied with insurance because I was refused an increase in the reimbursement rate because on the questionnaire I reported more than 2 visits in 3 months at my veterinarian while It was simply a diagnostic s"&amp;"earch. The contract stipulated nothing in this regard.")</f>
        <v>I assured my dog ​​at Solly Azar and I am not satisfied with insurance because I was refused an increase in the reimbursement rate because on the questionnaire I reported more than 2 visits in 3 months at my veterinarian while It was simply a diagnostic search. The contract stipulated nothing in this regard.</v>
      </c>
    </row>
    <row r="990" ht="15.75" customHeight="1">
      <c r="A990" s="2">
        <v>3.0</v>
      </c>
      <c r="B990" s="2" t="s">
        <v>2685</v>
      </c>
      <c r="C990" s="2" t="s">
        <v>2686</v>
      </c>
      <c r="D990" s="2" t="s">
        <v>13</v>
      </c>
      <c r="E990" s="2" t="s">
        <v>14</v>
      </c>
      <c r="F990" s="2" t="s">
        <v>15</v>
      </c>
      <c r="G990" s="2" t="s">
        <v>1043</v>
      </c>
      <c r="H990" s="2" t="s">
        <v>69</v>
      </c>
      <c r="I990" s="2" t="str">
        <f>IFERROR(__xludf.DUMMYFUNCTION("GOOGLETRANSLATE(C990,""fr"",""en"")"),"After comparison, there is cheaper elsewhere, too bad that Direct Insurance does not offer more loyalty because it would make you want to stay at home")</f>
        <v>After comparison, there is cheaper elsewhere, too bad that Direct Insurance does not offer more loyalty because it would make you want to stay at home</v>
      </c>
    </row>
    <row r="991" ht="15.75" customHeight="1">
      <c r="A991" s="2">
        <v>3.0</v>
      </c>
      <c r="B991" s="2" t="s">
        <v>2687</v>
      </c>
      <c r="C991" s="2" t="s">
        <v>2688</v>
      </c>
      <c r="D991" s="2" t="s">
        <v>483</v>
      </c>
      <c r="E991" s="2" t="s">
        <v>21</v>
      </c>
      <c r="F991" s="2" t="s">
        <v>15</v>
      </c>
      <c r="G991" s="2" t="s">
        <v>87</v>
      </c>
      <c r="H991" s="2" t="s">
        <v>87</v>
      </c>
      <c r="I991" s="2" t="str">
        <f>IFERROR(__xludf.DUMMYFUNCTION("GOOGLETRANSLATE(C991,""fr"",""en"")"),"A little high but I have a death contract. But on the other hand nothing to advance any matter where. The MGP is taken into account everywhere. To date, I have not been disappointed with the MGP services")</f>
        <v>A little high but I have a death contract. But on the other hand nothing to advance any matter where. The MGP is taken into account everywhere. To date, I have not been disappointed with the MGP services</v>
      </c>
    </row>
    <row r="992" ht="15.75" customHeight="1">
      <c r="A992" s="2">
        <v>4.0</v>
      </c>
      <c r="B992" s="2" t="s">
        <v>2689</v>
      </c>
      <c r="C992" s="2" t="s">
        <v>2690</v>
      </c>
      <c r="D992" s="2" t="s">
        <v>13</v>
      </c>
      <c r="E992" s="2" t="s">
        <v>14</v>
      </c>
      <c r="F992" s="2" t="s">
        <v>15</v>
      </c>
      <c r="G992" s="2" t="s">
        <v>2691</v>
      </c>
      <c r="H992" s="2" t="s">
        <v>99</v>
      </c>
      <c r="I992" s="2" t="str">
        <f>IFERROR(__xludf.DUMMYFUNCTION("GOOGLETRANSLATE(C992,""fr"",""en"")"),"I am satisfied with the quote and price
of the contract and failure
soon request quotes car for my 2 vehicles
Thank you very much for your professionalism
")</f>
        <v>I am satisfied with the quote and price
of the contract and failure
soon request quotes car for my 2 vehicles
Thank you very much for your professionalism
</v>
      </c>
    </row>
    <row r="993" ht="15.75" customHeight="1">
      <c r="A993" s="2">
        <v>3.0</v>
      </c>
      <c r="B993" s="2" t="s">
        <v>2692</v>
      </c>
      <c r="C993" s="2" t="s">
        <v>2693</v>
      </c>
      <c r="D993" s="2" t="s">
        <v>13</v>
      </c>
      <c r="E993" s="2" t="s">
        <v>14</v>
      </c>
      <c r="F993" s="2" t="s">
        <v>15</v>
      </c>
      <c r="G993" s="2" t="s">
        <v>28</v>
      </c>
      <c r="H993" s="2" t="s">
        <v>28</v>
      </c>
      <c r="I993" s="2" t="str">
        <f>IFERROR(__xludf.DUMMYFUNCTION("GOOGLETRANSLATE(C993,""fr"",""en"")"),"Huge difference between the monthly price and the annual price, and the case fees are too large, especially for online insurance!
In addition, insurance comparators announce lower prices but without being able to modulate the options, so we find ourselve"&amp;"s having to go directly through your site with higher prices.")</f>
        <v>Huge difference between the monthly price and the annual price, and the case fees are too large, especially for online insurance!
In addition, insurance comparators announce lower prices but without being able to modulate the options, so we find ourselves having to go directly through your site with higher prices.</v>
      </c>
    </row>
    <row r="994" ht="15.75" customHeight="1">
      <c r="A994" s="2">
        <v>5.0</v>
      </c>
      <c r="B994" s="2" t="s">
        <v>2694</v>
      </c>
      <c r="C994" s="2" t="s">
        <v>2695</v>
      </c>
      <c r="D994" s="2" t="s">
        <v>47</v>
      </c>
      <c r="E994" s="2" t="s">
        <v>14</v>
      </c>
      <c r="F994" s="2" t="s">
        <v>15</v>
      </c>
      <c r="G994" s="2" t="s">
        <v>337</v>
      </c>
      <c r="H994" s="2" t="s">
        <v>338</v>
      </c>
      <c r="I994" s="2" t="str">
        <f>IFERROR(__xludf.DUMMYFUNCTION("GOOGLETRANSLATE(C994,""fr"",""en"")"),"I'm satisfied. Clarity and transparency on the site to make a quote. Fast and effective. Advisor by phone really attentive. Thanks")</f>
        <v>I'm satisfied. Clarity and transparency on the site to make a quote. Fast and effective. Advisor by phone really attentive. Thanks</v>
      </c>
    </row>
    <row r="995" ht="15.75" customHeight="1">
      <c r="A995" s="2">
        <v>4.0</v>
      </c>
      <c r="B995" s="2" t="s">
        <v>2696</v>
      </c>
      <c r="C995" s="2" t="s">
        <v>2697</v>
      </c>
      <c r="D995" s="2" t="s">
        <v>287</v>
      </c>
      <c r="E995" s="2" t="s">
        <v>14</v>
      </c>
      <c r="F995" s="2" t="s">
        <v>15</v>
      </c>
      <c r="G995" s="2" t="s">
        <v>184</v>
      </c>
      <c r="H995" s="2" t="s">
        <v>28</v>
      </c>
      <c r="I995" s="2" t="str">
        <f>IFERROR(__xludf.DUMMYFUNCTION("GOOGLETRANSLATE(C995,""fr"",""en"")"),"I am satisfied with the services. In addition I find a very good responsiveness and the staff pleasant and competent.
I also appreciate being able to make an appointment in agency quickly")</f>
        <v>I am satisfied with the services. In addition I find a very good responsiveness and the staff pleasant and competent.
I also appreciate being able to make an appointment in agency quickly</v>
      </c>
    </row>
    <row r="996" ht="15.75" customHeight="1">
      <c r="A996" s="2">
        <v>2.0</v>
      </c>
      <c r="B996" s="2" t="s">
        <v>2698</v>
      </c>
      <c r="C996" s="2" t="s">
        <v>2699</v>
      </c>
      <c r="D996" s="2" t="s">
        <v>31</v>
      </c>
      <c r="E996" s="2" t="s">
        <v>32</v>
      </c>
      <c r="F996" s="2" t="s">
        <v>15</v>
      </c>
      <c r="G996" s="2" t="s">
        <v>1652</v>
      </c>
      <c r="H996" s="2" t="s">
        <v>805</v>
      </c>
      <c r="I996" s="2" t="str">
        <f>IFERROR(__xludf.DUMMYFUNCTION("GOOGLETRANSLATE(C996,""fr"",""en"")")," I was surprised by all these bad messages, well now I understand we have here's it for some time and there Boum Medical expertise and hop we pay you more, let's see it .... not enough to be sick in addition we Bringing up ... I am waiting for news but I "&amp;"will not give up completely unacceptable ... a letter has just left .....")</f>
        <v> I was surprised by all these bad messages, well now I understand we have here's it for some time and there Boum Medical expertise and hop we pay you more, let's see it .... not enough to be sick in addition we Bringing up ... I am waiting for news but I will not give up completely unacceptable ... a letter has just left .....</v>
      </c>
    </row>
    <row r="997" ht="15.75" customHeight="1">
      <c r="A997" s="2">
        <v>1.0</v>
      </c>
      <c r="B997" s="2" t="s">
        <v>2700</v>
      </c>
      <c r="C997" s="2" t="s">
        <v>2701</v>
      </c>
      <c r="D997" s="2" t="s">
        <v>1134</v>
      </c>
      <c r="E997" s="2" t="s">
        <v>21</v>
      </c>
      <c r="F997" s="2" t="s">
        <v>15</v>
      </c>
      <c r="G997" s="2" t="s">
        <v>1433</v>
      </c>
      <c r="H997" s="2" t="s">
        <v>60</v>
      </c>
      <c r="I997" s="2" t="str">
        <f>IFERROR(__xludf.DUMMYFUNCTION("GOOGLETRANSLATE(C997,""fr"",""en"")"),"More and more disastrous at any level: optical and dental reimbursements, deadlines for processing files (15 days of minimum waiting to receive daily allowances when you are half-school), often arrogant telephone reception etc ... Change mutual.")</f>
        <v>More and more disastrous at any level: optical and dental reimbursements, deadlines for processing files (15 days of minimum waiting to receive daily allowances when you are half-school), often arrogant telephone reception etc ... Change mutual.</v>
      </c>
    </row>
    <row r="998" ht="15.75" customHeight="1">
      <c r="A998" s="2">
        <v>3.0</v>
      </c>
      <c r="B998" s="2" t="s">
        <v>2702</v>
      </c>
      <c r="C998" s="2" t="s">
        <v>2703</v>
      </c>
      <c r="D998" s="2" t="s">
        <v>97</v>
      </c>
      <c r="E998" s="2" t="s">
        <v>43</v>
      </c>
      <c r="F998" s="2" t="s">
        <v>15</v>
      </c>
      <c r="G998" s="2" t="s">
        <v>1989</v>
      </c>
      <c r="H998" s="2" t="s">
        <v>585</v>
      </c>
      <c r="I998" s="2" t="str">
        <f>IFERROR(__xludf.DUMMYFUNCTION("GOOGLETRANSLATE(C998,""fr"",""en"")"),"Likewise accident on June 13, 2017 not responsible. It was my only means of transport to go to work, today still nothing by that the expert finally gave a verdict after more than 4 months ... (BCA expertise of Ris Orangis) to declared the motorcycle vei a"&amp;"nd that It is up to me to sell it to a spavant that he found from which, I have to sell my vehicle and take more than 1000 euros in guard costs ... In short I remember that insurance does not play are Role, and that I intend not to stay there (soon 5 mont"&amp;"hs !!!), I inform myself with the FFMC and a lawyer to obtain compensation for my damages.")</f>
        <v>Likewise accident on June 13, 2017 not responsible. It was my only means of transport to go to work, today still nothing by that the expert finally gave a verdict after more than 4 months ... (BCA expertise of Ris Orangis) to declared the motorcycle vei and that It is up to me to sell it to a spavant that he found from which, I have to sell my vehicle and take more than 1000 euros in guard costs ... In short I remember that insurance does not play are Role, and that I intend not to stay there (soon 5 months !!!), I inform myself with the FFMC and a lawyer to obtain compensation for my damages.</v>
      </c>
    </row>
    <row r="999" ht="15.75" customHeight="1">
      <c r="A999" s="2">
        <v>2.0</v>
      </c>
      <c r="B999" s="2" t="s">
        <v>2704</v>
      </c>
      <c r="C999" s="2" t="s">
        <v>2705</v>
      </c>
      <c r="D999" s="2" t="s">
        <v>287</v>
      </c>
      <c r="E999" s="2" t="s">
        <v>14</v>
      </c>
      <c r="F999" s="2" t="s">
        <v>15</v>
      </c>
      <c r="G999" s="2" t="s">
        <v>2706</v>
      </c>
      <c r="H999" s="2" t="s">
        <v>585</v>
      </c>
      <c r="I999" s="2" t="str">
        <f>IFERROR(__xludf.DUMMYFUNCTION("GOOGLETRANSLATE(C999,""fr"",""en"")"),"On the 10th Dec 2016 I was stolen my vehicle found on Jan 23, 2017, recover my repaired vehicle at the end of May 6 months of problems with the expert who was below everything and the slow administrative syteme of GMF. We work more for more than with the "&amp;"aim of satisfying the customer and to suffer it in the searches we ask why I assured myself with a maximum of guarantees and did not even have the slightest attention on their part")</f>
        <v>On the 10th Dec 2016 I was stolen my vehicle found on Jan 23, 2017, recover my repaired vehicle at the end of May 6 months of problems with the expert who was below everything and the slow administrative syteme of GMF. We work more for more than with the aim of satisfying the customer and to suffer it in the searches we ask why I assured myself with a maximum of guarantees and did not even have the slightest attention on their part</v>
      </c>
    </row>
    <row r="1000" ht="15.75" customHeight="1">
      <c r="A1000" s="2">
        <v>4.0</v>
      </c>
      <c r="B1000" s="2" t="s">
        <v>2707</v>
      </c>
      <c r="C1000" s="2" t="s">
        <v>2708</v>
      </c>
      <c r="D1000" s="2" t="s">
        <v>47</v>
      </c>
      <c r="E1000" s="2" t="s">
        <v>14</v>
      </c>
      <c r="F1000" s="2" t="s">
        <v>15</v>
      </c>
      <c r="G1000" s="2" t="s">
        <v>2709</v>
      </c>
      <c r="H1000" s="2" t="s">
        <v>69</v>
      </c>
      <c r="I1000" s="2" t="str">
        <f>IFERROR(__xludf.DUMMYFUNCTION("GOOGLETRANSLATE(C1000,""fr"",""en"")"),"Simple quick and practical for registration
Efficient and attentive advisor, I recommend
Competitive price compared to competition if not better with the options")</f>
        <v>Simple quick and practical for registration
Efficient and attentive advisor, I recommend
Competitive price compared to competition if not better with the options</v>
      </c>
    </row>
    <row r="1001" ht="15.75" customHeight="1">
      <c r="A1001" s="2">
        <v>5.0</v>
      </c>
      <c r="B1001" s="2" t="s">
        <v>2710</v>
      </c>
      <c r="C1001" s="2" t="s">
        <v>2711</v>
      </c>
      <c r="D1001" s="2" t="s">
        <v>13</v>
      </c>
      <c r="E1001" s="2" t="s">
        <v>14</v>
      </c>
      <c r="F1001" s="2" t="s">
        <v>15</v>
      </c>
      <c r="G1001" s="2" t="s">
        <v>694</v>
      </c>
      <c r="H1001" s="2" t="s">
        <v>87</v>
      </c>
      <c r="I1001" s="2" t="str">
        <f>IFERROR(__xludf.DUMMYFUNCTION("GOOGLETRANSLATE(C1001,""fr"",""en"")"),"I am satisfied with the self -insurance contract formula subscribed right now.
The proposed contract corresponds exactly to my needs. Very good value for money")</f>
        <v>I am satisfied with the self -insurance contract formula subscribed right now.
The proposed contract corresponds exactly to my needs. Very good value for money</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2022-12-16T15:48:27Z</dcterms:created>
</cp:coreProperties>
</file>